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rshada\Bhatsa_dam_project\"/>
    </mc:Choice>
  </mc:AlternateContent>
  <xr:revisionPtr revIDLastSave="0" documentId="13_ncr:1_{B6222B96-5CC7-4093-9189-A43990B56F0E}" xr6:coauthVersionLast="47" xr6:coauthVersionMax="47" xr10:uidLastSave="{00000000-0000-0000-0000-000000000000}"/>
  <bookViews>
    <workbookView xWindow="11424" yWindow="0" windowWidth="11712" windowHeight="12336" firstSheet="20" activeTab="20" xr2:uid="{00000000-000D-0000-FFFF-FFFF00000000}"/>
  </bookViews>
  <sheets>
    <sheet name="Statement 2022-23 " sheetId="58" r:id="rId1"/>
    <sheet name="Statement 2021-22 " sheetId="57" r:id="rId2"/>
    <sheet name="Statement 2020-21 " sheetId="56" r:id="rId3"/>
    <sheet name="Statement 2019-20 " sheetId="55" r:id="rId4"/>
    <sheet name="Statement 2018-19" sheetId="36" r:id="rId5"/>
    <sheet name="Statement 2017-18" sheetId="35" r:id="rId6"/>
    <sheet name="Statement 2016-17" sheetId="34" r:id="rId7"/>
    <sheet name="Statement 2015-16" sheetId="33" r:id="rId8"/>
    <sheet name="Statement 2014-15" sheetId="32" r:id="rId9"/>
    <sheet name="Statement 2013-14" sheetId="30" r:id="rId10"/>
    <sheet name="Statement 2012-13" sheetId="27" r:id="rId11"/>
    <sheet name="Statement 2011-12" sheetId="26" r:id="rId12"/>
    <sheet name="Statement 2010-11" sheetId="25" r:id="rId13"/>
    <sheet name="Statement 2009-10" sheetId="24" r:id="rId14"/>
    <sheet name="Statement 2008-09" sheetId="23" r:id="rId15"/>
    <sheet name="Statement 2007-08" sheetId="54" r:id="rId16"/>
    <sheet name="Statement 2006-07" sheetId="53" r:id="rId17"/>
    <sheet name="Statement 2005-06 " sheetId="46" r:id="rId18"/>
    <sheet name="Statement 2004-05" sheetId="45" r:id="rId19"/>
    <sheet name="Statement 2003-04" sheetId="44" r:id="rId20"/>
    <sheet name="statement 2002-03" sheetId="43" r:id="rId21"/>
    <sheet name="statement 2001-02" sheetId="47" r:id="rId22"/>
    <sheet name="statement 2000-01" sheetId="48" r:id="rId23"/>
    <sheet name="statement 1999-2000" sheetId="49" r:id="rId24"/>
    <sheet name="statement 1998-99" sheetId="50" r:id="rId25"/>
    <sheet name="statement 1997-98" sheetId="51" r:id="rId26"/>
    <sheet name="statement 1996-97" sheetId="52" r:id="rId27"/>
  </sheets>
  <definedNames>
    <definedName name="_xlnm.Print_Area" localSheetId="14">'Statement 2008-09'!$A$1:$O$26</definedName>
    <definedName name="_xlnm.Print_Area" localSheetId="9">'Statement 2013-14'!$A$1:$U$27</definedName>
    <definedName name="_xlnm.Print_Area" localSheetId="3">'Statement 2019-20 '!$A$1:$AH$25</definedName>
    <definedName name="_xlnm.Print_Area" localSheetId="2">'Statement 2020-21 '!$A$1:$V$25</definedName>
    <definedName name="_xlnm.Print_Area" localSheetId="1">'Statement 2021-22 '!$A$1:$U$25</definedName>
    <definedName name="_xlnm.Print_Area" localSheetId="0">'Statement 2022-23 '!$A$1:$V$25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24" l="1"/>
  <c r="U12" i="35"/>
  <c r="H12" i="57"/>
  <c r="H11" i="57"/>
  <c r="F11" i="57"/>
  <c r="R19" i="52"/>
  <c r="Q19" i="52"/>
  <c r="P19" i="52"/>
  <c r="N19" i="52"/>
  <c r="I19" i="52"/>
  <c r="R18" i="52"/>
  <c r="Q18" i="52"/>
  <c r="P18" i="52"/>
  <c r="N18" i="52"/>
  <c r="I18" i="52"/>
  <c r="R17" i="52"/>
  <c r="Q17" i="52"/>
  <c r="P17" i="52"/>
  <c r="N17" i="52"/>
  <c r="I17" i="52"/>
  <c r="R16" i="52"/>
  <c r="Q16" i="52"/>
  <c r="P16" i="52"/>
  <c r="N16" i="52"/>
  <c r="I16" i="52"/>
  <c r="R15" i="52"/>
  <c r="Q15" i="52"/>
  <c r="P15" i="52"/>
  <c r="N15" i="52"/>
  <c r="I15" i="52"/>
  <c r="R14" i="52"/>
  <c r="Q14" i="52"/>
  <c r="P14" i="52"/>
  <c r="N14" i="52"/>
  <c r="I14" i="52"/>
  <c r="R13" i="52"/>
  <c r="Q13" i="52"/>
  <c r="P13" i="52"/>
  <c r="N13" i="52"/>
  <c r="I13" i="52"/>
  <c r="R12" i="52"/>
  <c r="Q12" i="52"/>
  <c r="P12" i="52"/>
  <c r="N12" i="52"/>
  <c r="I12" i="52"/>
  <c r="D12" i="52"/>
  <c r="R11" i="52"/>
  <c r="Q11" i="52"/>
  <c r="P11" i="52"/>
  <c r="N11" i="52"/>
  <c r="I11" i="52"/>
  <c r="R10" i="52"/>
  <c r="Q10" i="52"/>
  <c r="P10" i="52"/>
  <c r="N10" i="52"/>
  <c r="I10" i="52"/>
  <c r="R9" i="52"/>
  <c r="Q9" i="52"/>
  <c r="P9" i="52"/>
  <c r="N9" i="52"/>
  <c r="I9" i="52"/>
  <c r="U8" i="52"/>
  <c r="T8" i="52"/>
  <c r="S8" i="52"/>
  <c r="R8" i="52"/>
  <c r="Q8" i="52"/>
  <c r="P8" i="52"/>
  <c r="I8" i="52"/>
  <c r="R19" i="51"/>
  <c r="Q19" i="51"/>
  <c r="P19" i="51"/>
  <c r="N19" i="51"/>
  <c r="I19" i="51"/>
  <c r="R18" i="51"/>
  <c r="Q18" i="51"/>
  <c r="P18" i="51"/>
  <c r="N18" i="51"/>
  <c r="I18" i="51"/>
  <c r="R17" i="51"/>
  <c r="Q17" i="51"/>
  <c r="P17" i="51"/>
  <c r="N17" i="51"/>
  <c r="I17" i="51"/>
  <c r="R16" i="51"/>
  <c r="Q16" i="51"/>
  <c r="P16" i="51"/>
  <c r="N16" i="51"/>
  <c r="I16" i="51"/>
  <c r="R15" i="51"/>
  <c r="Q15" i="51"/>
  <c r="P15" i="51"/>
  <c r="N15" i="51"/>
  <c r="I15" i="51"/>
  <c r="R14" i="51"/>
  <c r="Q14" i="51"/>
  <c r="P14" i="51"/>
  <c r="N14" i="51"/>
  <c r="I14" i="51"/>
  <c r="R13" i="51"/>
  <c r="Q13" i="51"/>
  <c r="P13" i="51"/>
  <c r="N13" i="51"/>
  <c r="I13" i="51"/>
  <c r="R12" i="51"/>
  <c r="Q12" i="51"/>
  <c r="P12" i="51"/>
  <c r="N12" i="51"/>
  <c r="I12" i="51"/>
  <c r="R11" i="51"/>
  <c r="Q11" i="51"/>
  <c r="P11" i="51"/>
  <c r="N11" i="51"/>
  <c r="I11" i="51"/>
  <c r="R10" i="51"/>
  <c r="Q10" i="51"/>
  <c r="P10" i="51"/>
  <c r="N10" i="51"/>
  <c r="I10" i="51"/>
  <c r="R9" i="51"/>
  <c r="Q9" i="51"/>
  <c r="P9" i="51"/>
  <c r="N9" i="51"/>
  <c r="I9" i="51"/>
  <c r="U8" i="51"/>
  <c r="T8" i="51"/>
  <c r="S8" i="51"/>
  <c r="R8" i="51"/>
  <c r="Q8" i="51"/>
  <c r="P8" i="51"/>
  <c r="I8" i="51"/>
  <c r="Q19" i="50"/>
  <c r="N19" i="50"/>
  <c r="I19" i="50"/>
  <c r="Q18" i="50"/>
  <c r="N18" i="50"/>
  <c r="I18" i="50"/>
  <c r="Q17" i="50"/>
  <c r="N17" i="50"/>
  <c r="I17" i="50"/>
  <c r="Q16" i="50"/>
  <c r="N16" i="50"/>
  <c r="I16" i="50"/>
  <c r="Q15" i="50"/>
  <c r="N15" i="50"/>
  <c r="I15" i="50"/>
  <c r="Q14" i="50"/>
  <c r="N14" i="50"/>
  <c r="I14" i="50"/>
  <c r="Q13" i="50"/>
  <c r="N13" i="50"/>
  <c r="I13" i="50"/>
  <c r="Q12" i="50"/>
  <c r="N12" i="50"/>
  <c r="I12" i="50"/>
  <c r="Q11" i="50"/>
  <c r="N11" i="50"/>
  <c r="I11" i="50"/>
  <c r="Q10" i="50"/>
  <c r="N10" i="50"/>
  <c r="I10" i="50"/>
  <c r="Q9" i="50"/>
  <c r="N9" i="50"/>
  <c r="I9" i="50"/>
  <c r="T8" i="50"/>
  <c r="S8" i="50"/>
  <c r="R8" i="50"/>
  <c r="Q8" i="50"/>
  <c r="I8" i="50"/>
  <c r="Q19" i="49"/>
  <c r="N19" i="49"/>
  <c r="I19" i="49"/>
  <c r="Q18" i="49"/>
  <c r="N18" i="49"/>
  <c r="I18" i="49"/>
  <c r="Q17" i="49"/>
  <c r="N17" i="49"/>
  <c r="I17" i="49"/>
  <c r="Q16" i="49"/>
  <c r="N16" i="49"/>
  <c r="I16" i="49"/>
  <c r="Q15" i="49"/>
  <c r="N15" i="49"/>
  <c r="I15" i="49"/>
  <c r="Q14" i="49"/>
  <c r="N14" i="49"/>
  <c r="I14" i="49"/>
  <c r="Q13" i="49"/>
  <c r="N13" i="49"/>
  <c r="I13" i="49"/>
  <c r="Q12" i="49"/>
  <c r="N12" i="49"/>
  <c r="I12" i="49"/>
  <c r="Q11" i="49"/>
  <c r="N11" i="49"/>
  <c r="I11" i="49"/>
  <c r="Q10" i="49"/>
  <c r="N10" i="49"/>
  <c r="I10" i="49"/>
  <c r="Q9" i="49"/>
  <c r="N9" i="49"/>
  <c r="I9" i="49"/>
  <c r="T8" i="49"/>
  <c r="S8" i="49"/>
  <c r="R8" i="49"/>
  <c r="Q8" i="49"/>
  <c r="I8" i="49"/>
  <c r="Q19" i="48"/>
  <c r="N19" i="48"/>
  <c r="I19" i="48"/>
  <c r="Q18" i="48"/>
  <c r="N18" i="48"/>
  <c r="I18" i="48"/>
  <c r="Q17" i="48"/>
  <c r="N17" i="48"/>
  <c r="I17" i="48"/>
  <c r="Q16" i="48"/>
  <c r="N16" i="48"/>
  <c r="I16" i="48"/>
  <c r="Q15" i="48"/>
  <c r="N15" i="48"/>
  <c r="I15" i="48"/>
  <c r="Q14" i="48"/>
  <c r="N14" i="48"/>
  <c r="I14" i="48"/>
  <c r="Q13" i="48"/>
  <c r="N13" i="48"/>
  <c r="I13" i="48"/>
  <c r="Q12" i="48"/>
  <c r="N12" i="48"/>
  <c r="I12" i="48"/>
  <c r="Q11" i="48"/>
  <c r="N11" i="48"/>
  <c r="I11" i="48"/>
  <c r="Q10" i="48"/>
  <c r="N10" i="48"/>
  <c r="I10" i="48"/>
  <c r="Q9" i="48"/>
  <c r="N9" i="48"/>
  <c r="I9" i="48"/>
  <c r="T8" i="48"/>
  <c r="S8" i="48"/>
  <c r="R8" i="48"/>
  <c r="Q8" i="48"/>
  <c r="I8" i="48"/>
  <c r="Q19" i="47"/>
  <c r="N19" i="47"/>
  <c r="I19" i="47"/>
  <c r="Q18" i="47"/>
  <c r="N18" i="47"/>
  <c r="I18" i="47"/>
  <c r="Q17" i="47"/>
  <c r="N17" i="47"/>
  <c r="I17" i="47"/>
  <c r="Q16" i="47"/>
  <c r="N16" i="47"/>
  <c r="I16" i="47"/>
  <c r="Q15" i="47"/>
  <c r="N15" i="47"/>
  <c r="I15" i="47"/>
  <c r="Q14" i="47"/>
  <c r="N14" i="47"/>
  <c r="I14" i="47"/>
  <c r="Q13" i="47"/>
  <c r="N13" i="47"/>
  <c r="I13" i="47"/>
  <c r="Q12" i="47"/>
  <c r="N12" i="47"/>
  <c r="I12" i="47"/>
  <c r="Q11" i="47"/>
  <c r="N11" i="47"/>
  <c r="I11" i="47"/>
  <c r="Q10" i="47"/>
  <c r="N10" i="47"/>
  <c r="I10" i="47"/>
  <c r="Q9" i="47"/>
  <c r="N9" i="47"/>
  <c r="I9" i="47"/>
  <c r="T8" i="47"/>
  <c r="S8" i="47"/>
  <c r="R8" i="47"/>
  <c r="Q8" i="47"/>
  <c r="I8" i="47"/>
  <c r="Q19" i="43"/>
  <c r="I19" i="43"/>
  <c r="N19" i="43" s="1"/>
  <c r="Q18" i="43"/>
  <c r="I18" i="43"/>
  <c r="N18" i="43" s="1"/>
  <c r="Q17" i="43"/>
  <c r="I17" i="43"/>
  <c r="N17" i="43" s="1"/>
  <c r="Q16" i="43"/>
  <c r="I16" i="43"/>
  <c r="N16" i="43" s="1"/>
  <c r="Q15" i="43"/>
  <c r="I15" i="43"/>
  <c r="N15" i="43" s="1"/>
  <c r="Q14" i="43"/>
  <c r="I14" i="43"/>
  <c r="N14" i="43" s="1"/>
  <c r="Q13" i="43"/>
  <c r="I13" i="43"/>
  <c r="N13" i="43" s="1"/>
  <c r="Q12" i="43"/>
  <c r="I12" i="43"/>
  <c r="N12" i="43" s="1"/>
  <c r="Q11" i="43"/>
  <c r="I11" i="43"/>
  <c r="N11" i="43" s="1"/>
  <c r="Q10" i="43"/>
  <c r="I10" i="43"/>
  <c r="N10" i="43" s="1"/>
  <c r="Q9" i="43"/>
  <c r="I9" i="43"/>
  <c r="N9" i="43" s="1"/>
  <c r="T8" i="43"/>
  <c r="S8" i="43"/>
  <c r="R8" i="43"/>
  <c r="Q8" i="43"/>
  <c r="I8" i="43"/>
  <c r="Q19" i="44"/>
  <c r="N19" i="44"/>
  <c r="I19" i="44"/>
  <c r="Q18" i="44"/>
  <c r="N18" i="44"/>
  <c r="I18" i="44"/>
  <c r="Q17" i="44"/>
  <c r="N17" i="44"/>
  <c r="I17" i="44"/>
  <c r="Q16" i="44"/>
  <c r="N16" i="44"/>
  <c r="I16" i="44"/>
  <c r="Q15" i="44"/>
  <c r="N15" i="44"/>
  <c r="I15" i="44"/>
  <c r="Q14" i="44"/>
  <c r="N14" i="44"/>
  <c r="I14" i="44"/>
  <c r="D14" i="44"/>
  <c r="Q13" i="44"/>
  <c r="N13" i="44"/>
  <c r="I13" i="44"/>
  <c r="Q12" i="44"/>
  <c r="N12" i="44"/>
  <c r="I12" i="44"/>
  <c r="Q11" i="44"/>
  <c r="N11" i="44"/>
  <c r="I11" i="44"/>
  <c r="Q10" i="44"/>
  <c r="N10" i="44"/>
  <c r="I10" i="44"/>
  <c r="Q9" i="44"/>
  <c r="N9" i="44"/>
  <c r="I9" i="44"/>
  <c r="T8" i="44"/>
  <c r="S8" i="44"/>
  <c r="R8" i="44"/>
  <c r="Q8" i="44"/>
  <c r="I8" i="44"/>
  <c r="Q19" i="45"/>
  <c r="N19" i="45"/>
  <c r="I19" i="45"/>
  <c r="Q18" i="45"/>
  <c r="N18" i="45"/>
  <c r="I18" i="45"/>
  <c r="Q17" i="45"/>
  <c r="N17" i="45"/>
  <c r="I17" i="45"/>
  <c r="Q16" i="45"/>
  <c r="N16" i="45"/>
  <c r="I16" i="45"/>
  <c r="Q15" i="45"/>
  <c r="N15" i="45"/>
  <c r="I15" i="45"/>
  <c r="Q14" i="45"/>
  <c r="N14" i="45"/>
  <c r="I14" i="45"/>
  <c r="Q13" i="45"/>
  <c r="N13" i="45"/>
  <c r="I13" i="45"/>
  <c r="Q12" i="45"/>
  <c r="N12" i="45"/>
  <c r="I12" i="45"/>
  <c r="Q11" i="45"/>
  <c r="N11" i="45"/>
  <c r="I11" i="45"/>
  <c r="Q10" i="45"/>
  <c r="N10" i="45"/>
  <c r="I10" i="45"/>
  <c r="Q9" i="45"/>
  <c r="N9" i="45"/>
  <c r="I9" i="45"/>
  <c r="T8" i="45"/>
  <c r="S8" i="45"/>
  <c r="R8" i="45"/>
  <c r="Q8" i="45"/>
  <c r="I8" i="45"/>
  <c r="Q19" i="46"/>
  <c r="O19" i="46"/>
  <c r="N19" i="46"/>
  <c r="I19" i="46"/>
  <c r="Q18" i="46"/>
  <c r="O18" i="46"/>
  <c r="N18" i="46"/>
  <c r="I18" i="46"/>
  <c r="Q17" i="46"/>
  <c r="O17" i="46"/>
  <c r="N17" i="46"/>
  <c r="I17" i="46"/>
  <c r="Q16" i="46"/>
  <c r="O16" i="46"/>
  <c r="N16" i="46"/>
  <c r="I16" i="46"/>
  <c r="Q15" i="46"/>
  <c r="O15" i="46"/>
  <c r="N15" i="46"/>
  <c r="I15" i="46"/>
  <c r="Q14" i="46"/>
  <c r="O14" i="46"/>
  <c r="N14" i="46"/>
  <c r="I14" i="46"/>
  <c r="Q13" i="46"/>
  <c r="O13" i="46"/>
  <c r="N13" i="46"/>
  <c r="I13" i="46"/>
  <c r="Q12" i="46"/>
  <c r="N12" i="46"/>
  <c r="I12" i="46"/>
  <c r="Q11" i="46"/>
  <c r="N11" i="46"/>
  <c r="I11" i="46"/>
  <c r="D11" i="46"/>
  <c r="Q10" i="46"/>
  <c r="N10" i="46"/>
  <c r="I10" i="46"/>
  <c r="D10" i="46"/>
  <c r="Q9" i="46"/>
  <c r="N9" i="46"/>
  <c r="I9" i="46"/>
  <c r="D9" i="46"/>
  <c r="T8" i="46"/>
  <c r="S8" i="46"/>
  <c r="R8" i="46"/>
  <c r="Q8" i="46"/>
  <c r="I8" i="46"/>
  <c r="N20" i="54"/>
  <c r="I20" i="54"/>
  <c r="N19" i="54"/>
  <c r="I19" i="54"/>
  <c r="N18" i="54"/>
  <c r="I18" i="54"/>
  <c r="N17" i="54"/>
  <c r="I17" i="54"/>
  <c r="N16" i="54"/>
  <c r="I16" i="54"/>
  <c r="N15" i="54"/>
  <c r="I15" i="54"/>
  <c r="N14" i="54"/>
  <c r="I14" i="54"/>
  <c r="N13" i="54"/>
  <c r="I13" i="54"/>
  <c r="N12" i="54"/>
  <c r="I12" i="54"/>
  <c r="N11" i="54"/>
  <c r="I11" i="54"/>
  <c r="S10" i="54"/>
  <c r="R10" i="54"/>
  <c r="Q10" i="54"/>
  <c r="N10" i="54"/>
  <c r="I10" i="54"/>
  <c r="P9" i="54"/>
  <c r="Q19" i="23"/>
  <c r="N19" i="23"/>
  <c r="I19" i="23"/>
  <c r="Q18" i="23"/>
  <c r="N18" i="23"/>
  <c r="I18" i="23"/>
  <c r="Q17" i="23"/>
  <c r="N17" i="23"/>
  <c r="I17" i="23"/>
  <c r="Q16" i="23"/>
  <c r="N16" i="23"/>
  <c r="I16" i="23"/>
  <c r="Q15" i="23"/>
  <c r="N15" i="23"/>
  <c r="I15" i="23"/>
  <c r="Q14" i="23"/>
  <c r="N14" i="23"/>
  <c r="I14" i="23"/>
  <c r="Q13" i="23"/>
  <c r="N13" i="23"/>
  <c r="I13" i="23"/>
  <c r="Q12" i="23"/>
  <c r="N12" i="23"/>
  <c r="I12" i="23"/>
  <c r="Q11" i="23"/>
  <c r="N11" i="23"/>
  <c r="I11" i="23"/>
  <c r="Q10" i="23"/>
  <c r="N10" i="23"/>
  <c r="I10" i="23"/>
  <c r="D10" i="23"/>
  <c r="Q9" i="23"/>
  <c r="N9" i="23"/>
  <c r="I9" i="23"/>
  <c r="T8" i="23"/>
  <c r="S8" i="23"/>
  <c r="R8" i="23"/>
  <c r="Q8" i="23"/>
  <c r="N8" i="23"/>
  <c r="R5" i="23"/>
  <c r="P20" i="24"/>
  <c r="N20" i="24"/>
  <c r="I20" i="24"/>
  <c r="P19" i="24"/>
  <c r="N19" i="24"/>
  <c r="I19" i="24"/>
  <c r="P18" i="24"/>
  <c r="N18" i="24"/>
  <c r="I18" i="24"/>
  <c r="P17" i="24"/>
  <c r="N17" i="24"/>
  <c r="I17" i="24"/>
  <c r="P16" i="24"/>
  <c r="N16" i="24"/>
  <c r="I16" i="24"/>
  <c r="P15" i="24"/>
  <c r="N15" i="24"/>
  <c r="I15" i="24"/>
  <c r="P14" i="24"/>
  <c r="N14" i="24"/>
  <c r="I14" i="24"/>
  <c r="P13" i="24"/>
  <c r="N13" i="24"/>
  <c r="I13" i="24"/>
  <c r="P12" i="24"/>
  <c r="N12" i="24"/>
  <c r="I12" i="24"/>
  <c r="P11" i="24"/>
  <c r="N11" i="24"/>
  <c r="I11" i="24"/>
  <c r="P10" i="24"/>
  <c r="N10" i="24"/>
  <c r="I10" i="24"/>
  <c r="S9" i="24"/>
  <c r="R9" i="24"/>
  <c r="Q9" i="24"/>
  <c r="P9" i="24"/>
  <c r="I9" i="24"/>
  <c r="P20" i="25"/>
  <c r="N20" i="25"/>
  <c r="I20" i="25"/>
  <c r="P19" i="25"/>
  <c r="N19" i="25"/>
  <c r="I19" i="25"/>
  <c r="P18" i="25"/>
  <c r="N18" i="25"/>
  <c r="I18" i="25"/>
  <c r="P17" i="25"/>
  <c r="N17" i="25"/>
  <c r="I17" i="25"/>
  <c r="P16" i="25"/>
  <c r="N16" i="25"/>
  <c r="I16" i="25"/>
  <c r="P15" i="25"/>
  <c r="N15" i="25"/>
  <c r="I15" i="25"/>
  <c r="P14" i="25"/>
  <c r="N14" i="25"/>
  <c r="I14" i="25"/>
  <c r="P13" i="25"/>
  <c r="N13" i="25"/>
  <c r="I13" i="25"/>
  <c r="P12" i="25"/>
  <c r="N12" i="25"/>
  <c r="I12" i="25"/>
  <c r="P11" i="25"/>
  <c r="N11" i="25"/>
  <c r="I11" i="25"/>
  <c r="P10" i="25"/>
  <c r="N10" i="25"/>
  <c r="I10" i="25"/>
  <c r="S9" i="25"/>
  <c r="R9" i="25"/>
  <c r="Q9" i="25"/>
  <c r="P9" i="25"/>
  <c r="N9" i="25"/>
  <c r="I9" i="25"/>
  <c r="P20" i="26"/>
  <c r="N20" i="26"/>
  <c r="I20" i="26"/>
  <c r="P19" i="26"/>
  <c r="N19" i="26"/>
  <c r="I19" i="26"/>
  <c r="P18" i="26"/>
  <c r="N18" i="26"/>
  <c r="I18" i="26"/>
  <c r="P17" i="26"/>
  <c r="N17" i="26"/>
  <c r="I17" i="26"/>
  <c r="P16" i="26"/>
  <c r="N16" i="26"/>
  <c r="I16" i="26"/>
  <c r="P15" i="26"/>
  <c r="N15" i="26"/>
  <c r="I15" i="26"/>
  <c r="P14" i="26"/>
  <c r="N14" i="26"/>
  <c r="I14" i="26"/>
  <c r="P13" i="26"/>
  <c r="N13" i="26"/>
  <c r="I13" i="26"/>
  <c r="P12" i="26"/>
  <c r="N12" i="26"/>
  <c r="I12" i="26"/>
  <c r="P11" i="26"/>
  <c r="N11" i="26"/>
  <c r="I11" i="26"/>
  <c r="P10" i="26"/>
  <c r="N10" i="26"/>
  <c r="I10" i="26"/>
  <c r="T9" i="26"/>
  <c r="S9" i="26"/>
  <c r="R9" i="26"/>
  <c r="P9" i="26"/>
  <c r="N9" i="26"/>
  <c r="T20" i="27"/>
  <c r="N20" i="27"/>
  <c r="L20" i="27"/>
  <c r="J20" i="27"/>
  <c r="H20" i="27"/>
  <c r="F20" i="27"/>
  <c r="W19" i="27"/>
  <c r="U19" i="27"/>
  <c r="T19" i="27"/>
  <c r="O19" i="27"/>
  <c r="N19" i="27"/>
  <c r="L19" i="27"/>
  <c r="J19" i="27"/>
  <c r="H19" i="27"/>
  <c r="F19" i="27"/>
  <c r="D19" i="27"/>
  <c r="W18" i="27"/>
  <c r="U18" i="27"/>
  <c r="T18" i="27"/>
  <c r="O18" i="27"/>
  <c r="N18" i="27"/>
  <c r="L18" i="27"/>
  <c r="J18" i="27"/>
  <c r="H18" i="27"/>
  <c r="F18" i="27"/>
  <c r="D18" i="27"/>
  <c r="W17" i="27"/>
  <c r="U17" i="27"/>
  <c r="T17" i="27"/>
  <c r="O17" i="27"/>
  <c r="N17" i="27"/>
  <c r="L17" i="27"/>
  <c r="J17" i="27"/>
  <c r="H17" i="27"/>
  <c r="F17" i="27"/>
  <c r="D17" i="27"/>
  <c r="W16" i="27"/>
  <c r="U16" i="27"/>
  <c r="T16" i="27"/>
  <c r="O16" i="27"/>
  <c r="N16" i="27"/>
  <c r="L16" i="27"/>
  <c r="J16" i="27"/>
  <c r="H16" i="27"/>
  <c r="F16" i="27"/>
  <c r="D16" i="27"/>
  <c r="W15" i="27"/>
  <c r="U15" i="27"/>
  <c r="T15" i="27"/>
  <c r="O15" i="27"/>
  <c r="N15" i="27"/>
  <c r="L15" i="27"/>
  <c r="J15" i="27"/>
  <c r="H15" i="27"/>
  <c r="F15" i="27"/>
  <c r="D15" i="27"/>
  <c r="W14" i="27"/>
  <c r="U14" i="27"/>
  <c r="T14" i="27"/>
  <c r="O14" i="27"/>
  <c r="N14" i="27"/>
  <c r="L14" i="27"/>
  <c r="J14" i="27"/>
  <c r="H14" i="27"/>
  <c r="F14" i="27"/>
  <c r="D14" i="27"/>
  <c r="W13" i="27"/>
  <c r="U13" i="27"/>
  <c r="T13" i="27"/>
  <c r="O13" i="27"/>
  <c r="N13" i="27"/>
  <c r="L13" i="27"/>
  <c r="J13" i="27"/>
  <c r="H13" i="27"/>
  <c r="F13" i="27"/>
  <c r="D13" i="27"/>
  <c r="W12" i="27"/>
  <c r="U12" i="27"/>
  <c r="T12" i="27"/>
  <c r="O12" i="27"/>
  <c r="N12" i="27"/>
  <c r="L12" i="27"/>
  <c r="J12" i="27"/>
  <c r="H12" i="27"/>
  <c r="F12" i="27"/>
  <c r="D12" i="27"/>
  <c r="W11" i="27"/>
  <c r="U11" i="27"/>
  <c r="T11" i="27"/>
  <c r="O11" i="27"/>
  <c r="N11" i="27"/>
  <c r="L11" i="27"/>
  <c r="J11" i="27"/>
  <c r="H11" i="27"/>
  <c r="F11" i="27"/>
  <c r="D11" i="27"/>
  <c r="W10" i="27"/>
  <c r="U10" i="27"/>
  <c r="T10" i="27"/>
  <c r="O10" i="27"/>
  <c r="N10" i="27"/>
  <c r="L10" i="27"/>
  <c r="J10" i="27"/>
  <c r="H10" i="27"/>
  <c r="F10" i="27"/>
  <c r="D10" i="27"/>
  <c r="W9" i="27"/>
  <c r="U9" i="27"/>
  <c r="T9" i="27"/>
  <c r="O9" i="27"/>
  <c r="N9" i="27"/>
  <c r="L9" i="27"/>
  <c r="J9" i="27"/>
  <c r="H9" i="27"/>
  <c r="F9" i="27"/>
  <c r="D9" i="27"/>
  <c r="Z8" i="27"/>
  <c r="Y8" i="27"/>
  <c r="X8" i="27"/>
  <c r="W8" i="27"/>
  <c r="U8" i="27"/>
  <c r="T8" i="27"/>
  <c r="O8" i="27"/>
  <c r="N8" i="27"/>
  <c r="L8" i="27"/>
  <c r="J8" i="27"/>
  <c r="H8" i="27"/>
  <c r="F8" i="27"/>
  <c r="D8" i="27"/>
  <c r="X21" i="30"/>
  <c r="W21" i="30"/>
  <c r="T21" i="30"/>
  <c r="Y20" i="30"/>
  <c r="X20" i="30"/>
  <c r="W20" i="30"/>
  <c r="V20" i="30"/>
  <c r="U20" i="30"/>
  <c r="T20" i="30"/>
  <c r="O20" i="30"/>
  <c r="N20" i="30"/>
  <c r="L20" i="30"/>
  <c r="J20" i="30"/>
  <c r="H20" i="30"/>
  <c r="F20" i="30"/>
  <c r="D20" i="30"/>
  <c r="Y19" i="30"/>
  <c r="X19" i="30"/>
  <c r="W19" i="30"/>
  <c r="V19" i="30"/>
  <c r="U19" i="30"/>
  <c r="T19" i="30"/>
  <c r="O19" i="30"/>
  <c r="N19" i="30"/>
  <c r="L19" i="30"/>
  <c r="J19" i="30"/>
  <c r="H19" i="30"/>
  <c r="F19" i="30"/>
  <c r="D19" i="30"/>
  <c r="Y18" i="30"/>
  <c r="X18" i="30"/>
  <c r="W18" i="30"/>
  <c r="V18" i="30"/>
  <c r="U18" i="30"/>
  <c r="T18" i="30"/>
  <c r="O18" i="30"/>
  <c r="N18" i="30"/>
  <c r="L18" i="30"/>
  <c r="J18" i="30"/>
  <c r="H18" i="30"/>
  <c r="F18" i="30"/>
  <c r="D18" i="30"/>
  <c r="Y17" i="30"/>
  <c r="X17" i="30"/>
  <c r="W17" i="30"/>
  <c r="V17" i="30"/>
  <c r="U17" i="30"/>
  <c r="T17" i="30"/>
  <c r="O17" i="30"/>
  <c r="N17" i="30"/>
  <c r="L17" i="30"/>
  <c r="J17" i="30"/>
  <c r="H17" i="30"/>
  <c r="F17" i="30"/>
  <c r="D17" i="30"/>
  <c r="Y16" i="30"/>
  <c r="X16" i="30"/>
  <c r="W16" i="30"/>
  <c r="V16" i="30"/>
  <c r="U16" i="30"/>
  <c r="T16" i="30"/>
  <c r="O16" i="30"/>
  <c r="N16" i="30"/>
  <c r="L16" i="30"/>
  <c r="J16" i="30"/>
  <c r="H16" i="30"/>
  <c r="F16" i="30"/>
  <c r="D16" i="30"/>
  <c r="Y15" i="30"/>
  <c r="X15" i="30"/>
  <c r="W15" i="30"/>
  <c r="V15" i="30"/>
  <c r="U15" i="30"/>
  <c r="T15" i="30"/>
  <c r="O15" i="30"/>
  <c r="N15" i="30"/>
  <c r="L15" i="30"/>
  <c r="J15" i="30"/>
  <c r="H15" i="30"/>
  <c r="F15" i="30"/>
  <c r="D15" i="30"/>
  <c r="Y14" i="30"/>
  <c r="X14" i="30"/>
  <c r="W14" i="30"/>
  <c r="V14" i="30"/>
  <c r="U14" i="30"/>
  <c r="T14" i="30"/>
  <c r="O14" i="30"/>
  <c r="N14" i="30"/>
  <c r="L14" i="30"/>
  <c r="J14" i="30"/>
  <c r="H14" i="30"/>
  <c r="F14" i="30"/>
  <c r="D14" i="30"/>
  <c r="Y13" i="30"/>
  <c r="X13" i="30"/>
  <c r="W13" i="30"/>
  <c r="V13" i="30"/>
  <c r="U13" i="30"/>
  <c r="T13" i="30"/>
  <c r="O13" i="30"/>
  <c r="N13" i="30"/>
  <c r="L13" i="30"/>
  <c r="J13" i="30"/>
  <c r="H13" i="30"/>
  <c r="F13" i="30"/>
  <c r="D13" i="30"/>
  <c r="Y12" i="30"/>
  <c r="X12" i="30"/>
  <c r="W12" i="30"/>
  <c r="V12" i="30"/>
  <c r="U12" i="30"/>
  <c r="T12" i="30"/>
  <c r="O12" i="30"/>
  <c r="N12" i="30"/>
  <c r="L12" i="30"/>
  <c r="J12" i="30"/>
  <c r="H12" i="30"/>
  <c r="F12" i="30"/>
  <c r="D12" i="30"/>
  <c r="Y11" i="30"/>
  <c r="X11" i="30"/>
  <c r="W11" i="30"/>
  <c r="V11" i="30"/>
  <c r="U11" i="30"/>
  <c r="T11" i="30"/>
  <c r="O11" i="30"/>
  <c r="N11" i="30"/>
  <c r="L11" i="30"/>
  <c r="J11" i="30"/>
  <c r="H11" i="30"/>
  <c r="F11" i="30"/>
  <c r="D11" i="30"/>
  <c r="Y10" i="30"/>
  <c r="X10" i="30"/>
  <c r="W10" i="30"/>
  <c r="V10" i="30"/>
  <c r="U10" i="30"/>
  <c r="T10" i="30"/>
  <c r="O10" i="30"/>
  <c r="N10" i="30"/>
  <c r="L10" i="30"/>
  <c r="J10" i="30"/>
  <c r="H10" i="30"/>
  <c r="F10" i="30"/>
  <c r="D10" i="30"/>
  <c r="Y9" i="30"/>
  <c r="X9" i="30"/>
  <c r="W9" i="30"/>
  <c r="V9" i="30"/>
  <c r="U9" i="30"/>
  <c r="T9" i="30"/>
  <c r="O9" i="30"/>
  <c r="N9" i="30"/>
  <c r="L9" i="30"/>
  <c r="J9" i="30"/>
  <c r="H9" i="30"/>
  <c r="F9" i="30"/>
  <c r="D9" i="30"/>
  <c r="X7" i="30"/>
  <c r="W7" i="30"/>
  <c r="Z20" i="32"/>
  <c r="Y20" i="32"/>
  <c r="X20" i="32"/>
  <c r="T20" i="32"/>
  <c r="D20" i="32"/>
  <c r="Z19" i="32"/>
  <c r="Y19" i="32"/>
  <c r="X19" i="32"/>
  <c r="V19" i="32"/>
  <c r="U19" i="32"/>
  <c r="T19" i="32"/>
  <c r="O19" i="32"/>
  <c r="N19" i="32"/>
  <c r="L19" i="32"/>
  <c r="J19" i="32"/>
  <c r="H19" i="32"/>
  <c r="F19" i="32"/>
  <c r="D19" i="32"/>
  <c r="Z18" i="32"/>
  <c r="Y18" i="32"/>
  <c r="X18" i="32"/>
  <c r="V18" i="32"/>
  <c r="U18" i="32"/>
  <c r="T18" i="32"/>
  <c r="O18" i="32"/>
  <c r="N18" i="32"/>
  <c r="L18" i="32"/>
  <c r="J18" i="32"/>
  <c r="H18" i="32"/>
  <c r="F18" i="32"/>
  <c r="D18" i="32"/>
  <c r="Z17" i="32"/>
  <c r="Y17" i="32"/>
  <c r="X17" i="32"/>
  <c r="V17" i="32"/>
  <c r="U17" i="32"/>
  <c r="T17" i="32"/>
  <c r="O17" i="32"/>
  <c r="N17" i="32"/>
  <c r="L17" i="32"/>
  <c r="J17" i="32"/>
  <c r="H17" i="32"/>
  <c r="F17" i="32"/>
  <c r="D17" i="32"/>
  <c r="Z16" i="32"/>
  <c r="Y16" i="32"/>
  <c r="X16" i="32"/>
  <c r="V16" i="32"/>
  <c r="U16" i="32"/>
  <c r="T16" i="32"/>
  <c r="O16" i="32"/>
  <c r="N16" i="32"/>
  <c r="L16" i="32"/>
  <c r="J16" i="32"/>
  <c r="H16" i="32"/>
  <c r="F16" i="32"/>
  <c r="D16" i="32"/>
  <c r="Z15" i="32"/>
  <c r="Y15" i="32"/>
  <c r="X15" i="32"/>
  <c r="V15" i="32"/>
  <c r="U15" i="32"/>
  <c r="T15" i="32"/>
  <c r="O15" i="32"/>
  <c r="N15" i="32"/>
  <c r="L15" i="32"/>
  <c r="J15" i="32"/>
  <c r="H15" i="32"/>
  <c r="F15" i="32"/>
  <c r="D15" i="32"/>
  <c r="Z14" i="32"/>
  <c r="Y14" i="32"/>
  <c r="X14" i="32"/>
  <c r="V14" i="32"/>
  <c r="U14" i="32"/>
  <c r="T14" i="32"/>
  <c r="O14" i="32"/>
  <c r="N14" i="32"/>
  <c r="L14" i="32"/>
  <c r="J14" i="32"/>
  <c r="H14" i="32"/>
  <c r="F14" i="32"/>
  <c r="D14" i="32"/>
  <c r="Z13" i="32"/>
  <c r="Y13" i="32"/>
  <c r="X13" i="32"/>
  <c r="V13" i="32"/>
  <c r="U13" i="32"/>
  <c r="T13" i="32"/>
  <c r="O13" i="32"/>
  <c r="N13" i="32"/>
  <c r="L13" i="32"/>
  <c r="J13" i="32"/>
  <c r="H13" i="32"/>
  <c r="F13" i="32"/>
  <c r="D13" i="32"/>
  <c r="Z12" i="32"/>
  <c r="Y12" i="32"/>
  <c r="X12" i="32"/>
  <c r="V12" i="32"/>
  <c r="U12" i="32"/>
  <c r="T12" i="32"/>
  <c r="O12" i="32"/>
  <c r="N12" i="32"/>
  <c r="L12" i="32"/>
  <c r="J12" i="32"/>
  <c r="H12" i="32"/>
  <c r="F12" i="32"/>
  <c r="D12" i="32"/>
  <c r="Z11" i="32"/>
  <c r="Y11" i="32"/>
  <c r="X11" i="32"/>
  <c r="V11" i="32"/>
  <c r="U11" i="32"/>
  <c r="T11" i="32"/>
  <c r="O11" i="32"/>
  <c r="N11" i="32"/>
  <c r="L11" i="32"/>
  <c r="J11" i="32"/>
  <c r="H11" i="32"/>
  <c r="F11" i="32"/>
  <c r="D11" i="32"/>
  <c r="Z10" i="32"/>
  <c r="Y10" i="32"/>
  <c r="X10" i="32"/>
  <c r="W10" i="32"/>
  <c r="V10" i="32"/>
  <c r="U10" i="32"/>
  <c r="T10" i="32"/>
  <c r="O10" i="32"/>
  <c r="N10" i="32"/>
  <c r="L10" i="32"/>
  <c r="J10" i="32"/>
  <c r="H10" i="32"/>
  <c r="F10" i="32"/>
  <c r="D10" i="32"/>
  <c r="Z9" i="32"/>
  <c r="Y9" i="32"/>
  <c r="X9" i="32"/>
  <c r="W9" i="32"/>
  <c r="V9" i="32"/>
  <c r="U9" i="32"/>
  <c r="T9" i="32"/>
  <c r="O9" i="32"/>
  <c r="N9" i="32"/>
  <c r="L9" i="32"/>
  <c r="J9" i="32"/>
  <c r="H9" i="32"/>
  <c r="F9" i="32"/>
  <c r="D9" i="32"/>
  <c r="Z8" i="32"/>
  <c r="Y8" i="32"/>
  <c r="X8" i="32"/>
  <c r="W8" i="32"/>
  <c r="V8" i="32"/>
  <c r="U8" i="32"/>
  <c r="T8" i="32"/>
  <c r="O8" i="32"/>
  <c r="N8" i="32"/>
  <c r="L8" i="32"/>
  <c r="J8" i="32"/>
  <c r="H8" i="32"/>
  <c r="F8" i="32"/>
  <c r="D8" i="32"/>
  <c r="Y20" i="33"/>
  <c r="X20" i="33"/>
  <c r="W20" i="33"/>
  <c r="Y19" i="33"/>
  <c r="X19" i="33"/>
  <c r="W19" i="33"/>
  <c r="V19" i="33"/>
  <c r="U19" i="33"/>
  <c r="T19" i="33"/>
  <c r="S19" i="33"/>
  <c r="N19" i="33"/>
  <c r="M19" i="33"/>
  <c r="J19" i="33"/>
  <c r="H19" i="33"/>
  <c r="F19" i="33"/>
  <c r="D19" i="33"/>
  <c r="Y18" i="33"/>
  <c r="X18" i="33"/>
  <c r="W18" i="33"/>
  <c r="V18" i="33"/>
  <c r="U18" i="33"/>
  <c r="T18" i="33"/>
  <c r="S18" i="33"/>
  <c r="N18" i="33"/>
  <c r="M18" i="33"/>
  <c r="J18" i="33"/>
  <c r="H18" i="33"/>
  <c r="F18" i="33"/>
  <c r="D18" i="33"/>
  <c r="Y17" i="33"/>
  <c r="X17" i="33"/>
  <c r="W17" i="33"/>
  <c r="V17" i="33"/>
  <c r="U17" i="33"/>
  <c r="T17" i="33"/>
  <c r="S17" i="33"/>
  <c r="N17" i="33"/>
  <c r="M17" i="33"/>
  <c r="J17" i="33"/>
  <c r="H17" i="33"/>
  <c r="F17" i="33"/>
  <c r="D17" i="33"/>
  <c r="Y16" i="33"/>
  <c r="X16" i="33"/>
  <c r="W16" i="33"/>
  <c r="V16" i="33"/>
  <c r="U16" i="33"/>
  <c r="T16" i="33"/>
  <c r="S16" i="33"/>
  <c r="N16" i="33"/>
  <c r="M16" i="33"/>
  <c r="J16" i="33"/>
  <c r="H16" i="33"/>
  <c r="F16" i="33"/>
  <c r="D16" i="33"/>
  <c r="Y15" i="33"/>
  <c r="X15" i="33"/>
  <c r="W15" i="33"/>
  <c r="V15" i="33"/>
  <c r="U15" i="33"/>
  <c r="T15" i="33"/>
  <c r="S15" i="33"/>
  <c r="N15" i="33"/>
  <c r="M15" i="33"/>
  <c r="J15" i="33"/>
  <c r="H15" i="33"/>
  <c r="F15" i="33"/>
  <c r="D15" i="33"/>
  <c r="AB14" i="33"/>
  <c r="Y14" i="33"/>
  <c r="X14" i="33"/>
  <c r="W14" i="33"/>
  <c r="V14" i="33"/>
  <c r="U14" i="33"/>
  <c r="T14" i="33"/>
  <c r="S14" i="33"/>
  <c r="N14" i="33"/>
  <c r="M14" i="33"/>
  <c r="J14" i="33"/>
  <c r="H14" i="33"/>
  <c r="F14" i="33"/>
  <c r="D14" i="33"/>
  <c r="Y13" i="33"/>
  <c r="X13" i="33"/>
  <c r="W13" i="33"/>
  <c r="V13" i="33"/>
  <c r="U13" i="33"/>
  <c r="T13" i="33"/>
  <c r="S13" i="33"/>
  <c r="N13" i="33"/>
  <c r="M13" i="33"/>
  <c r="J13" i="33"/>
  <c r="H13" i="33"/>
  <c r="F13" i="33"/>
  <c r="D13" i="33"/>
  <c r="Y12" i="33"/>
  <c r="X12" i="33"/>
  <c r="W12" i="33"/>
  <c r="V12" i="33"/>
  <c r="U12" i="33"/>
  <c r="T12" i="33"/>
  <c r="S12" i="33"/>
  <c r="N12" i="33"/>
  <c r="M12" i="33"/>
  <c r="J12" i="33"/>
  <c r="H12" i="33"/>
  <c r="F12" i="33"/>
  <c r="D12" i="33"/>
  <c r="Y11" i="33"/>
  <c r="X11" i="33"/>
  <c r="W11" i="33"/>
  <c r="V11" i="33"/>
  <c r="U11" i="33"/>
  <c r="T11" i="33"/>
  <c r="S11" i="33"/>
  <c r="N11" i="33"/>
  <c r="M11" i="33"/>
  <c r="J11" i="33"/>
  <c r="H11" i="33"/>
  <c r="F11" i="33"/>
  <c r="D11" i="33"/>
  <c r="Y10" i="33"/>
  <c r="X10" i="33"/>
  <c r="W10" i="33"/>
  <c r="V10" i="33"/>
  <c r="U10" i="33"/>
  <c r="T10" i="33"/>
  <c r="S10" i="33"/>
  <c r="N10" i="33"/>
  <c r="M10" i="33"/>
  <c r="J10" i="33"/>
  <c r="H10" i="33"/>
  <c r="F10" i="33"/>
  <c r="D10" i="33"/>
  <c r="Y9" i="33"/>
  <c r="X9" i="33"/>
  <c r="W9" i="33"/>
  <c r="V9" i="33"/>
  <c r="U9" i="33"/>
  <c r="T9" i="33"/>
  <c r="S9" i="33"/>
  <c r="N9" i="33"/>
  <c r="M9" i="33"/>
  <c r="J9" i="33"/>
  <c r="H9" i="33"/>
  <c r="F9" i="33"/>
  <c r="D9" i="33"/>
  <c r="Y8" i="33"/>
  <c r="X8" i="33"/>
  <c r="W8" i="33"/>
  <c r="V8" i="33"/>
  <c r="U8" i="33"/>
  <c r="T8" i="33"/>
  <c r="S8" i="33"/>
  <c r="N8" i="33"/>
  <c r="M8" i="33"/>
  <c r="J8" i="33"/>
  <c r="H8" i="33"/>
  <c r="F8" i="33"/>
  <c r="D8" i="33"/>
  <c r="AB20" i="34"/>
  <c r="AA20" i="34"/>
  <c r="Z20" i="34"/>
  <c r="V20" i="34"/>
  <c r="AB19" i="34"/>
  <c r="AA19" i="34"/>
  <c r="Z19" i="34"/>
  <c r="Y19" i="34"/>
  <c r="X19" i="34"/>
  <c r="W19" i="34"/>
  <c r="V19" i="34"/>
  <c r="S19" i="34"/>
  <c r="Q19" i="34"/>
  <c r="O19" i="34"/>
  <c r="L19" i="34"/>
  <c r="K19" i="34"/>
  <c r="J19" i="34"/>
  <c r="H19" i="34"/>
  <c r="F19" i="34"/>
  <c r="D19" i="34"/>
  <c r="AB18" i="34"/>
  <c r="AA18" i="34"/>
  <c r="Z18" i="34"/>
  <c r="Y18" i="34"/>
  <c r="X18" i="34"/>
  <c r="W18" i="34"/>
  <c r="V18" i="34"/>
  <c r="S18" i="34"/>
  <c r="Q18" i="34"/>
  <c r="O18" i="34"/>
  <c r="L18" i="34"/>
  <c r="K18" i="34"/>
  <c r="J18" i="34"/>
  <c r="H18" i="34"/>
  <c r="F18" i="34"/>
  <c r="D18" i="34"/>
  <c r="AB17" i="34"/>
  <c r="AA17" i="34"/>
  <c r="Z17" i="34"/>
  <c r="Y17" i="34"/>
  <c r="X17" i="34"/>
  <c r="W17" i="34"/>
  <c r="V17" i="34"/>
  <c r="S17" i="34"/>
  <c r="Q17" i="34"/>
  <c r="O17" i="34"/>
  <c r="L17" i="34"/>
  <c r="K17" i="34"/>
  <c r="J17" i="34"/>
  <c r="H17" i="34"/>
  <c r="F17" i="34"/>
  <c r="D17" i="34"/>
  <c r="AB16" i="34"/>
  <c r="AA16" i="34"/>
  <c r="Z16" i="34"/>
  <c r="Y16" i="34"/>
  <c r="X16" i="34"/>
  <c r="W16" i="34"/>
  <c r="V16" i="34"/>
  <c r="S16" i="34"/>
  <c r="Q16" i="34"/>
  <c r="O16" i="34"/>
  <c r="L16" i="34"/>
  <c r="K16" i="34"/>
  <c r="J16" i="34"/>
  <c r="H16" i="34"/>
  <c r="F16" i="34"/>
  <c r="D16" i="34"/>
  <c r="AB15" i="34"/>
  <c r="AA15" i="34"/>
  <c r="Z15" i="34"/>
  <c r="Y15" i="34"/>
  <c r="X15" i="34"/>
  <c r="W15" i="34"/>
  <c r="V15" i="34"/>
  <c r="S15" i="34"/>
  <c r="Q15" i="34"/>
  <c r="O15" i="34"/>
  <c r="L15" i="34"/>
  <c r="K15" i="34"/>
  <c r="J15" i="34"/>
  <c r="H15" i="34"/>
  <c r="F15" i="34"/>
  <c r="D15" i="34"/>
  <c r="AB14" i="34"/>
  <c r="AA14" i="34"/>
  <c r="Z14" i="34"/>
  <c r="Y14" i="34"/>
  <c r="X14" i="34"/>
  <c r="W14" i="34"/>
  <c r="V14" i="34"/>
  <c r="S14" i="34"/>
  <c r="Q14" i="34"/>
  <c r="O14" i="34"/>
  <c r="L14" i="34"/>
  <c r="K14" i="34"/>
  <c r="J14" i="34"/>
  <c r="H14" i="34"/>
  <c r="F14" i="34"/>
  <c r="D14" i="34"/>
  <c r="AB13" i="34"/>
  <c r="AA13" i="34"/>
  <c r="Z13" i="34"/>
  <c r="Y13" i="34"/>
  <c r="X13" i="34"/>
  <c r="W13" i="34"/>
  <c r="V13" i="34"/>
  <c r="S13" i="34"/>
  <c r="Q13" i="34"/>
  <c r="O13" i="34"/>
  <c r="M13" i="34"/>
  <c r="L13" i="34"/>
  <c r="K13" i="34"/>
  <c r="J13" i="34"/>
  <c r="H13" i="34"/>
  <c r="F13" i="34"/>
  <c r="D13" i="34"/>
  <c r="AB12" i="34"/>
  <c r="AA12" i="34"/>
  <c r="Z12" i="34"/>
  <c r="Y12" i="34"/>
  <c r="X12" i="34"/>
  <c r="W12" i="34"/>
  <c r="V12" i="34"/>
  <c r="S12" i="34"/>
  <c r="Q12" i="34"/>
  <c r="O12" i="34"/>
  <c r="L12" i="34"/>
  <c r="K12" i="34"/>
  <c r="J12" i="34"/>
  <c r="H12" i="34"/>
  <c r="F12" i="34"/>
  <c r="D12" i="34"/>
  <c r="AB11" i="34"/>
  <c r="AA11" i="34"/>
  <c r="Z11" i="34"/>
  <c r="Y11" i="34"/>
  <c r="X11" i="34"/>
  <c r="W11" i="34"/>
  <c r="V11" i="34"/>
  <c r="S11" i="34"/>
  <c r="Q11" i="34"/>
  <c r="O11" i="34"/>
  <c r="L11" i="34"/>
  <c r="K11" i="34"/>
  <c r="J11" i="34"/>
  <c r="H11" i="34"/>
  <c r="F11" i="34"/>
  <c r="D11" i="34"/>
  <c r="AB10" i="34"/>
  <c r="AA10" i="34"/>
  <c r="Z10" i="34"/>
  <c r="Y10" i="34"/>
  <c r="X10" i="34"/>
  <c r="W10" i="34"/>
  <c r="V10" i="34"/>
  <c r="S10" i="34"/>
  <c r="Q10" i="34"/>
  <c r="O10" i="34"/>
  <c r="L10" i="34"/>
  <c r="K10" i="34"/>
  <c r="J10" i="34"/>
  <c r="H10" i="34"/>
  <c r="F10" i="34"/>
  <c r="D10" i="34"/>
  <c r="AB9" i="34"/>
  <c r="AA9" i="34"/>
  <c r="Z9" i="34"/>
  <c r="Y9" i="34"/>
  <c r="X9" i="34"/>
  <c r="W9" i="34"/>
  <c r="V9" i="34"/>
  <c r="S9" i="34"/>
  <c r="Q9" i="34"/>
  <c r="O9" i="34"/>
  <c r="L9" i="34"/>
  <c r="K9" i="34"/>
  <c r="J9" i="34"/>
  <c r="H9" i="34"/>
  <c r="F9" i="34"/>
  <c r="D9" i="34"/>
  <c r="AB8" i="34"/>
  <c r="AA8" i="34"/>
  <c r="Z8" i="34"/>
  <c r="Y8" i="34"/>
  <c r="X8" i="34"/>
  <c r="W8" i="34"/>
  <c r="V8" i="34"/>
  <c r="S8" i="34"/>
  <c r="Q8" i="34"/>
  <c r="O8" i="34"/>
  <c r="L8" i="34"/>
  <c r="K8" i="34"/>
  <c r="J8" i="34"/>
  <c r="H8" i="34"/>
  <c r="F8" i="34"/>
  <c r="D8" i="34"/>
  <c r="AA20" i="35"/>
  <c r="Z20" i="35"/>
  <c r="Y20" i="35"/>
  <c r="AA19" i="35"/>
  <c r="Z19" i="35"/>
  <c r="Y19" i="35"/>
  <c r="X19" i="35"/>
  <c r="W19" i="35"/>
  <c r="V19" i="35"/>
  <c r="U19" i="35"/>
  <c r="T19" i="35"/>
  <c r="O19" i="35"/>
  <c r="N19" i="35"/>
  <c r="L19" i="35"/>
  <c r="J19" i="35"/>
  <c r="H19" i="35"/>
  <c r="F19" i="35"/>
  <c r="D19" i="35"/>
  <c r="AA18" i="35"/>
  <c r="Z18" i="35"/>
  <c r="Y18" i="35"/>
  <c r="X18" i="35"/>
  <c r="W18" i="35"/>
  <c r="V18" i="35"/>
  <c r="U18" i="35"/>
  <c r="T18" i="35"/>
  <c r="O18" i="35"/>
  <c r="N18" i="35"/>
  <c r="L18" i="35"/>
  <c r="J18" i="35"/>
  <c r="H18" i="35"/>
  <c r="F18" i="35"/>
  <c r="D18" i="35"/>
  <c r="AA17" i="35"/>
  <c r="Z17" i="35"/>
  <c r="Y17" i="35"/>
  <c r="X17" i="35"/>
  <c r="W17" i="35"/>
  <c r="V17" i="35"/>
  <c r="U17" i="35"/>
  <c r="T17" i="35"/>
  <c r="O17" i="35"/>
  <c r="N17" i="35"/>
  <c r="L17" i="35"/>
  <c r="J17" i="35"/>
  <c r="H17" i="35"/>
  <c r="F17" i="35"/>
  <c r="D17" i="35"/>
  <c r="AA16" i="35"/>
  <c r="Z16" i="35"/>
  <c r="Y16" i="35"/>
  <c r="X16" i="35"/>
  <c r="W16" i="35"/>
  <c r="V16" i="35"/>
  <c r="U16" i="35"/>
  <c r="T16" i="35"/>
  <c r="O16" i="35"/>
  <c r="N16" i="35"/>
  <c r="L16" i="35"/>
  <c r="J16" i="35"/>
  <c r="H16" i="35"/>
  <c r="F16" i="35"/>
  <c r="D16" i="35"/>
  <c r="AA15" i="35"/>
  <c r="Z15" i="35"/>
  <c r="Y15" i="35"/>
  <c r="X15" i="35"/>
  <c r="W15" i="35"/>
  <c r="V15" i="35"/>
  <c r="U15" i="35"/>
  <c r="T15" i="35"/>
  <c r="O15" i="35"/>
  <c r="N15" i="35"/>
  <c r="M15" i="35"/>
  <c r="L15" i="35"/>
  <c r="J15" i="35"/>
  <c r="H15" i="35"/>
  <c r="F15" i="35"/>
  <c r="D15" i="35"/>
  <c r="AA14" i="35"/>
  <c r="Z14" i="35"/>
  <c r="Y14" i="35"/>
  <c r="X14" i="35"/>
  <c r="W14" i="35"/>
  <c r="V14" i="35"/>
  <c r="U14" i="35"/>
  <c r="T14" i="35"/>
  <c r="O14" i="35"/>
  <c r="N14" i="35"/>
  <c r="L14" i="35"/>
  <c r="J14" i="35"/>
  <c r="H14" i="35"/>
  <c r="F14" i="35"/>
  <c r="D14" i="35"/>
  <c r="AA13" i="35"/>
  <c r="Z13" i="35"/>
  <c r="Y13" i="35"/>
  <c r="X13" i="35"/>
  <c r="W13" i="35"/>
  <c r="V13" i="35"/>
  <c r="U13" i="35"/>
  <c r="T13" i="35"/>
  <c r="O13" i="35"/>
  <c r="N13" i="35"/>
  <c r="L13" i="35"/>
  <c r="J13" i="35"/>
  <c r="H13" i="35"/>
  <c r="F13" i="35"/>
  <c r="D13" i="35"/>
  <c r="AA12" i="35"/>
  <c r="Y12" i="35"/>
  <c r="Z12" i="35" s="1"/>
  <c r="X12" i="35"/>
  <c r="W12" i="35"/>
  <c r="W20" i="35" s="1"/>
  <c r="V12" i="35"/>
  <c r="T12" i="35"/>
  <c r="O12" i="35"/>
  <c r="N12" i="35"/>
  <c r="L12" i="35"/>
  <c r="J12" i="35"/>
  <c r="H12" i="35"/>
  <c r="F12" i="35"/>
  <c r="D12" i="35"/>
  <c r="AA11" i="35"/>
  <c r="Z11" i="35"/>
  <c r="Y11" i="35"/>
  <c r="X11" i="35"/>
  <c r="W11" i="35"/>
  <c r="V11" i="35"/>
  <c r="U11" i="35"/>
  <c r="T11" i="35"/>
  <c r="O11" i="35"/>
  <c r="N11" i="35"/>
  <c r="L11" i="35"/>
  <c r="J11" i="35"/>
  <c r="H11" i="35"/>
  <c r="F11" i="35"/>
  <c r="D11" i="35"/>
  <c r="AA10" i="35"/>
  <c r="Z10" i="35"/>
  <c r="Y10" i="35"/>
  <c r="X10" i="35"/>
  <c r="W10" i="35"/>
  <c r="V10" i="35"/>
  <c r="U10" i="35"/>
  <c r="T10" i="35"/>
  <c r="O10" i="35"/>
  <c r="N10" i="35"/>
  <c r="L10" i="35"/>
  <c r="J10" i="35"/>
  <c r="H10" i="35"/>
  <c r="F10" i="35"/>
  <c r="D10" i="35"/>
  <c r="AA9" i="35"/>
  <c r="Z9" i="35"/>
  <c r="Y9" i="35"/>
  <c r="X9" i="35"/>
  <c r="W9" i="35"/>
  <c r="V9" i="35"/>
  <c r="U9" i="35"/>
  <c r="T9" i="35"/>
  <c r="O9" i="35"/>
  <c r="N9" i="35"/>
  <c r="L9" i="35"/>
  <c r="J9" i="35"/>
  <c r="H9" i="35"/>
  <c r="F9" i="35"/>
  <c r="D9" i="35"/>
  <c r="AA8" i="35"/>
  <c r="Z8" i="35"/>
  <c r="Y8" i="35"/>
  <c r="X8" i="35"/>
  <c r="W8" i="35"/>
  <c r="V8" i="35"/>
  <c r="U8" i="35"/>
  <c r="T8" i="35"/>
  <c r="O8" i="35"/>
  <c r="N8" i="35"/>
  <c r="L8" i="35"/>
  <c r="J8" i="35"/>
  <c r="H8" i="35"/>
  <c r="F8" i="35"/>
  <c r="D8" i="35"/>
  <c r="AD20" i="36"/>
  <c r="AC20" i="36"/>
  <c r="AB20" i="36"/>
  <c r="Y20" i="36"/>
  <c r="W20" i="36"/>
  <c r="T20" i="36"/>
  <c r="AD19" i="36"/>
  <c r="AC19" i="36"/>
  <c r="AB19" i="36"/>
  <c r="Y19" i="36"/>
  <c r="X19" i="36"/>
  <c r="W19" i="36"/>
  <c r="V19" i="36"/>
  <c r="U19" i="36"/>
  <c r="T19" i="36"/>
  <c r="O19" i="36"/>
  <c r="N19" i="36"/>
  <c r="L19" i="36"/>
  <c r="J19" i="36"/>
  <c r="H19" i="36"/>
  <c r="F19" i="36"/>
  <c r="D19" i="36"/>
  <c r="AD18" i="36"/>
  <c r="AC18" i="36"/>
  <c r="AB18" i="36"/>
  <c r="Y18" i="36"/>
  <c r="X18" i="36"/>
  <c r="W18" i="36"/>
  <c r="V18" i="36"/>
  <c r="U18" i="36"/>
  <c r="T18" i="36"/>
  <c r="O18" i="36"/>
  <c r="N18" i="36"/>
  <c r="L18" i="36"/>
  <c r="J18" i="36"/>
  <c r="H18" i="36"/>
  <c r="G18" i="36"/>
  <c r="F18" i="36"/>
  <c r="E18" i="36"/>
  <c r="D18" i="36"/>
  <c r="AD17" i="36"/>
  <c r="AC17" i="36"/>
  <c r="AB17" i="36"/>
  <c r="Y17" i="36"/>
  <c r="X17" i="36"/>
  <c r="W17" i="36"/>
  <c r="V17" i="36"/>
  <c r="U17" i="36"/>
  <c r="T17" i="36"/>
  <c r="O17" i="36"/>
  <c r="N17" i="36"/>
  <c r="M17" i="36"/>
  <c r="L17" i="36"/>
  <c r="J17" i="36"/>
  <c r="H17" i="36"/>
  <c r="G17" i="36"/>
  <c r="F17" i="36"/>
  <c r="D17" i="36"/>
  <c r="AD16" i="36"/>
  <c r="AC16" i="36"/>
  <c r="AB16" i="36"/>
  <c r="Y16" i="36"/>
  <c r="X16" i="36"/>
  <c r="W16" i="36"/>
  <c r="V16" i="36"/>
  <c r="U16" i="36"/>
  <c r="T16" i="36"/>
  <c r="O16" i="36"/>
  <c r="N16" i="36"/>
  <c r="M16" i="36"/>
  <c r="L16" i="36"/>
  <c r="J16" i="36"/>
  <c r="H16" i="36"/>
  <c r="G16" i="36"/>
  <c r="F16" i="36"/>
  <c r="D16" i="36"/>
  <c r="AD15" i="36"/>
  <c r="AC15" i="36"/>
  <c r="AB15" i="36"/>
  <c r="Y15" i="36"/>
  <c r="X15" i="36"/>
  <c r="W15" i="36"/>
  <c r="V15" i="36"/>
  <c r="U15" i="36"/>
  <c r="T15" i="36"/>
  <c r="O15" i="36"/>
  <c r="N15" i="36"/>
  <c r="L15" i="36"/>
  <c r="J15" i="36"/>
  <c r="H15" i="36"/>
  <c r="F15" i="36"/>
  <c r="D15" i="36"/>
  <c r="AD14" i="36"/>
  <c r="AC14" i="36"/>
  <c r="AB14" i="36"/>
  <c r="Y14" i="36"/>
  <c r="X14" i="36"/>
  <c r="W14" i="36"/>
  <c r="V14" i="36"/>
  <c r="U14" i="36"/>
  <c r="T14" i="36"/>
  <c r="O14" i="36"/>
  <c r="N14" i="36"/>
  <c r="L14" i="36"/>
  <c r="J14" i="36"/>
  <c r="H14" i="36"/>
  <c r="F14" i="36"/>
  <c r="D14" i="36"/>
  <c r="AD13" i="36"/>
  <c r="AC13" i="36"/>
  <c r="AB13" i="36"/>
  <c r="Z13" i="36"/>
  <c r="Y13" i="36"/>
  <c r="X13" i="36"/>
  <c r="W13" i="36"/>
  <c r="V13" i="36"/>
  <c r="U13" i="36"/>
  <c r="T13" i="36"/>
  <c r="O13" i="36"/>
  <c r="N13" i="36"/>
  <c r="L13" i="36"/>
  <c r="J13" i="36"/>
  <c r="H13" i="36"/>
  <c r="F13" i="36"/>
  <c r="D13" i="36"/>
  <c r="AD12" i="36"/>
  <c r="AC12" i="36"/>
  <c r="AB12" i="36"/>
  <c r="Z12" i="36"/>
  <c r="Y12" i="36"/>
  <c r="X12" i="36"/>
  <c r="W12" i="36"/>
  <c r="V12" i="36"/>
  <c r="U12" i="36"/>
  <c r="T12" i="36"/>
  <c r="O12" i="36"/>
  <c r="N12" i="36"/>
  <c r="L12" i="36"/>
  <c r="J12" i="36"/>
  <c r="H12" i="36"/>
  <c r="F12" i="36"/>
  <c r="D12" i="36"/>
  <c r="AD11" i="36"/>
  <c r="AC11" i="36"/>
  <c r="AB11" i="36"/>
  <c r="Z11" i="36"/>
  <c r="Y11" i="36"/>
  <c r="X11" i="36"/>
  <c r="W11" i="36"/>
  <c r="V11" i="36"/>
  <c r="U11" i="36"/>
  <c r="T11" i="36"/>
  <c r="O11" i="36"/>
  <c r="N11" i="36"/>
  <c r="L11" i="36"/>
  <c r="J11" i="36"/>
  <c r="H11" i="36"/>
  <c r="F11" i="36"/>
  <c r="D11" i="36"/>
  <c r="AD10" i="36"/>
  <c r="AC10" i="36"/>
  <c r="AB10" i="36"/>
  <c r="Z10" i="36"/>
  <c r="Y10" i="36"/>
  <c r="X10" i="36"/>
  <c r="W10" i="36"/>
  <c r="V10" i="36"/>
  <c r="U10" i="36"/>
  <c r="T10" i="36"/>
  <c r="O10" i="36"/>
  <c r="N10" i="36"/>
  <c r="L10" i="36"/>
  <c r="J10" i="36"/>
  <c r="H10" i="36"/>
  <c r="F10" i="36"/>
  <c r="D10" i="36"/>
  <c r="AD9" i="36"/>
  <c r="AC9" i="36"/>
  <c r="AB9" i="36"/>
  <c r="Z9" i="36"/>
  <c r="Y9" i="36"/>
  <c r="X9" i="36"/>
  <c r="W9" i="36"/>
  <c r="V9" i="36"/>
  <c r="U9" i="36"/>
  <c r="T9" i="36"/>
  <c r="O9" i="36"/>
  <c r="N9" i="36"/>
  <c r="L9" i="36"/>
  <c r="J9" i="36"/>
  <c r="H9" i="36"/>
  <c r="G9" i="36"/>
  <c r="F9" i="36"/>
  <c r="E9" i="36"/>
  <c r="D9" i="36"/>
  <c r="AD8" i="36"/>
  <c r="AC8" i="36"/>
  <c r="AB8" i="36"/>
  <c r="X8" i="36"/>
  <c r="W8" i="36"/>
  <c r="V8" i="36"/>
  <c r="U8" i="36"/>
  <c r="T8" i="36"/>
  <c r="O8" i="36"/>
  <c r="N8" i="36"/>
  <c r="L8" i="36"/>
  <c r="J8" i="36"/>
  <c r="H8" i="36"/>
  <c r="G8" i="36"/>
  <c r="F8" i="36"/>
  <c r="E8" i="36"/>
  <c r="D8" i="36"/>
  <c r="AH21" i="55"/>
  <c r="AB21" i="55"/>
  <c r="AH20" i="55"/>
  <c r="AF20" i="55"/>
  <c r="AE20" i="55"/>
  <c r="AD20" i="55"/>
  <c r="AC20" i="55"/>
  <c r="AB20" i="55"/>
  <c r="Z20" i="55"/>
  <c r="AH19" i="55"/>
  <c r="AG19" i="55"/>
  <c r="AF19" i="55"/>
  <c r="AE19" i="55"/>
  <c r="AD19" i="55"/>
  <c r="AC19" i="55"/>
  <c r="AB19" i="55"/>
  <c r="Z19" i="55"/>
  <c r="X19" i="55"/>
  <c r="W19" i="55"/>
  <c r="V19" i="55"/>
  <c r="U19" i="55"/>
  <c r="T19" i="55"/>
  <c r="S19" i="55"/>
  <c r="N19" i="55"/>
  <c r="K19" i="55"/>
  <c r="H19" i="55"/>
  <c r="F19" i="55"/>
  <c r="D19" i="55"/>
  <c r="AH18" i="55"/>
  <c r="AG18" i="55"/>
  <c r="AF18" i="55"/>
  <c r="AE18" i="55"/>
  <c r="AD18" i="55"/>
  <c r="AC18" i="55"/>
  <c r="AB18" i="55"/>
  <c r="Z18" i="55"/>
  <c r="X18" i="55"/>
  <c r="W18" i="55"/>
  <c r="V18" i="55"/>
  <c r="U18" i="55"/>
  <c r="T18" i="55"/>
  <c r="S18" i="55"/>
  <c r="N18" i="55"/>
  <c r="K18" i="55"/>
  <c r="H18" i="55"/>
  <c r="F18" i="55"/>
  <c r="D18" i="55"/>
  <c r="AH17" i="55"/>
  <c r="AG17" i="55"/>
  <c r="AF17" i="55"/>
  <c r="AE17" i="55"/>
  <c r="AD17" i="55"/>
  <c r="AC17" i="55"/>
  <c r="AB17" i="55"/>
  <c r="Z17" i="55"/>
  <c r="X17" i="55"/>
  <c r="W17" i="55"/>
  <c r="V17" i="55"/>
  <c r="U17" i="55"/>
  <c r="T17" i="55"/>
  <c r="S17" i="55"/>
  <c r="N17" i="55"/>
  <c r="K17" i="55"/>
  <c r="H17" i="55"/>
  <c r="F17" i="55"/>
  <c r="D17" i="55"/>
  <c r="AH16" i="55"/>
  <c r="AG16" i="55"/>
  <c r="AF16" i="55"/>
  <c r="AE16" i="55"/>
  <c r="AD16" i="55"/>
  <c r="AC16" i="55"/>
  <c r="AB16" i="55"/>
  <c r="Z16" i="55"/>
  <c r="X16" i="55"/>
  <c r="W16" i="55"/>
  <c r="V16" i="55"/>
  <c r="U16" i="55"/>
  <c r="T16" i="55"/>
  <c r="S16" i="55"/>
  <c r="N16" i="55"/>
  <c r="K16" i="55"/>
  <c r="H16" i="55"/>
  <c r="F16" i="55"/>
  <c r="D16" i="55"/>
  <c r="AH15" i="55"/>
  <c r="AG15" i="55"/>
  <c r="AF15" i="55"/>
  <c r="AE15" i="55"/>
  <c r="AD15" i="55"/>
  <c r="AC15" i="55"/>
  <c r="AB15" i="55"/>
  <c r="Z15" i="55"/>
  <c r="X15" i="55"/>
  <c r="W15" i="55"/>
  <c r="V15" i="55"/>
  <c r="U15" i="55"/>
  <c r="T15" i="55"/>
  <c r="S15" i="55"/>
  <c r="N15" i="55"/>
  <c r="K15" i="55"/>
  <c r="H15" i="55"/>
  <c r="F15" i="55"/>
  <c r="D15" i="55"/>
  <c r="AH14" i="55"/>
  <c r="AG14" i="55"/>
  <c r="AF14" i="55"/>
  <c r="AE14" i="55"/>
  <c r="AD14" i="55"/>
  <c r="AC14" i="55"/>
  <c r="AB14" i="55"/>
  <c r="Z14" i="55"/>
  <c r="X14" i="55"/>
  <c r="W14" i="55"/>
  <c r="V14" i="55"/>
  <c r="U14" i="55"/>
  <c r="T14" i="55"/>
  <c r="S14" i="55"/>
  <c r="N14" i="55"/>
  <c r="K14" i="55"/>
  <c r="H14" i="55"/>
  <c r="F14" i="55"/>
  <c r="D14" i="55"/>
  <c r="AH13" i="55"/>
  <c r="AG13" i="55"/>
  <c r="AF13" i="55"/>
  <c r="AE13" i="55"/>
  <c r="AD13" i="55"/>
  <c r="AC13" i="55"/>
  <c r="AB13" i="55"/>
  <c r="Z13" i="55"/>
  <c r="X13" i="55"/>
  <c r="W13" i="55"/>
  <c r="V13" i="55"/>
  <c r="U13" i="55"/>
  <c r="T13" i="55"/>
  <c r="S13" i="55"/>
  <c r="N13" i="55"/>
  <c r="K13" i="55"/>
  <c r="H13" i="55"/>
  <c r="F13" i="55"/>
  <c r="D13" i="55"/>
  <c r="AH12" i="55"/>
  <c r="AG12" i="55"/>
  <c r="AF12" i="55"/>
  <c r="AE12" i="55"/>
  <c r="AD12" i="55"/>
  <c r="AC12" i="55"/>
  <c r="AB12" i="55"/>
  <c r="Z12" i="55"/>
  <c r="X12" i="55"/>
  <c r="W12" i="55"/>
  <c r="V12" i="55"/>
  <c r="U12" i="55"/>
  <c r="T12" i="55"/>
  <c r="S12" i="55"/>
  <c r="N12" i="55"/>
  <c r="K12" i="55"/>
  <c r="H12" i="55"/>
  <c r="F12" i="55"/>
  <c r="D12" i="55"/>
  <c r="AH11" i="55"/>
  <c r="AG11" i="55"/>
  <c r="AF11" i="55"/>
  <c r="AE11" i="55"/>
  <c r="AD11" i="55"/>
  <c r="AC11" i="55"/>
  <c r="AB11" i="55"/>
  <c r="Z11" i="55"/>
  <c r="X11" i="55"/>
  <c r="W11" i="55"/>
  <c r="V11" i="55"/>
  <c r="U11" i="55"/>
  <c r="T11" i="55"/>
  <c r="S11" i="55"/>
  <c r="N11" i="55"/>
  <c r="K11" i="55"/>
  <c r="H11" i="55"/>
  <c r="F11" i="55"/>
  <c r="D11" i="55"/>
  <c r="AH10" i="55"/>
  <c r="AG10" i="55"/>
  <c r="AF10" i="55"/>
  <c r="AE10" i="55"/>
  <c r="AD10" i="55"/>
  <c r="AC10" i="55"/>
  <c r="AB10" i="55"/>
  <c r="Z10" i="55"/>
  <c r="X10" i="55"/>
  <c r="W10" i="55"/>
  <c r="V10" i="55"/>
  <c r="U10" i="55"/>
  <c r="T10" i="55"/>
  <c r="S10" i="55"/>
  <c r="N10" i="55"/>
  <c r="K10" i="55"/>
  <c r="H10" i="55"/>
  <c r="F10" i="55"/>
  <c r="D10" i="55"/>
  <c r="AH9" i="55"/>
  <c r="AG9" i="55"/>
  <c r="AF9" i="55"/>
  <c r="AE9" i="55"/>
  <c r="AD9" i="55"/>
  <c r="AC9" i="55"/>
  <c r="AB9" i="55"/>
  <c r="Z9" i="55"/>
  <c r="X9" i="55"/>
  <c r="W9" i="55"/>
  <c r="V9" i="55"/>
  <c r="U9" i="55"/>
  <c r="T9" i="55"/>
  <c r="S9" i="55"/>
  <c r="N9" i="55"/>
  <c r="K9" i="55"/>
  <c r="H9" i="55"/>
  <c r="F9" i="55"/>
  <c r="D9" i="55"/>
  <c r="AH8" i="55"/>
  <c r="AG8" i="55"/>
  <c r="AF8" i="55"/>
  <c r="AE8" i="55"/>
  <c r="AD8" i="55"/>
  <c r="AC8" i="55"/>
  <c r="AB8" i="55"/>
  <c r="AA8" i="55"/>
  <c r="Z8" i="55"/>
  <c r="X8" i="55"/>
  <c r="W8" i="55"/>
  <c r="V8" i="55"/>
  <c r="U8" i="55"/>
  <c r="T8" i="55"/>
  <c r="S8" i="55"/>
  <c r="N8" i="55"/>
  <c r="K8" i="55"/>
  <c r="H8" i="55"/>
  <c r="G8" i="55"/>
  <c r="F8" i="55"/>
  <c r="D8" i="55"/>
  <c r="Y20" i="56"/>
  <c r="X20" i="56"/>
  <c r="W20" i="56"/>
  <c r="S20" i="56"/>
  <c r="Y19" i="56"/>
  <c r="X19" i="56"/>
  <c r="W19" i="56"/>
  <c r="V19" i="56"/>
  <c r="U19" i="56"/>
  <c r="T19" i="56"/>
  <c r="S19" i="56"/>
  <c r="N19" i="56"/>
  <c r="J19" i="56"/>
  <c r="H19" i="56"/>
  <c r="F19" i="56"/>
  <c r="D19" i="56"/>
  <c r="Y18" i="56"/>
  <c r="X18" i="56"/>
  <c r="W18" i="56"/>
  <c r="V18" i="56"/>
  <c r="U18" i="56"/>
  <c r="T18" i="56"/>
  <c r="S18" i="56"/>
  <c r="N18" i="56"/>
  <c r="J18" i="56"/>
  <c r="H18" i="56"/>
  <c r="F18" i="56"/>
  <c r="D18" i="56"/>
  <c r="Y17" i="56"/>
  <c r="X17" i="56"/>
  <c r="W17" i="56"/>
  <c r="V17" i="56"/>
  <c r="U17" i="56"/>
  <c r="T17" i="56"/>
  <c r="S17" i="56"/>
  <c r="N17" i="56"/>
  <c r="J17" i="56"/>
  <c r="H17" i="56"/>
  <c r="F17" i="56"/>
  <c r="D17" i="56"/>
  <c r="Y16" i="56"/>
  <c r="X16" i="56"/>
  <c r="W16" i="56"/>
  <c r="V16" i="56"/>
  <c r="U16" i="56"/>
  <c r="T16" i="56"/>
  <c r="S16" i="56"/>
  <c r="N16" i="56"/>
  <c r="J16" i="56"/>
  <c r="H16" i="56"/>
  <c r="F16" i="56"/>
  <c r="D16" i="56"/>
  <c r="Y15" i="56"/>
  <c r="X15" i="56"/>
  <c r="W15" i="56"/>
  <c r="V15" i="56"/>
  <c r="U15" i="56"/>
  <c r="T15" i="56"/>
  <c r="S15" i="56"/>
  <c r="N15" i="56"/>
  <c r="J15" i="56"/>
  <c r="H15" i="56"/>
  <c r="F15" i="56"/>
  <c r="D15" i="56"/>
  <c r="Y14" i="56"/>
  <c r="X14" i="56"/>
  <c r="W14" i="56"/>
  <c r="V14" i="56"/>
  <c r="U14" i="56"/>
  <c r="T14" i="56"/>
  <c r="S14" i="56"/>
  <c r="N14" i="56"/>
  <c r="J14" i="56"/>
  <c r="H14" i="56"/>
  <c r="F14" i="56"/>
  <c r="D14" i="56"/>
  <c r="Y13" i="56"/>
  <c r="X13" i="56"/>
  <c r="W13" i="56"/>
  <c r="V13" i="56"/>
  <c r="U13" i="56"/>
  <c r="T13" i="56"/>
  <c r="S13" i="56"/>
  <c r="N13" i="56"/>
  <c r="J13" i="56"/>
  <c r="H13" i="56"/>
  <c r="F13" i="56"/>
  <c r="D13" i="56"/>
  <c r="Y12" i="56"/>
  <c r="X12" i="56"/>
  <c r="W12" i="56"/>
  <c r="V12" i="56"/>
  <c r="U12" i="56"/>
  <c r="T12" i="56"/>
  <c r="S12" i="56"/>
  <c r="N12" i="56"/>
  <c r="J12" i="56"/>
  <c r="H12" i="56"/>
  <c r="F12" i="56"/>
  <c r="D12" i="56"/>
  <c r="Y11" i="56"/>
  <c r="X11" i="56"/>
  <c r="W11" i="56"/>
  <c r="V11" i="56"/>
  <c r="U11" i="56"/>
  <c r="T11" i="56"/>
  <c r="S11" i="56"/>
  <c r="N11" i="56"/>
  <c r="J11" i="56"/>
  <c r="H11" i="56"/>
  <c r="F11" i="56"/>
  <c r="D11" i="56"/>
  <c r="Y10" i="56"/>
  <c r="X10" i="56"/>
  <c r="W10" i="56"/>
  <c r="V10" i="56"/>
  <c r="U10" i="56"/>
  <c r="T10" i="56"/>
  <c r="S10" i="56"/>
  <c r="N10" i="56"/>
  <c r="J10" i="56"/>
  <c r="H10" i="56"/>
  <c r="F10" i="56"/>
  <c r="D10" i="56"/>
  <c r="Y9" i="56"/>
  <c r="X9" i="56"/>
  <c r="W9" i="56"/>
  <c r="V9" i="56"/>
  <c r="U9" i="56"/>
  <c r="T9" i="56"/>
  <c r="S9" i="56"/>
  <c r="N9" i="56"/>
  <c r="J9" i="56"/>
  <c r="H9" i="56"/>
  <c r="F9" i="56"/>
  <c r="D9" i="56"/>
  <c r="Y8" i="56"/>
  <c r="X8" i="56"/>
  <c r="W8" i="56"/>
  <c r="V8" i="56"/>
  <c r="U8" i="56"/>
  <c r="T8" i="56"/>
  <c r="S8" i="56"/>
  <c r="N8" i="56"/>
  <c r="J8" i="56"/>
  <c r="H8" i="56"/>
  <c r="F8" i="56"/>
  <c r="D8" i="56"/>
  <c r="R20" i="57"/>
  <c r="Y19" i="57"/>
  <c r="X19" i="57"/>
  <c r="W19" i="57"/>
  <c r="U19" i="57"/>
  <c r="T19" i="57"/>
  <c r="S19" i="57"/>
  <c r="R19" i="57"/>
  <c r="M19" i="57"/>
  <c r="J19" i="57"/>
  <c r="H19" i="57"/>
  <c r="F19" i="57"/>
  <c r="D19" i="57"/>
  <c r="Y18" i="57"/>
  <c r="X18" i="57"/>
  <c r="W18" i="57"/>
  <c r="U18" i="57"/>
  <c r="T18" i="57"/>
  <c r="S18" i="57"/>
  <c r="R18" i="57"/>
  <c r="M18" i="57"/>
  <c r="J18" i="57"/>
  <c r="H18" i="57"/>
  <c r="F18" i="57"/>
  <c r="D18" i="57"/>
  <c r="Y17" i="57"/>
  <c r="X17" i="57"/>
  <c r="W17" i="57"/>
  <c r="U17" i="57"/>
  <c r="T17" i="57"/>
  <c r="S17" i="57"/>
  <c r="R17" i="57"/>
  <c r="M17" i="57"/>
  <c r="J17" i="57"/>
  <c r="H17" i="57"/>
  <c r="F17" i="57"/>
  <c r="D17" i="57"/>
  <c r="Y16" i="57"/>
  <c r="X16" i="57"/>
  <c r="W16" i="57"/>
  <c r="U16" i="57"/>
  <c r="T16" i="57"/>
  <c r="S16" i="57"/>
  <c r="R16" i="57"/>
  <c r="M16" i="57"/>
  <c r="J16" i="57"/>
  <c r="H16" i="57"/>
  <c r="G16" i="57"/>
  <c r="F16" i="57"/>
  <c r="D16" i="57"/>
  <c r="Y15" i="57"/>
  <c r="X15" i="57"/>
  <c r="W15" i="57"/>
  <c r="U15" i="57"/>
  <c r="T15" i="57"/>
  <c r="S15" i="57"/>
  <c r="R15" i="57"/>
  <c r="M15" i="57"/>
  <c r="J15" i="57"/>
  <c r="H15" i="57"/>
  <c r="F15" i="57"/>
  <c r="D15" i="57"/>
  <c r="Y14" i="57"/>
  <c r="X14" i="57"/>
  <c r="W14" i="57"/>
  <c r="U14" i="57"/>
  <c r="T14" i="57"/>
  <c r="S14" i="57"/>
  <c r="R14" i="57"/>
  <c r="M14" i="57"/>
  <c r="J14" i="57"/>
  <c r="H14" i="57"/>
  <c r="F14" i="57"/>
  <c r="D14" i="57"/>
  <c r="Y13" i="57"/>
  <c r="X13" i="57"/>
  <c r="W13" i="57"/>
  <c r="U13" i="57"/>
  <c r="T13" i="57"/>
  <c r="S13" i="57"/>
  <c r="R13" i="57"/>
  <c r="M13" i="57"/>
  <c r="J13" i="57"/>
  <c r="H13" i="57"/>
  <c r="F13" i="57"/>
  <c r="D13" i="57"/>
  <c r="Y12" i="57"/>
  <c r="X12" i="57"/>
  <c r="W12" i="57"/>
  <c r="U12" i="57"/>
  <c r="T12" i="57"/>
  <c r="S12" i="57"/>
  <c r="R12" i="57"/>
  <c r="M12" i="57"/>
  <c r="J12" i="57"/>
  <c r="F12" i="57"/>
  <c r="D12" i="57"/>
  <c r="Y11" i="57"/>
  <c r="X11" i="57"/>
  <c r="W11" i="57"/>
  <c r="U11" i="57"/>
  <c r="T11" i="57"/>
  <c r="S11" i="57"/>
  <c r="R11" i="57"/>
  <c r="M11" i="57"/>
  <c r="J11" i="57"/>
  <c r="D11" i="57"/>
  <c r="Y10" i="57"/>
  <c r="X10" i="57"/>
  <c r="W10" i="57"/>
  <c r="U10" i="57"/>
  <c r="T10" i="57"/>
  <c r="S10" i="57"/>
  <c r="R10" i="57"/>
  <c r="M10" i="57"/>
  <c r="J10" i="57"/>
  <c r="H10" i="57"/>
  <c r="F10" i="57"/>
  <c r="D10" i="57"/>
  <c r="Y9" i="57"/>
  <c r="X9" i="57"/>
  <c r="W9" i="57"/>
  <c r="U9" i="57"/>
  <c r="T9" i="57"/>
  <c r="S9" i="57"/>
  <c r="R9" i="57"/>
  <c r="M9" i="57"/>
  <c r="J9" i="57"/>
  <c r="H9" i="57"/>
  <c r="F9" i="57"/>
  <c r="D9" i="57"/>
  <c r="Y8" i="57"/>
  <c r="X8" i="57"/>
  <c r="W8" i="57"/>
  <c r="U8" i="57"/>
  <c r="T8" i="57"/>
  <c r="S8" i="57"/>
  <c r="R8" i="57"/>
  <c r="M8" i="57"/>
  <c r="J8" i="57"/>
  <c r="H8" i="57"/>
  <c r="F8" i="57"/>
  <c r="D8" i="57"/>
  <c r="S20" i="58"/>
  <c r="AD19" i="58"/>
  <c r="AC19" i="58"/>
  <c r="AB19" i="58"/>
  <c r="AA19" i="58"/>
  <c r="Z19" i="58"/>
  <c r="Y19" i="58"/>
  <c r="X19" i="58"/>
  <c r="V19" i="58"/>
  <c r="U19" i="58"/>
  <c r="T19" i="58"/>
  <c r="S19" i="58"/>
  <c r="N19" i="58"/>
  <c r="L19" i="58"/>
  <c r="J19" i="58"/>
  <c r="H19" i="58"/>
  <c r="G19" i="58"/>
  <c r="F19" i="58"/>
  <c r="D19" i="58"/>
  <c r="AD18" i="58"/>
  <c r="AC18" i="58"/>
  <c r="AB18" i="58"/>
  <c r="AA18" i="58"/>
  <c r="Z18" i="58"/>
  <c r="Y18" i="58"/>
  <c r="X18" i="58"/>
  <c r="V18" i="58"/>
  <c r="U18" i="58"/>
  <c r="T18" i="58"/>
  <c r="S18" i="58"/>
  <c r="N18" i="58"/>
  <c r="L18" i="58"/>
  <c r="J18" i="58"/>
  <c r="H18" i="58"/>
  <c r="G18" i="58"/>
  <c r="F18" i="58"/>
  <c r="D18" i="58"/>
  <c r="AD17" i="58"/>
  <c r="AC17" i="58"/>
  <c r="AB17" i="58"/>
  <c r="AA17" i="58"/>
  <c r="Z17" i="58"/>
  <c r="Y17" i="58"/>
  <c r="X17" i="58"/>
  <c r="V17" i="58"/>
  <c r="U17" i="58"/>
  <c r="T17" i="58"/>
  <c r="S17" i="58"/>
  <c r="N17" i="58"/>
  <c r="L17" i="58"/>
  <c r="J17" i="58"/>
  <c r="H17" i="58"/>
  <c r="G17" i="58"/>
  <c r="F17" i="58"/>
  <c r="D17" i="58"/>
  <c r="AD16" i="58"/>
  <c r="AC16" i="58"/>
  <c r="AB16" i="58"/>
  <c r="AA16" i="58"/>
  <c r="Z16" i="58"/>
  <c r="Y16" i="58"/>
  <c r="X16" i="58"/>
  <c r="V16" i="58"/>
  <c r="U16" i="58"/>
  <c r="T16" i="58"/>
  <c r="S16" i="58"/>
  <c r="N16" i="58"/>
  <c r="L16" i="58"/>
  <c r="J16" i="58"/>
  <c r="H16" i="58"/>
  <c r="F16" i="58"/>
  <c r="D16" i="58"/>
  <c r="AD15" i="58"/>
  <c r="AC15" i="58"/>
  <c r="AB15" i="58"/>
  <c r="AA15" i="58"/>
  <c r="Z15" i="58"/>
  <c r="Y15" i="58"/>
  <c r="X15" i="58"/>
  <c r="V15" i="58"/>
  <c r="U15" i="58"/>
  <c r="T15" i="58"/>
  <c r="S15" i="58"/>
  <c r="N15" i="58"/>
  <c r="L15" i="58"/>
  <c r="J15" i="58"/>
  <c r="H15" i="58"/>
  <c r="F15" i="58"/>
  <c r="D15" i="58"/>
  <c r="AD14" i="58"/>
  <c r="AC14" i="58"/>
  <c r="AB14" i="58"/>
  <c r="AA14" i="58"/>
  <c r="Z14" i="58"/>
  <c r="Y14" i="58"/>
  <c r="X14" i="58"/>
  <c r="V14" i="58"/>
  <c r="U14" i="58"/>
  <c r="T14" i="58"/>
  <c r="S14" i="58"/>
  <c r="N14" i="58"/>
  <c r="L14" i="58"/>
  <c r="J14" i="58"/>
  <c r="H14" i="58"/>
  <c r="F14" i="58"/>
  <c r="D14" i="58"/>
  <c r="AD13" i="58"/>
  <c r="AC13" i="58"/>
  <c r="AB13" i="58"/>
  <c r="AA13" i="58"/>
  <c r="Z13" i="58"/>
  <c r="Y13" i="58"/>
  <c r="X13" i="58"/>
  <c r="V13" i="58"/>
  <c r="U13" i="58"/>
  <c r="T13" i="58"/>
  <c r="S13" i="58"/>
  <c r="N13" i="58"/>
  <c r="L13" i="58"/>
  <c r="J13" i="58"/>
  <c r="H13" i="58"/>
  <c r="F13" i="58"/>
  <c r="D13" i="58"/>
  <c r="AD12" i="58"/>
  <c r="AC12" i="58"/>
  <c r="AB12" i="58"/>
  <c r="AA12" i="58"/>
  <c r="Z12" i="58"/>
  <c r="Y12" i="58"/>
  <c r="X12" i="58"/>
  <c r="V12" i="58"/>
  <c r="U12" i="58"/>
  <c r="T12" i="58"/>
  <c r="S12" i="58"/>
  <c r="N12" i="58"/>
  <c r="L12" i="58"/>
  <c r="J12" i="58"/>
  <c r="H12" i="58"/>
  <c r="F12" i="58"/>
  <c r="D12" i="58"/>
  <c r="AD11" i="58"/>
  <c r="AC11" i="58"/>
  <c r="AB11" i="58"/>
  <c r="AA11" i="58"/>
  <c r="Z11" i="58"/>
  <c r="Y11" i="58"/>
  <c r="X11" i="58"/>
  <c r="V11" i="58"/>
  <c r="U11" i="58"/>
  <c r="T11" i="58"/>
  <c r="S11" i="58"/>
  <c r="N11" i="58"/>
  <c r="L11" i="58"/>
  <c r="J11" i="58"/>
  <c r="H11" i="58"/>
  <c r="F11" i="58"/>
  <c r="D11" i="58"/>
  <c r="AD10" i="58"/>
  <c r="AC10" i="58"/>
  <c r="AB10" i="58"/>
  <c r="AA10" i="58"/>
  <c r="Z10" i="58"/>
  <c r="Y10" i="58"/>
  <c r="X10" i="58"/>
  <c r="V10" i="58"/>
  <c r="U10" i="58"/>
  <c r="T10" i="58"/>
  <c r="S10" i="58"/>
  <c r="N10" i="58"/>
  <c r="L10" i="58"/>
  <c r="J10" i="58"/>
  <c r="H10" i="58"/>
  <c r="F10" i="58"/>
  <c r="D10" i="58"/>
  <c r="AD9" i="58"/>
  <c r="AC9" i="58"/>
  <c r="AB9" i="58"/>
  <c r="AA9" i="58"/>
  <c r="Z9" i="58"/>
  <c r="Y9" i="58"/>
  <c r="X9" i="58"/>
  <c r="V9" i="58"/>
  <c r="U9" i="58"/>
  <c r="T9" i="58"/>
  <c r="S9" i="58"/>
  <c r="N9" i="58"/>
  <c r="L9" i="58"/>
  <c r="J9" i="58"/>
  <c r="H9" i="58"/>
  <c r="G9" i="58"/>
  <c r="F9" i="58"/>
  <c r="D9" i="58"/>
  <c r="AD8" i="58"/>
  <c r="AC8" i="58"/>
  <c r="AB8" i="58"/>
  <c r="AA8" i="58"/>
  <c r="Z8" i="58"/>
  <c r="Y8" i="58"/>
  <c r="X8" i="58"/>
  <c r="V8" i="58"/>
  <c r="U8" i="58"/>
  <c r="T8" i="58"/>
  <c r="S8" i="58"/>
  <c r="N8" i="58"/>
  <c r="L8" i="58"/>
  <c r="J8" i="58"/>
  <c r="H8" i="58"/>
  <c r="F8" i="58"/>
  <c r="D8" i="58"/>
</calcChain>
</file>

<file path=xl/sharedStrings.xml><?xml version="1.0" encoding="utf-8"?>
<sst xmlns="http://schemas.openxmlformats.org/spreadsheetml/2006/main" count="827" uniqueCount="95">
  <si>
    <t>Water Balance of Bhatsa for the year 2022-23</t>
  </si>
  <si>
    <t>Division</t>
  </si>
  <si>
    <t>-Bhatsa Dam Management Division, Bhatsanagar</t>
  </si>
  <si>
    <t>Sub Divi.</t>
  </si>
  <si>
    <t>-Irrigation subdivision, Bhatsanagar</t>
  </si>
  <si>
    <t>Month</t>
  </si>
  <si>
    <t>Reservoir water level on start of month (m)</t>
  </si>
  <si>
    <t>Effective gross storage on start of month (Mcum)</t>
  </si>
  <si>
    <t>Release from Bhatsa reservoir</t>
  </si>
  <si>
    <t>Total release (Mcum)</t>
  </si>
  <si>
    <t>Reservoir evaporation losses (Mcum)</t>
  </si>
  <si>
    <t>Other measured leakages (Mcum)</t>
  </si>
  <si>
    <t>Reservoir water level on end of month (m)</t>
  </si>
  <si>
    <t>Gross storage on end of month (Mcum)</t>
  </si>
  <si>
    <t>Calculated inflow of month (Mcum)</t>
  </si>
  <si>
    <t>For BMC/TMC other through power house (Mcum)</t>
  </si>
  <si>
    <t>Through escape gate (Mcum)</t>
  </si>
  <si>
    <t>Irrigation through canal (Mcum)</t>
  </si>
  <si>
    <t>Through spillway river (Mcum)</t>
  </si>
  <si>
    <t>Leakage through gallery (Mcum)</t>
  </si>
  <si>
    <t>flow rate required for total head (m^3/s)</t>
  </si>
  <si>
    <t>amount of water available</t>
  </si>
  <si>
    <t>Total releases</t>
  </si>
  <si>
    <t xml:space="preserve">gross storage on the end of the month </t>
  </si>
  <si>
    <t xml:space="preserve">0verflow </t>
  </si>
  <si>
    <t xml:space="preserve"> percentage of water avaialble </t>
  </si>
  <si>
    <t>gross storage  after relese for power generaton</t>
  </si>
  <si>
    <t xml:space="preserve"> release percentage for irrigation </t>
  </si>
  <si>
    <t>Note- All above data is based on the available register of concerned period.</t>
  </si>
  <si>
    <t>Sub Divisional Engineer</t>
  </si>
  <si>
    <t>Executive Engineer</t>
  </si>
  <si>
    <t>Irrigation sub division</t>
  </si>
  <si>
    <t>Bhatsa Dam Management Division</t>
  </si>
  <si>
    <t>Bhatsanagar</t>
  </si>
  <si>
    <t>Water Balance of Bhatsa for the year 2021-2022</t>
  </si>
  <si>
    <t xml:space="preserve">storage percentage </t>
  </si>
  <si>
    <t>available water</t>
  </si>
  <si>
    <t>overflow</t>
  </si>
  <si>
    <t>Water Balance of Bhatsa for the year 2020-21</t>
  </si>
  <si>
    <t>flow rate required for 15 MW power generation  (m^3/s)</t>
  </si>
  <si>
    <t xml:space="preserve">overflow </t>
  </si>
  <si>
    <t>Water Balance of Bhatsa for the year 2019-20</t>
  </si>
  <si>
    <t>for irrigation/ without irrigation  Through escape gate (Mcum)</t>
  </si>
  <si>
    <t xml:space="preserve"> Sandva discharge (Mcum) </t>
  </si>
  <si>
    <t>ANNUAL yield (Mm^3)</t>
  </si>
  <si>
    <t>flow rate required for net head (m^3/s)</t>
  </si>
  <si>
    <t>flow rate required for variable  head (m^3/s)</t>
  </si>
  <si>
    <t xml:space="preserve">Montly power production (Wht) from daily water level </t>
  </si>
  <si>
    <t>Monthly power production (kWh)</t>
  </si>
  <si>
    <t>Monthly power production (MWh)</t>
  </si>
  <si>
    <t xml:space="preserve">Availability factor 90 % ( due to 10 % maintance downtime ) </t>
  </si>
  <si>
    <t>Turbine efficiency variation ( avg efficiency 80 % ) kw</t>
  </si>
  <si>
    <t>MW</t>
  </si>
  <si>
    <t>Water Balance of Bhatsa for the year 2018-19</t>
  </si>
  <si>
    <t>yield (Mm^3)</t>
  </si>
  <si>
    <t>Water Balance of Bhatsa for the year 2017-18</t>
  </si>
  <si>
    <t>Water Balance of Bhatsa for the year 2016-17</t>
  </si>
  <si>
    <t>Not Reported in Register</t>
  </si>
  <si>
    <t>c</t>
  </si>
  <si>
    <t>Water Balance of Bhatsa for the year 2015-16</t>
  </si>
  <si>
    <t>Water Balance of Bhatsa for the year 2014-15</t>
  </si>
  <si>
    <t>Water Balance of Bhatsa For the Year  -   2013-14</t>
  </si>
  <si>
    <t xml:space="preserve">Reservoir Water level on start of Month (Mtrs) </t>
  </si>
  <si>
    <t>Effective Gross storage on start of month (Mcum)</t>
  </si>
  <si>
    <t>Releases from Bhatsa Reservoir</t>
  </si>
  <si>
    <t>Total Release (Mcum)</t>
  </si>
  <si>
    <t xml:space="preserve">Reservoir Water level of end of Month (Mtrs) </t>
  </si>
  <si>
    <t xml:space="preserve"> Gross storage end of month (Mcum)</t>
  </si>
  <si>
    <t>Calculated inflow of Month (Mcum)</t>
  </si>
  <si>
    <t>For BMC/TMC other through power outlet (Mcum)</t>
  </si>
  <si>
    <t>Through Spillway river (Mcum)</t>
  </si>
  <si>
    <t>Leakage through Gallery (Mcum)</t>
  </si>
  <si>
    <t>Note :-</t>
  </si>
  <si>
    <t>All above data is based on the available register of concerned period</t>
  </si>
  <si>
    <t>Irrigation Sub Division No.1</t>
  </si>
  <si>
    <t>Bhatsa Dam Maintenance Division</t>
  </si>
  <si>
    <t>Water Balance of Bhatsa For the Year  -   2012-13</t>
  </si>
  <si>
    <t>Water Balance of Bhatsa For the Year  -   2011-12</t>
  </si>
  <si>
    <t>Water Balance of Bhatsa For the Year  -   2010-11</t>
  </si>
  <si>
    <t>Water Balance of Bhatsa For the Year  -   2009-10</t>
  </si>
  <si>
    <t>Water Balance of Bhatsa For the Year  -   2008-09</t>
  </si>
  <si>
    <t>Water Balance of Bhatsa For the Year  -   2007-08</t>
  </si>
  <si>
    <t>Data is not Available</t>
  </si>
  <si>
    <t>Water Balance of Bhatsa For the Year  -   2006-07</t>
  </si>
  <si>
    <t>Water Balance of Bhatsa For the Year  -   2005-06</t>
  </si>
  <si>
    <t>Water Balance of Bhatsa For the Year  -   2004-05</t>
  </si>
  <si>
    <t>Water Balance of Bhatsa For the Year  -   2003-04</t>
  </si>
  <si>
    <t>Water Balance of Bhatsa For the Year  -   2002-03</t>
  </si>
  <si>
    <t>Water Balance of Bhatsa For the Year  -   2001-02</t>
  </si>
  <si>
    <t>Water Balance of Bhatsa For the Year  -   2000-01</t>
  </si>
  <si>
    <t>Water Balance of Bhatsa For the Year  -   1999-2000</t>
  </si>
  <si>
    <t>Water Balance of Bhatsa For the Year  -   1998-99</t>
  </si>
  <si>
    <t>Water Balance of Bhatsa For the Year  -   1997-98</t>
  </si>
  <si>
    <t>Water Balance of Bhatsa For the Year  -   1996-97</t>
  </si>
  <si>
    <t>discharge into river through sandva (( Mcum))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</si>
</sst>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_ "/>
    <numFmt numFmtId="166" formatCode="0.00_ "/>
    <numFmt numFmtId="167" formatCode="0.000_ "/>
  </numFmts>
  <fonts count="17">
    <font>
      <sz val="11"/>
      <name val="Calibri"/>
      <charset val="134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2"/>
      <name val="Calibri"/>
      <family val="2"/>
    </font>
    <font>
      <sz val="11"/>
      <color theme="1"/>
      <name val="Calibri"/>
      <family val="2"/>
    </font>
    <font>
      <sz val="11"/>
      <color theme="3" tint="-0.249977111117893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6" fillId="0" borderId="0"/>
  </cellStyleXfs>
  <cellXfs count="1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top"/>
    </xf>
    <xf numFmtId="0" fontId="3" fillId="0" borderId="0" xfId="0" applyFont="1">
      <alignment vertical="center"/>
    </xf>
    <xf numFmtId="0" fontId="3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2" fontId="5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left" vertical="center"/>
    </xf>
    <xf numFmtId="2" fontId="7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vertical="top"/>
    </xf>
    <xf numFmtId="0" fontId="5" fillId="0" borderId="4" xfId="0" applyFont="1" applyBorder="1" applyAlignment="1">
      <alignment horizontal="center" vertical="top" wrapText="1"/>
    </xf>
    <xf numFmtId="0" fontId="5" fillId="0" borderId="0" xfId="0" applyFont="1">
      <alignment vertical="center"/>
    </xf>
    <xf numFmtId="0" fontId="8" fillId="0" borderId="0" xfId="0" applyFont="1" applyAlignment="1">
      <alignment wrapText="1"/>
    </xf>
    <xf numFmtId="165" fontId="8" fillId="0" borderId="0" xfId="0" applyNumberFormat="1" applyFont="1">
      <alignment vertical="center"/>
    </xf>
    <xf numFmtId="166" fontId="0" fillId="0" borderId="0" xfId="0" applyNumberFormat="1" applyAlignment="1">
      <alignment horizontal="center" vertical="center"/>
    </xf>
    <xf numFmtId="164" fontId="0" fillId="0" borderId="0" xfId="0" applyNumberFormat="1">
      <alignment vertical="center"/>
    </xf>
    <xf numFmtId="165" fontId="8" fillId="0" borderId="0" xfId="0" applyNumberFormat="1" applyFont="1" applyAlignment="1"/>
    <xf numFmtId="166" fontId="0" fillId="0" borderId="0" xfId="0" applyNumberFormat="1">
      <alignment vertical="center"/>
    </xf>
    <xf numFmtId="165" fontId="8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5" fillId="0" borderId="0" xfId="0" applyNumberFormat="1" applyFont="1">
      <alignment vertical="center"/>
    </xf>
    <xf numFmtId="164" fontId="9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1" xfId="0" applyFont="1" applyBorder="1">
      <alignment vertical="center"/>
    </xf>
    <xf numFmtId="167" fontId="5" fillId="0" borderId="1" xfId="0" applyNumberFormat="1" applyFont="1" applyBorder="1" applyAlignment="1">
      <alignment horizontal="center" vertical="center"/>
    </xf>
    <xf numFmtId="17" fontId="6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7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top" wrapText="1"/>
    </xf>
    <xf numFmtId="2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164" fontId="12" fillId="0" borderId="1" xfId="0" applyNumberFormat="1" applyFont="1" applyBorder="1">
      <alignment vertical="center"/>
    </xf>
    <xf numFmtId="0" fontId="0" fillId="0" borderId="0" xfId="0" applyAlignment="1">
      <alignment vertical="center" wrapText="1"/>
    </xf>
    <xf numFmtId="166" fontId="8" fillId="0" borderId="0" xfId="0" applyNumberFormat="1" applyFont="1" applyAlignment="1"/>
    <xf numFmtId="166" fontId="13" fillId="0" borderId="0" xfId="0" applyNumberFormat="1" applyFont="1" applyAlignment="1"/>
    <xf numFmtId="17" fontId="9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15" fillId="0" borderId="0" xfId="0" applyFont="1">
      <alignment vertical="center"/>
    </xf>
    <xf numFmtId="166" fontId="15" fillId="0" borderId="1" xfId="0" applyNumberFormat="1" applyFont="1" applyBorder="1">
      <alignment vertical="center"/>
    </xf>
    <xf numFmtId="164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center"/>
    </xf>
    <xf numFmtId="2" fontId="5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12" fillId="0" borderId="4" xfId="0" applyFont="1" applyBorder="1" applyAlignment="1">
      <alignment horizontal="center" vertical="top" wrapText="1"/>
    </xf>
    <xf numFmtId="0" fontId="12" fillId="0" borderId="3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 textRotation="255" wrapText="1"/>
    </xf>
    <xf numFmtId="164" fontId="6" fillId="0" borderId="2" xfId="0" applyNumberFormat="1" applyFont="1" applyBorder="1" applyAlignment="1">
      <alignment horizontal="center" vertical="center" textRotation="255" wrapText="1"/>
    </xf>
    <xf numFmtId="164" fontId="6" fillId="0" borderId="3" xfId="0" applyNumberFormat="1" applyFont="1" applyBorder="1" applyAlignment="1">
      <alignment horizontal="center" vertical="center" textRotation="255" wrapText="1"/>
    </xf>
    <xf numFmtId="0" fontId="7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2" fontId="5" fillId="0" borderId="4" xfId="0" applyNumberFormat="1" applyFont="1" applyBorder="1" applyAlignment="1">
      <alignment horizontal="center" vertical="top" wrapText="1"/>
    </xf>
    <xf numFmtId="2" fontId="5" fillId="0" borderId="2" xfId="0" applyNumberFormat="1" applyFont="1" applyBorder="1" applyAlignment="1">
      <alignment horizontal="center" vertical="top" wrapText="1"/>
    </xf>
    <xf numFmtId="2" fontId="5" fillId="0" borderId="3" xfId="0" applyNumberFormat="1" applyFont="1" applyBorder="1" applyAlignment="1">
      <alignment horizontal="center" vertical="top" wrapText="1"/>
    </xf>
    <xf numFmtId="2" fontId="7" fillId="0" borderId="0" xfId="0" applyNumberFormat="1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2">
    <cellStyle name="Normal" xfId="0" builtinId="0"/>
    <cellStyle name="TableStyleLight1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E25"/>
  <sheetViews>
    <sheetView view="pageBreakPreview" topLeftCell="A7" zoomScaleNormal="100" workbookViewId="0">
      <selection activeCell="D8" sqref="D8"/>
    </sheetView>
  </sheetViews>
  <sheetFormatPr defaultColWidth="9" defaultRowHeight="14.4"/>
  <cols>
    <col min="4" max="5" width="9.5546875" customWidth="1"/>
    <col min="7" max="7" width="10.5546875"/>
    <col min="16" max="16" width="10" customWidth="1"/>
    <col min="19" max="20" width="10.109375" customWidth="1"/>
    <col min="24" max="25" width="9.109375"/>
    <col min="29" max="29" width="9.88671875" customWidth="1"/>
  </cols>
  <sheetData>
    <row r="1" spans="1:31" ht="15.6">
      <c r="A1" s="81" t="s">
        <v>0</v>
      </c>
      <c r="B1" s="82"/>
      <c r="C1" s="81"/>
      <c r="D1" s="81"/>
      <c r="E1" s="81"/>
      <c r="F1" s="81"/>
      <c r="G1" s="81"/>
      <c r="H1" s="81"/>
      <c r="I1" s="81"/>
      <c r="J1" s="82"/>
      <c r="K1" s="82"/>
      <c r="L1" s="82"/>
      <c r="M1" s="82"/>
      <c r="N1" s="82"/>
      <c r="O1" s="82"/>
      <c r="P1" s="81"/>
      <c r="Q1" s="82"/>
      <c r="R1" s="82"/>
      <c r="S1" s="82"/>
      <c r="T1" s="82"/>
    </row>
    <row r="2" spans="1:31" ht="15.6">
      <c r="A2" s="3" t="s">
        <v>1</v>
      </c>
      <c r="B2" s="80" t="s">
        <v>2</v>
      </c>
      <c r="C2" s="4"/>
      <c r="D2" s="4"/>
      <c r="E2" s="4"/>
      <c r="F2" s="4"/>
      <c r="G2" s="4"/>
      <c r="H2" s="3"/>
      <c r="I2" s="3"/>
      <c r="J2" s="5"/>
      <c r="K2" s="5"/>
      <c r="L2" s="5"/>
      <c r="M2" s="5"/>
      <c r="N2" s="5"/>
      <c r="O2" s="5"/>
      <c r="P2" s="3"/>
      <c r="Q2" s="5"/>
      <c r="R2" s="5"/>
      <c r="S2" s="5"/>
      <c r="T2" s="5"/>
    </row>
    <row r="3" spans="1:31" ht="15.6">
      <c r="A3" s="3" t="s">
        <v>3</v>
      </c>
      <c r="B3" s="80" t="s">
        <v>4</v>
      </c>
      <c r="C3" s="6"/>
      <c r="D3" s="6"/>
      <c r="E3" s="6"/>
      <c r="F3" s="6"/>
      <c r="G3" s="6"/>
      <c r="H3" s="6"/>
      <c r="I3" s="6"/>
      <c r="J3" s="7"/>
      <c r="K3" s="7"/>
      <c r="L3" s="7"/>
      <c r="M3" s="7"/>
      <c r="N3" s="7"/>
      <c r="O3" s="7"/>
      <c r="P3" s="6"/>
      <c r="Q3" s="7"/>
      <c r="R3" s="7"/>
      <c r="S3" s="7"/>
      <c r="T3" s="7"/>
    </row>
    <row r="4" spans="1:31">
      <c r="A4" s="88" t="s">
        <v>5</v>
      </c>
      <c r="B4" s="89" t="s">
        <v>6</v>
      </c>
      <c r="C4" s="87" t="s">
        <v>7</v>
      </c>
      <c r="D4" s="43"/>
      <c r="E4" s="83" t="s">
        <v>8</v>
      </c>
      <c r="F4" s="84"/>
      <c r="G4" s="84"/>
      <c r="H4" s="84"/>
      <c r="I4" s="84"/>
      <c r="J4" s="84"/>
      <c r="K4" s="84"/>
      <c r="L4" s="84"/>
      <c r="M4" s="85"/>
      <c r="N4" s="92" t="s">
        <v>9</v>
      </c>
      <c r="O4" s="92" t="s">
        <v>10</v>
      </c>
      <c r="P4" s="92" t="s">
        <v>11</v>
      </c>
      <c r="Q4" s="89" t="s">
        <v>12</v>
      </c>
      <c r="R4" s="87" t="s">
        <v>13</v>
      </c>
      <c r="S4" s="9"/>
      <c r="T4" s="87" t="s">
        <v>14</v>
      </c>
    </row>
    <row r="5" spans="1:31">
      <c r="A5" s="88"/>
      <c r="B5" s="90"/>
      <c r="C5" s="87"/>
      <c r="D5" s="27"/>
      <c r="E5" s="89" t="s">
        <v>15</v>
      </c>
      <c r="F5" s="27"/>
      <c r="G5" s="89" t="s">
        <v>16</v>
      </c>
      <c r="H5" s="27"/>
      <c r="I5" s="89" t="s">
        <v>17</v>
      </c>
      <c r="J5" s="27"/>
      <c r="K5" s="92" t="s">
        <v>18</v>
      </c>
      <c r="L5" s="10"/>
      <c r="M5" s="92" t="s">
        <v>19</v>
      </c>
      <c r="N5" s="92"/>
      <c r="O5" s="92"/>
      <c r="P5" s="92"/>
      <c r="Q5" s="90"/>
      <c r="R5" s="87"/>
      <c r="S5" s="9"/>
      <c r="T5" s="87"/>
    </row>
    <row r="6" spans="1:31" ht="91.05" customHeight="1">
      <c r="A6" s="88"/>
      <c r="B6" s="91"/>
      <c r="C6" s="87"/>
      <c r="D6" s="13"/>
      <c r="E6" s="91"/>
      <c r="F6" s="13"/>
      <c r="G6" s="91"/>
      <c r="H6" s="13"/>
      <c r="I6" s="91"/>
      <c r="J6" s="13"/>
      <c r="K6" s="92"/>
      <c r="L6" s="10"/>
      <c r="M6" s="92"/>
      <c r="N6" s="92"/>
      <c r="O6" s="92"/>
      <c r="P6" s="92"/>
      <c r="Q6" s="91"/>
      <c r="R6" s="87"/>
      <c r="S6" s="9"/>
      <c r="T6" s="87"/>
      <c r="V6" s="29" t="s">
        <v>20</v>
      </c>
      <c r="X6" s="68" t="s">
        <v>21</v>
      </c>
      <c r="Y6" s="68" t="s">
        <v>22</v>
      </c>
      <c r="Z6" s="68" t="s">
        <v>23</v>
      </c>
      <c r="AA6" t="s">
        <v>24</v>
      </c>
      <c r="AB6" s="68" t="s">
        <v>25</v>
      </c>
      <c r="AC6" s="68" t="s">
        <v>26</v>
      </c>
      <c r="AD6" s="68" t="s">
        <v>25</v>
      </c>
      <c r="AE6" s="68" t="s">
        <v>27</v>
      </c>
    </row>
    <row r="7" spans="1:31">
      <c r="A7" s="15">
        <v>1</v>
      </c>
      <c r="B7" s="17">
        <v>2</v>
      </c>
      <c r="C7" s="16">
        <v>3</v>
      </c>
      <c r="D7" s="15"/>
      <c r="E7" s="15">
        <v>4</v>
      </c>
      <c r="F7" s="15"/>
      <c r="G7" s="15">
        <v>5</v>
      </c>
      <c r="H7" s="15"/>
      <c r="I7" s="15">
        <v>6</v>
      </c>
      <c r="J7" s="17"/>
      <c r="K7" s="17">
        <v>7</v>
      </c>
      <c r="L7" s="17"/>
      <c r="M7" s="17">
        <v>8</v>
      </c>
      <c r="N7" s="17">
        <v>9</v>
      </c>
      <c r="O7" s="17">
        <v>10</v>
      </c>
      <c r="P7" s="15">
        <v>11</v>
      </c>
      <c r="Q7" s="59">
        <v>12</v>
      </c>
      <c r="R7" s="17">
        <v>13</v>
      </c>
      <c r="S7" s="17"/>
      <c r="T7" s="17">
        <v>14</v>
      </c>
    </row>
    <row r="8" spans="1:31" ht="30.75" customHeight="1">
      <c r="A8" s="18">
        <v>44713</v>
      </c>
      <c r="B8" s="66">
        <v>114</v>
      </c>
      <c r="C8" s="63">
        <v>350.21699999999998</v>
      </c>
      <c r="D8" s="39">
        <f>(C8/976.1)*100</f>
        <v>35.879213195369303</v>
      </c>
      <c r="E8" s="19">
        <v>0</v>
      </c>
      <c r="F8" s="39">
        <f t="shared" ref="F8:F19" si="0">(E8/N8)*100</f>
        <v>0</v>
      </c>
      <c r="G8" s="15">
        <v>0.80900000000000005</v>
      </c>
      <c r="H8" s="39">
        <f t="shared" ref="H8:H19" si="1">(G8/N8)*100</f>
        <v>100</v>
      </c>
      <c r="I8" s="56">
        <v>0</v>
      </c>
      <c r="J8" s="39">
        <f t="shared" ref="J8:J19" si="2">(I8/N8)*100</f>
        <v>0</v>
      </c>
      <c r="K8" s="19">
        <v>0</v>
      </c>
      <c r="L8" s="39">
        <f t="shared" ref="L8:L19" si="3">(K8/N8)*100</f>
        <v>0</v>
      </c>
      <c r="M8" s="19"/>
      <c r="N8" s="20">
        <f>E8+G8+I8+K8+M8</f>
        <v>0.80900000000000005</v>
      </c>
      <c r="O8" s="15">
        <v>0</v>
      </c>
      <c r="P8" s="19">
        <v>3.008</v>
      </c>
      <c r="Q8" s="64">
        <v>110.5</v>
      </c>
      <c r="R8" s="65">
        <v>333.03699999999998</v>
      </c>
      <c r="S8" s="39">
        <f>(R8/976.1)*100</f>
        <v>34.119147628316803</v>
      </c>
      <c r="T8" s="20">
        <f>IF(N8+O8+P8+(R8-C8)&gt;0,N8+O8+P8+(R8-C8),0)</f>
        <v>0</v>
      </c>
      <c r="U8" s="32">
        <f t="shared" ref="U8:U19" si="4">(N8+O8+P8)+(R8-C8)</f>
        <v>-13.363</v>
      </c>
      <c r="V8" s="35">
        <f>(15000000/(2725*0.8*Q8))</f>
        <v>62.269085474698002</v>
      </c>
      <c r="X8" s="32">
        <f t="shared" ref="X8:X19" si="5">C8+T8-O8</f>
        <v>350.21699999999998</v>
      </c>
      <c r="Y8" s="32">
        <f t="shared" ref="Y8:Y19" si="6">N8</f>
        <v>0.80900000000000005</v>
      </c>
      <c r="Z8" s="32">
        <f t="shared" ref="Z8:Z13" si="7">X8-Y8</f>
        <v>349.40800000000002</v>
      </c>
      <c r="AA8" s="32">
        <f>X8-N8-976.1</f>
        <v>-626.69200000000001</v>
      </c>
      <c r="AB8" s="32">
        <f t="shared" ref="AB8:AB19" si="8">(Z8/X8)*100</f>
        <v>99.769000362632298</v>
      </c>
      <c r="AC8" s="32">
        <f t="shared" ref="AC8:AC19" si="9">X8-E8</f>
        <v>350.21699999999998</v>
      </c>
      <c r="AD8" s="32">
        <f t="shared" ref="AD8:AD19" si="10">(AC8/X8)*100</f>
        <v>100</v>
      </c>
    </row>
    <row r="9" spans="1:31" ht="30.75" customHeight="1">
      <c r="A9" s="18">
        <v>44743</v>
      </c>
      <c r="B9" s="66">
        <v>110.8</v>
      </c>
      <c r="C9" s="63">
        <v>337.24299999999999</v>
      </c>
      <c r="D9" s="39">
        <f t="shared" ref="D9:D19" si="11">(C9/976.1)*100</f>
        <v>34.5500461018338</v>
      </c>
      <c r="E9" s="19">
        <v>0</v>
      </c>
      <c r="F9" s="39">
        <f t="shared" si="0"/>
        <v>0</v>
      </c>
      <c r="G9" s="45">
        <f>152.919+0.0554</f>
        <v>152.9744</v>
      </c>
      <c r="H9" s="39">
        <f t="shared" si="1"/>
        <v>100</v>
      </c>
      <c r="I9" s="56">
        <v>0</v>
      </c>
      <c r="J9" s="39">
        <f t="shared" si="2"/>
        <v>0</v>
      </c>
      <c r="K9" s="19">
        <v>0</v>
      </c>
      <c r="L9" s="39">
        <f t="shared" si="3"/>
        <v>0</v>
      </c>
      <c r="M9" s="19"/>
      <c r="N9" s="20">
        <f>E9+G9+I9+K9+M9</f>
        <v>152.9744</v>
      </c>
      <c r="O9" s="15">
        <v>0</v>
      </c>
      <c r="P9" s="19">
        <v>0</v>
      </c>
      <c r="Q9" s="64">
        <v>138.22</v>
      </c>
      <c r="R9" s="65">
        <v>873.14499999999998</v>
      </c>
      <c r="S9" s="39">
        <f t="shared" ref="S9:S20" si="12">(R9/976.1)*100</f>
        <v>89.452412662637002</v>
      </c>
      <c r="T9" s="20">
        <f t="shared" ref="T9:T19" si="13">IF(N9+O9+P9+(R9-C9)&gt;0,N9+O9+P9+(R9-C9),0)</f>
        <v>688.87639999999999</v>
      </c>
      <c r="U9" s="32">
        <f t="shared" si="4"/>
        <v>688.87639999999999</v>
      </c>
      <c r="V9" s="35">
        <f t="shared" ref="V9:V19" si="14">(15000000/(2725*0.8*Q9))</f>
        <v>49.781029843395501</v>
      </c>
      <c r="X9" s="32">
        <f t="shared" si="5"/>
        <v>1026.1194</v>
      </c>
      <c r="Y9" s="32">
        <f t="shared" si="6"/>
        <v>152.9744</v>
      </c>
      <c r="Z9" s="32">
        <f t="shared" si="7"/>
        <v>873.14499999999998</v>
      </c>
      <c r="AA9" s="32">
        <f t="shared" ref="AA9:AA13" si="15">X9-N9-976.1</f>
        <v>-102.955</v>
      </c>
      <c r="AB9" s="32">
        <f t="shared" si="8"/>
        <v>85.091949338449297</v>
      </c>
      <c r="AC9" s="32">
        <f t="shared" si="9"/>
        <v>1026.1194</v>
      </c>
      <c r="AD9" s="32">
        <f t="shared" si="10"/>
        <v>100</v>
      </c>
    </row>
    <row r="10" spans="1:31" ht="30.75" customHeight="1">
      <c r="A10" s="18">
        <v>44774</v>
      </c>
      <c r="B10" s="66">
        <v>138.28</v>
      </c>
      <c r="C10" s="63">
        <v>874.68200000000002</v>
      </c>
      <c r="D10" s="39">
        <f t="shared" si="11"/>
        <v>89.609876037291301</v>
      </c>
      <c r="E10" s="19">
        <v>0</v>
      </c>
      <c r="F10" s="39">
        <f t="shared" si="0"/>
        <v>0</v>
      </c>
      <c r="G10" s="15">
        <v>5.976</v>
      </c>
      <c r="H10" s="39">
        <f t="shared" si="1"/>
        <v>100</v>
      </c>
      <c r="I10" s="56">
        <v>0</v>
      </c>
      <c r="J10" s="39">
        <f t="shared" si="2"/>
        <v>0</v>
      </c>
      <c r="K10" s="19">
        <v>0</v>
      </c>
      <c r="L10" s="39">
        <f t="shared" si="3"/>
        <v>0</v>
      </c>
      <c r="M10" s="19"/>
      <c r="N10" s="20">
        <f t="shared" ref="N10:N19" si="16">E10+G10+I10+K10+M10</f>
        <v>5.976</v>
      </c>
      <c r="O10" s="15">
        <v>0</v>
      </c>
      <c r="P10" s="19">
        <v>0</v>
      </c>
      <c r="Q10" s="64">
        <v>141.09</v>
      </c>
      <c r="R10" s="65">
        <v>974.19899999999996</v>
      </c>
      <c r="S10" s="39">
        <f t="shared" si="12"/>
        <v>99.805245364204495</v>
      </c>
      <c r="T10" s="20">
        <f t="shared" si="13"/>
        <v>105.49299999999999</v>
      </c>
      <c r="U10" s="32">
        <f t="shared" si="4"/>
        <v>105.49299999999999</v>
      </c>
      <c r="V10" s="35">
        <f t="shared" si="14"/>
        <v>48.768402756780297</v>
      </c>
      <c r="X10" s="32">
        <f t="shared" si="5"/>
        <v>980.17499999999995</v>
      </c>
      <c r="Y10" s="32">
        <f t="shared" si="6"/>
        <v>5.976</v>
      </c>
      <c r="Z10" s="32">
        <f t="shared" si="7"/>
        <v>974.19899999999996</v>
      </c>
      <c r="AA10" s="32">
        <f t="shared" si="15"/>
        <v>-1.90100000000007</v>
      </c>
      <c r="AB10" s="32">
        <f t="shared" si="8"/>
        <v>99.390312954319398</v>
      </c>
      <c r="AC10" s="32">
        <f t="shared" si="9"/>
        <v>980.17499999999995</v>
      </c>
      <c r="AD10" s="32">
        <f t="shared" si="10"/>
        <v>100</v>
      </c>
    </row>
    <row r="11" spans="1:31" ht="30.75" customHeight="1">
      <c r="A11" s="18">
        <v>44805</v>
      </c>
      <c r="B11" s="66">
        <v>141.36000000000001</v>
      </c>
      <c r="C11" s="63">
        <v>957.31200000000001</v>
      </c>
      <c r="D11" s="39">
        <f t="shared" si="11"/>
        <v>98.075197213400301</v>
      </c>
      <c r="E11" s="19">
        <v>0</v>
      </c>
      <c r="F11" s="39">
        <f t="shared" si="0"/>
        <v>0</v>
      </c>
      <c r="G11" s="15">
        <v>6.6120000000000001</v>
      </c>
      <c r="H11" s="39">
        <f t="shared" si="1"/>
        <v>100</v>
      </c>
      <c r="I11" s="56">
        <v>0</v>
      </c>
      <c r="J11" s="39">
        <f t="shared" si="2"/>
        <v>0</v>
      </c>
      <c r="K11" s="19">
        <v>0</v>
      </c>
      <c r="L11" s="39">
        <f t="shared" si="3"/>
        <v>0</v>
      </c>
      <c r="M11" s="19"/>
      <c r="N11" s="20">
        <f t="shared" si="16"/>
        <v>6.6120000000000001</v>
      </c>
      <c r="O11" s="15">
        <v>0</v>
      </c>
      <c r="P11" s="19">
        <v>0</v>
      </c>
      <c r="Q11" s="79">
        <v>142</v>
      </c>
      <c r="R11" s="79">
        <v>974.19899999999996</v>
      </c>
      <c r="S11" s="39">
        <f t="shared" si="12"/>
        <v>99.805245364204495</v>
      </c>
      <c r="T11" s="20">
        <f t="shared" si="13"/>
        <v>23.498999999999899</v>
      </c>
      <c r="U11" s="32">
        <f t="shared" si="4"/>
        <v>23.498999999999899</v>
      </c>
      <c r="V11" s="35">
        <f t="shared" si="14"/>
        <v>48.4558728517896</v>
      </c>
      <c r="X11" s="32">
        <f t="shared" si="5"/>
        <v>980.81100000000004</v>
      </c>
      <c r="Y11" s="32">
        <f t="shared" si="6"/>
        <v>6.6120000000000001</v>
      </c>
      <c r="Z11" s="32">
        <f t="shared" si="7"/>
        <v>974.19899999999996</v>
      </c>
      <c r="AA11" s="32">
        <f t="shared" si="15"/>
        <v>-1.90100000000007</v>
      </c>
      <c r="AB11" s="32">
        <f t="shared" si="8"/>
        <v>99.325864004380094</v>
      </c>
      <c r="AC11" s="32">
        <f t="shared" si="9"/>
        <v>980.81100000000004</v>
      </c>
      <c r="AD11" s="32">
        <f t="shared" si="10"/>
        <v>100</v>
      </c>
    </row>
    <row r="12" spans="1:31" ht="30.75" customHeight="1">
      <c r="A12" s="18">
        <v>44835</v>
      </c>
      <c r="B12" s="79">
        <v>142.05000000000001</v>
      </c>
      <c r="C12" s="79">
        <v>975.55100000000004</v>
      </c>
      <c r="D12" s="39">
        <f t="shared" si="11"/>
        <v>99.943755762729197</v>
      </c>
      <c r="E12" s="19">
        <v>0</v>
      </c>
      <c r="F12" s="39">
        <f t="shared" si="0"/>
        <v>0</v>
      </c>
      <c r="G12" s="15">
        <v>91.432000000000002</v>
      </c>
      <c r="H12" s="39">
        <f t="shared" si="1"/>
        <v>100</v>
      </c>
      <c r="I12" s="56">
        <v>0</v>
      </c>
      <c r="J12" s="39">
        <f t="shared" si="2"/>
        <v>0</v>
      </c>
      <c r="K12" s="19">
        <v>0</v>
      </c>
      <c r="L12" s="39">
        <f t="shared" si="3"/>
        <v>0</v>
      </c>
      <c r="M12" s="19"/>
      <c r="N12" s="20">
        <f t="shared" si="16"/>
        <v>91.432000000000002</v>
      </c>
      <c r="O12" s="15">
        <v>0</v>
      </c>
      <c r="P12" s="19">
        <v>0</v>
      </c>
      <c r="Q12" s="79">
        <v>141.28</v>
      </c>
      <c r="R12" s="79">
        <v>954.928</v>
      </c>
      <c r="S12" s="39">
        <f t="shared" si="12"/>
        <v>97.830959942628795</v>
      </c>
      <c r="T12" s="20">
        <f t="shared" si="13"/>
        <v>70.808999999999997</v>
      </c>
      <c r="U12" s="32">
        <f t="shared" si="4"/>
        <v>70.808999999999997</v>
      </c>
      <c r="V12" s="35">
        <f t="shared" si="14"/>
        <v>48.7028167111702</v>
      </c>
      <c r="X12" s="32">
        <f t="shared" si="5"/>
        <v>1046.3599999999999</v>
      </c>
      <c r="Y12" s="32">
        <f t="shared" si="6"/>
        <v>91.432000000000002</v>
      </c>
      <c r="Z12" s="32">
        <f t="shared" si="7"/>
        <v>954.928</v>
      </c>
      <c r="AA12" s="32">
        <f t="shared" si="15"/>
        <v>-21.1720000000001</v>
      </c>
      <c r="AB12" s="32">
        <f t="shared" si="8"/>
        <v>91.261898390611293</v>
      </c>
      <c r="AC12" s="32">
        <f t="shared" si="9"/>
        <v>1046.3599999999999</v>
      </c>
      <c r="AD12" s="32">
        <f t="shared" si="10"/>
        <v>100</v>
      </c>
    </row>
    <row r="13" spans="1:31" ht="30.75" customHeight="1">
      <c r="A13" s="18">
        <v>44866</v>
      </c>
      <c r="B13" s="64">
        <v>141.19999999999999</v>
      </c>
      <c r="C13" s="64">
        <v>952.61400000000003</v>
      </c>
      <c r="D13" s="39">
        <f t="shared" si="11"/>
        <v>97.593894068230696</v>
      </c>
      <c r="E13" s="19">
        <v>0</v>
      </c>
      <c r="F13" s="39">
        <f t="shared" si="0"/>
        <v>0</v>
      </c>
      <c r="G13" s="15">
        <v>99.16</v>
      </c>
      <c r="H13" s="39">
        <f t="shared" si="1"/>
        <v>100</v>
      </c>
      <c r="I13" s="56">
        <v>0</v>
      </c>
      <c r="J13" s="39">
        <f t="shared" si="2"/>
        <v>0</v>
      </c>
      <c r="K13" s="19">
        <v>0</v>
      </c>
      <c r="L13" s="39">
        <f t="shared" si="3"/>
        <v>0</v>
      </c>
      <c r="M13" s="19"/>
      <c r="N13" s="20">
        <f t="shared" si="16"/>
        <v>99.16</v>
      </c>
      <c r="O13" s="15">
        <v>0</v>
      </c>
      <c r="P13" s="19">
        <v>0</v>
      </c>
      <c r="Q13" s="64">
        <v>138.36000000000001</v>
      </c>
      <c r="R13" s="64">
        <v>876.73199999999997</v>
      </c>
      <c r="S13" s="39">
        <f t="shared" si="12"/>
        <v>89.819895502509993</v>
      </c>
      <c r="T13" s="20">
        <f t="shared" si="13"/>
        <v>23.277999999999899</v>
      </c>
      <c r="U13" s="32">
        <f t="shared" si="4"/>
        <v>23.277999999999899</v>
      </c>
      <c r="V13" s="35">
        <f t="shared" si="14"/>
        <v>49.730658752198103</v>
      </c>
      <c r="X13" s="32">
        <f t="shared" si="5"/>
        <v>975.89200000000005</v>
      </c>
      <c r="Y13" s="32">
        <f t="shared" si="6"/>
        <v>99.16</v>
      </c>
      <c r="Z13" s="32">
        <f t="shared" si="7"/>
        <v>876.73199999999997</v>
      </c>
      <c r="AA13" s="32">
        <f t="shared" si="15"/>
        <v>-99.368000000000094</v>
      </c>
      <c r="AB13" s="32">
        <f t="shared" si="8"/>
        <v>89.839039565853597</v>
      </c>
      <c r="AC13" s="32">
        <f t="shared" si="9"/>
        <v>975.89200000000005</v>
      </c>
      <c r="AD13" s="32">
        <f t="shared" si="10"/>
        <v>100</v>
      </c>
    </row>
    <row r="14" spans="1:31" ht="30.75" customHeight="1">
      <c r="A14" s="18">
        <v>44896</v>
      </c>
      <c r="B14" s="66">
        <v>138.26</v>
      </c>
      <c r="C14" s="66">
        <v>874.17</v>
      </c>
      <c r="D14" s="39">
        <f t="shared" si="11"/>
        <v>89.557422395246405</v>
      </c>
      <c r="E14" s="19">
        <v>0</v>
      </c>
      <c r="F14" s="39">
        <f t="shared" si="0"/>
        <v>0</v>
      </c>
      <c r="G14" s="15">
        <v>94.1</v>
      </c>
      <c r="H14" s="39">
        <f t="shared" si="1"/>
        <v>96.108671228679398</v>
      </c>
      <c r="I14" s="56">
        <v>3.81</v>
      </c>
      <c r="J14" s="39">
        <f t="shared" si="2"/>
        <v>3.8913287713206</v>
      </c>
      <c r="K14" s="19">
        <v>0</v>
      </c>
      <c r="L14" s="39">
        <f t="shared" si="3"/>
        <v>0</v>
      </c>
      <c r="M14" s="19"/>
      <c r="N14" s="20">
        <f t="shared" si="16"/>
        <v>97.91</v>
      </c>
      <c r="O14" s="15">
        <v>0</v>
      </c>
      <c r="P14" s="19">
        <v>0</v>
      </c>
      <c r="Q14" s="64">
        <v>134.80000000000001</v>
      </c>
      <c r="R14" s="64">
        <v>788.55600000000004</v>
      </c>
      <c r="S14" s="39">
        <f t="shared" si="12"/>
        <v>80.786394836594596</v>
      </c>
      <c r="T14" s="20">
        <f t="shared" si="13"/>
        <v>12.296000000000101</v>
      </c>
      <c r="U14" s="32">
        <f t="shared" si="4"/>
        <v>12.296000000000101</v>
      </c>
      <c r="V14" s="35">
        <f t="shared" si="14"/>
        <v>51.044020363161202</v>
      </c>
      <c r="X14" s="32">
        <f t="shared" si="5"/>
        <v>886.46600000000001</v>
      </c>
      <c r="Y14" s="32">
        <f t="shared" si="6"/>
        <v>97.91</v>
      </c>
      <c r="Z14" s="32">
        <f t="shared" ref="Z14:Z19" si="17">X14-Y14</f>
        <v>788.55600000000004</v>
      </c>
      <c r="AA14" s="32">
        <f t="shared" ref="AA14:AA19" si="18">X14-N14-976.1</f>
        <v>-187.54400000000001</v>
      </c>
      <c r="AB14" s="32">
        <f t="shared" si="8"/>
        <v>88.955019143430206</v>
      </c>
      <c r="AC14" s="32">
        <f t="shared" si="9"/>
        <v>886.46600000000001</v>
      </c>
      <c r="AD14" s="32">
        <f t="shared" si="10"/>
        <v>100</v>
      </c>
    </row>
    <row r="15" spans="1:31" ht="30.75" customHeight="1">
      <c r="A15" s="18">
        <v>44927</v>
      </c>
      <c r="B15" s="66">
        <v>130.44</v>
      </c>
      <c r="C15" s="63">
        <v>688.053</v>
      </c>
      <c r="D15" s="39">
        <f t="shared" si="11"/>
        <v>70.490011269337202</v>
      </c>
      <c r="E15" s="19">
        <v>0.87</v>
      </c>
      <c r="F15" s="39">
        <f t="shared" si="0"/>
        <v>6.0274352223915804</v>
      </c>
      <c r="G15" s="15">
        <v>0</v>
      </c>
      <c r="H15" s="39">
        <f t="shared" si="1"/>
        <v>0</v>
      </c>
      <c r="I15" s="56">
        <v>13.564</v>
      </c>
      <c r="J15" s="39">
        <f t="shared" si="2"/>
        <v>93.972564777608397</v>
      </c>
      <c r="K15" s="19">
        <v>0</v>
      </c>
      <c r="L15" s="39">
        <f t="shared" si="3"/>
        <v>0</v>
      </c>
      <c r="M15" s="19"/>
      <c r="N15" s="20">
        <f t="shared" si="16"/>
        <v>14.433999999999999</v>
      </c>
      <c r="O15" s="15">
        <v>0</v>
      </c>
      <c r="P15" s="19">
        <v>0</v>
      </c>
      <c r="Q15" s="64">
        <v>126.86</v>
      </c>
      <c r="R15" s="65">
        <v>611.98299999999995</v>
      </c>
      <c r="S15" s="39">
        <f t="shared" si="12"/>
        <v>62.6967523819281</v>
      </c>
      <c r="T15" s="20">
        <f t="shared" si="13"/>
        <v>0</v>
      </c>
      <c r="U15" s="32">
        <f t="shared" si="4"/>
        <v>-61.636000000000102</v>
      </c>
      <c r="V15" s="35">
        <f t="shared" si="14"/>
        <v>54.238798241795102</v>
      </c>
      <c r="X15" s="32">
        <f t="shared" si="5"/>
        <v>688.053</v>
      </c>
      <c r="Y15" s="32">
        <f t="shared" si="6"/>
        <v>14.433999999999999</v>
      </c>
      <c r="Z15" s="32">
        <f t="shared" si="17"/>
        <v>673.61900000000003</v>
      </c>
      <c r="AA15" s="32">
        <f t="shared" si="18"/>
        <v>-302.48099999999999</v>
      </c>
      <c r="AB15" s="32">
        <f t="shared" si="8"/>
        <v>97.902196487770595</v>
      </c>
      <c r="AC15" s="32">
        <f t="shared" si="9"/>
        <v>687.18299999999999</v>
      </c>
      <c r="AD15" s="32">
        <f t="shared" si="10"/>
        <v>99.873556252207294</v>
      </c>
    </row>
    <row r="16" spans="1:31" ht="30.75" customHeight="1">
      <c r="A16" s="18">
        <v>44958</v>
      </c>
      <c r="B16" s="66">
        <v>130.35</v>
      </c>
      <c r="C16" s="63">
        <v>686.07600000000002</v>
      </c>
      <c r="D16" s="39">
        <f t="shared" si="11"/>
        <v>70.287470546050599</v>
      </c>
      <c r="E16" s="19">
        <v>0.88</v>
      </c>
      <c r="F16" s="39">
        <f t="shared" si="0"/>
        <v>4.6689303904923598</v>
      </c>
      <c r="G16" s="20">
        <v>0.86</v>
      </c>
      <c r="H16" s="39">
        <f t="shared" si="1"/>
        <v>4.5628183361629899</v>
      </c>
      <c r="I16" s="56">
        <v>17.108000000000001</v>
      </c>
      <c r="J16" s="39">
        <f t="shared" si="2"/>
        <v>90.768251273344703</v>
      </c>
      <c r="K16" s="19">
        <v>0</v>
      </c>
      <c r="L16" s="39">
        <f t="shared" si="3"/>
        <v>0</v>
      </c>
      <c r="M16" s="19"/>
      <c r="N16" s="20">
        <f t="shared" si="16"/>
        <v>18.847999999999999</v>
      </c>
      <c r="O16" s="15">
        <v>0</v>
      </c>
      <c r="P16" s="19">
        <v>0</v>
      </c>
      <c r="Q16" s="64">
        <v>126.5</v>
      </c>
      <c r="R16" s="65">
        <v>603.68899999999996</v>
      </c>
      <c r="S16" s="39">
        <f t="shared" si="12"/>
        <v>61.847044360208997</v>
      </c>
      <c r="T16" s="20">
        <f t="shared" si="13"/>
        <v>0</v>
      </c>
      <c r="U16" s="32">
        <f t="shared" si="4"/>
        <v>-63.539000000000101</v>
      </c>
      <c r="V16" s="35">
        <f t="shared" si="14"/>
        <v>54.393153715052399</v>
      </c>
      <c r="X16" s="32">
        <f t="shared" si="5"/>
        <v>686.07600000000002</v>
      </c>
      <c r="Y16" s="32">
        <f t="shared" si="6"/>
        <v>18.847999999999999</v>
      </c>
      <c r="Z16" s="32">
        <f t="shared" si="17"/>
        <v>667.22799999999995</v>
      </c>
      <c r="AA16" s="32">
        <f t="shared" si="18"/>
        <v>-308.87200000000001</v>
      </c>
      <c r="AB16" s="32">
        <f t="shared" si="8"/>
        <v>97.252782490569601</v>
      </c>
      <c r="AC16" s="32">
        <f t="shared" si="9"/>
        <v>685.19600000000003</v>
      </c>
      <c r="AD16" s="32">
        <f t="shared" si="10"/>
        <v>99.871734326809303</v>
      </c>
    </row>
    <row r="17" spans="1:30" ht="30.75" customHeight="1">
      <c r="A17" s="18">
        <v>44986</v>
      </c>
      <c r="B17" s="66">
        <v>126.3</v>
      </c>
      <c r="C17" s="63">
        <v>601.65</v>
      </c>
      <c r="D17" s="39">
        <f t="shared" si="11"/>
        <v>61.6381518287061</v>
      </c>
      <c r="E17" s="19">
        <v>0</v>
      </c>
      <c r="F17" s="39">
        <f t="shared" si="0"/>
        <v>0</v>
      </c>
      <c r="G17" s="20">
        <f>77.02+0.86</f>
        <v>77.88</v>
      </c>
      <c r="H17" s="39">
        <f t="shared" si="1"/>
        <v>87.804548068142097</v>
      </c>
      <c r="I17" s="56">
        <v>10.817</v>
      </c>
      <c r="J17" s="39">
        <f t="shared" si="2"/>
        <v>12.1954519318579</v>
      </c>
      <c r="K17" s="19">
        <v>0</v>
      </c>
      <c r="L17" s="39">
        <f t="shared" si="3"/>
        <v>0</v>
      </c>
      <c r="M17" s="19"/>
      <c r="N17" s="20">
        <f t="shared" si="16"/>
        <v>88.697000000000003</v>
      </c>
      <c r="O17" s="15">
        <v>0</v>
      </c>
      <c r="P17" s="19">
        <v>0</v>
      </c>
      <c r="Q17" s="64">
        <v>121.75</v>
      </c>
      <c r="R17" s="65">
        <v>513.35900000000004</v>
      </c>
      <c r="S17" s="39">
        <f t="shared" si="12"/>
        <v>52.592869583034499</v>
      </c>
      <c r="T17" s="20">
        <f t="shared" si="13"/>
        <v>0.40600000000006298</v>
      </c>
      <c r="U17" s="32">
        <f t="shared" si="4"/>
        <v>0.40600000000006298</v>
      </c>
      <c r="V17" s="35">
        <f t="shared" si="14"/>
        <v>56.515268541717703</v>
      </c>
      <c r="X17" s="32">
        <f t="shared" si="5"/>
        <v>602.05600000000004</v>
      </c>
      <c r="Y17" s="32">
        <f t="shared" si="6"/>
        <v>88.697000000000003</v>
      </c>
      <c r="Z17" s="32">
        <f t="shared" si="17"/>
        <v>513.35900000000004</v>
      </c>
      <c r="AA17" s="32">
        <f t="shared" si="18"/>
        <v>-462.74099999999999</v>
      </c>
      <c r="AB17" s="32">
        <f t="shared" si="8"/>
        <v>85.2676495209748</v>
      </c>
      <c r="AC17" s="32">
        <f t="shared" si="9"/>
        <v>602.05600000000004</v>
      </c>
      <c r="AD17" s="32">
        <f t="shared" si="10"/>
        <v>100</v>
      </c>
    </row>
    <row r="18" spans="1:30" ht="30.75" customHeight="1">
      <c r="A18" s="18">
        <v>45383</v>
      </c>
      <c r="B18" s="66">
        <v>121.65</v>
      </c>
      <c r="C18" s="63">
        <v>518.54899999999998</v>
      </c>
      <c r="D18" s="39">
        <f t="shared" si="11"/>
        <v>53.124577399856598</v>
      </c>
      <c r="E18" s="19">
        <v>0</v>
      </c>
      <c r="F18" s="39">
        <f t="shared" si="0"/>
        <v>0</v>
      </c>
      <c r="G18" s="20">
        <f>0.73+84.68</f>
        <v>85.41</v>
      </c>
      <c r="H18" s="39">
        <f t="shared" si="1"/>
        <v>88.987289018545496</v>
      </c>
      <c r="I18" s="56">
        <v>10.57</v>
      </c>
      <c r="J18" s="39">
        <f t="shared" si="2"/>
        <v>11.0127109814545</v>
      </c>
      <c r="K18" s="19">
        <v>0</v>
      </c>
      <c r="L18" s="39">
        <f t="shared" si="3"/>
        <v>0</v>
      </c>
      <c r="M18" s="19"/>
      <c r="N18" s="20">
        <f t="shared" si="16"/>
        <v>95.98</v>
      </c>
      <c r="O18" s="15">
        <v>0</v>
      </c>
      <c r="P18" s="19">
        <v>0</v>
      </c>
      <c r="Q18" s="64">
        <v>116.9</v>
      </c>
      <c r="R18" s="65">
        <v>429.82600000000002</v>
      </c>
      <c r="S18" s="39">
        <f t="shared" si="12"/>
        <v>44.0350373937097</v>
      </c>
      <c r="T18" s="20">
        <f t="shared" si="13"/>
        <v>7.2570000000000299</v>
      </c>
      <c r="U18" s="32">
        <f t="shared" si="4"/>
        <v>7.2570000000000299</v>
      </c>
      <c r="V18" s="35">
        <f t="shared" si="14"/>
        <v>58.859999529120003</v>
      </c>
      <c r="X18" s="32">
        <f t="shared" si="5"/>
        <v>525.80600000000004</v>
      </c>
      <c r="Y18" s="32">
        <f t="shared" si="6"/>
        <v>95.98</v>
      </c>
      <c r="Z18" s="32">
        <f t="shared" si="17"/>
        <v>429.82600000000002</v>
      </c>
      <c r="AA18" s="32">
        <f t="shared" si="18"/>
        <v>-546.274</v>
      </c>
      <c r="AB18" s="32">
        <f t="shared" si="8"/>
        <v>81.746119291145405</v>
      </c>
      <c r="AC18" s="32">
        <f t="shared" si="9"/>
        <v>525.80600000000004</v>
      </c>
      <c r="AD18" s="32">
        <f t="shared" si="10"/>
        <v>100</v>
      </c>
    </row>
    <row r="19" spans="1:30" ht="30.75" customHeight="1">
      <c r="A19" s="18">
        <v>45778</v>
      </c>
      <c r="B19" s="66">
        <v>116.7</v>
      </c>
      <c r="C19" s="63">
        <v>426.60300000000001</v>
      </c>
      <c r="D19" s="39">
        <f t="shared" si="11"/>
        <v>43.704845814978</v>
      </c>
      <c r="E19" s="19">
        <v>0</v>
      </c>
      <c r="F19" s="39">
        <f t="shared" si="0"/>
        <v>0</v>
      </c>
      <c r="G19" s="20">
        <f>0.68+94.05</f>
        <v>94.73</v>
      </c>
      <c r="H19" s="39">
        <f t="shared" si="1"/>
        <v>96.994829263298001</v>
      </c>
      <c r="I19" s="56">
        <v>2.9350000000000001</v>
      </c>
      <c r="J19" s="39">
        <f t="shared" si="2"/>
        <v>3.0051707367019902</v>
      </c>
      <c r="K19" s="19">
        <v>0</v>
      </c>
      <c r="L19" s="39">
        <f t="shared" si="3"/>
        <v>0</v>
      </c>
      <c r="M19" s="19"/>
      <c r="N19" s="20">
        <f t="shared" si="16"/>
        <v>97.665000000000006</v>
      </c>
      <c r="O19" s="15">
        <v>0</v>
      </c>
      <c r="P19" s="19">
        <v>0</v>
      </c>
      <c r="Q19" s="64">
        <v>110.95</v>
      </c>
      <c r="R19" s="65">
        <v>339.33100000000002</v>
      </c>
      <c r="S19" s="39">
        <f t="shared" si="12"/>
        <v>34.763958610798099</v>
      </c>
      <c r="T19" s="20">
        <f t="shared" si="13"/>
        <v>10.393000000000001</v>
      </c>
      <c r="U19" s="32">
        <f t="shared" si="4"/>
        <v>10.393000000000001</v>
      </c>
      <c r="V19" s="35">
        <f t="shared" si="14"/>
        <v>62.016529472321999</v>
      </c>
      <c r="X19" s="32">
        <f t="shared" si="5"/>
        <v>436.99599999999998</v>
      </c>
      <c r="Y19" s="32">
        <f t="shared" si="6"/>
        <v>97.665000000000006</v>
      </c>
      <c r="Z19" s="32">
        <f t="shared" si="17"/>
        <v>339.33100000000002</v>
      </c>
      <c r="AA19" s="32">
        <f t="shared" si="18"/>
        <v>-636.76900000000001</v>
      </c>
      <c r="AB19" s="32">
        <f t="shared" si="8"/>
        <v>77.650825179177801</v>
      </c>
      <c r="AC19" s="32">
        <f t="shared" si="9"/>
        <v>436.99599999999998</v>
      </c>
      <c r="AD19" s="32">
        <f t="shared" si="10"/>
        <v>100</v>
      </c>
    </row>
    <row r="20" spans="1:30">
      <c r="A20" s="46" t="s">
        <v>28</v>
      </c>
      <c r="B20" s="28"/>
      <c r="C20" s="47"/>
      <c r="D20" s="39"/>
      <c r="E20" s="47"/>
      <c r="F20" s="48"/>
      <c r="G20" s="48"/>
      <c r="H20" s="50"/>
      <c r="I20" s="50"/>
      <c r="J20" s="47"/>
      <c r="K20" s="47"/>
      <c r="L20" s="47"/>
      <c r="M20" s="47"/>
      <c r="N20" s="48"/>
      <c r="O20" s="57"/>
      <c r="P20" s="47"/>
      <c r="Q20" s="57"/>
      <c r="R20" s="57"/>
      <c r="S20" s="39">
        <f t="shared" si="12"/>
        <v>0</v>
      </c>
      <c r="T20" s="48"/>
    </row>
    <row r="21" spans="1:30">
      <c r="A21" s="49"/>
      <c r="B21" s="28"/>
      <c r="C21" s="47"/>
      <c r="D21" s="47"/>
      <c r="E21" s="47"/>
      <c r="F21" s="48"/>
      <c r="G21" s="48"/>
      <c r="H21" s="50"/>
      <c r="I21" s="50"/>
      <c r="J21" s="47"/>
      <c r="K21" s="47"/>
      <c r="L21" s="47"/>
      <c r="M21" s="47"/>
      <c r="N21" s="48"/>
      <c r="O21" s="57"/>
      <c r="P21" s="47"/>
      <c r="Q21" s="57"/>
      <c r="R21" s="57"/>
      <c r="S21" s="48"/>
      <c r="T21" s="48"/>
    </row>
    <row r="22" spans="1:30">
      <c r="A22" s="49"/>
      <c r="B22" s="28"/>
      <c r="C22" s="47"/>
      <c r="D22" s="47"/>
      <c r="E22" s="47"/>
      <c r="F22" s="48"/>
      <c r="G22" s="48"/>
      <c r="H22" s="50"/>
      <c r="I22" s="50"/>
      <c r="J22" s="47"/>
      <c r="K22" s="47"/>
      <c r="L22" s="47"/>
      <c r="M22" s="47"/>
      <c r="N22" s="48"/>
      <c r="O22" s="57"/>
      <c r="P22" s="47"/>
      <c r="Q22" s="57"/>
      <c r="R22" s="57"/>
      <c r="S22" s="48"/>
      <c r="T22" s="48"/>
    </row>
    <row r="23" spans="1:30">
      <c r="A23" s="49"/>
      <c r="B23" s="86" t="s">
        <v>29</v>
      </c>
      <c r="C23" s="86"/>
      <c r="D23" s="86"/>
      <c r="E23" s="86"/>
      <c r="F23" s="48"/>
      <c r="G23" s="48"/>
      <c r="H23" s="50"/>
      <c r="I23" s="50"/>
      <c r="J23" s="47"/>
      <c r="K23" s="47"/>
      <c r="L23" s="47"/>
      <c r="M23" s="47"/>
      <c r="N23" s="48"/>
      <c r="O23" s="54"/>
      <c r="P23" s="86" t="s">
        <v>30</v>
      </c>
      <c r="Q23" s="86"/>
      <c r="R23" s="86"/>
      <c r="S23" s="52"/>
      <c r="T23" s="52"/>
    </row>
    <row r="24" spans="1:30">
      <c r="A24" s="49"/>
      <c r="B24" s="86" t="s">
        <v>31</v>
      </c>
      <c r="C24" s="86"/>
      <c r="D24" s="86"/>
      <c r="E24" s="86"/>
      <c r="F24" s="48"/>
      <c r="G24" s="48"/>
      <c r="H24" s="50"/>
      <c r="I24" s="50"/>
      <c r="J24" s="47"/>
      <c r="K24" s="47"/>
      <c r="L24" s="47"/>
      <c r="M24" s="47"/>
      <c r="N24" s="48"/>
      <c r="O24" s="86" t="s">
        <v>32</v>
      </c>
      <c r="P24" s="86"/>
      <c r="Q24" s="86"/>
      <c r="R24" s="86"/>
      <c r="S24" s="86"/>
      <c r="T24" s="86"/>
    </row>
    <row r="25" spans="1:30">
      <c r="A25" s="49"/>
      <c r="B25" s="86" t="s">
        <v>33</v>
      </c>
      <c r="C25" s="86"/>
      <c r="D25" s="86"/>
      <c r="E25" s="86"/>
      <c r="F25" s="48"/>
      <c r="G25" s="48"/>
      <c r="H25" s="50"/>
      <c r="I25" s="50"/>
      <c r="J25" s="47"/>
      <c r="K25" s="47"/>
      <c r="L25" s="47"/>
      <c r="M25" s="47"/>
      <c r="N25" s="48"/>
      <c r="O25" s="54"/>
      <c r="P25" s="86" t="s">
        <v>33</v>
      </c>
      <c r="Q25" s="86"/>
      <c r="R25" s="86"/>
      <c r="S25" s="52"/>
      <c r="T25" s="52"/>
    </row>
  </sheetData>
  <mergeCells count="22">
    <mergeCell ref="B25:E25"/>
    <mergeCell ref="P25:R25"/>
    <mergeCell ref="A4:A6"/>
    <mergeCell ref="B4:B6"/>
    <mergeCell ref="C4:C6"/>
    <mergeCell ref="E5:E6"/>
    <mergeCell ref="G5:G6"/>
    <mergeCell ref="I5:I6"/>
    <mergeCell ref="K5:K6"/>
    <mergeCell ref="M5:M6"/>
    <mergeCell ref="N4:N6"/>
    <mergeCell ref="O4:O6"/>
    <mergeCell ref="P4:P6"/>
    <mergeCell ref="Q4:Q6"/>
    <mergeCell ref="R4:R6"/>
    <mergeCell ref="A1:T1"/>
    <mergeCell ref="E4:M4"/>
    <mergeCell ref="B23:E23"/>
    <mergeCell ref="P23:R23"/>
    <mergeCell ref="B24:E24"/>
    <mergeCell ref="O24:T24"/>
    <mergeCell ref="T4:T6"/>
  </mergeCells>
  <printOptions horizontalCentered="1" verticalCentered="1"/>
  <pageMargins left="0.45" right="0.45" top="0.5" bottom="0.5" header="0.3" footer="0.3"/>
  <pageSetup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Y29"/>
  <sheetViews>
    <sheetView view="pageBreakPreview" topLeftCell="A10" zoomScaleNormal="100" workbookViewId="0">
      <selection activeCell="A9" sqref="A9:U20"/>
    </sheetView>
  </sheetViews>
  <sheetFormatPr defaultColWidth="9" defaultRowHeight="14.4"/>
  <cols>
    <col min="1" max="1" width="12.5546875" style="36" customWidth="1"/>
    <col min="2" max="2" width="9.109375" style="37" customWidth="1"/>
    <col min="3" max="3" width="9.33203125" style="36" customWidth="1"/>
    <col min="4" max="5" width="10.109375" style="36" customWidth="1"/>
    <col min="6" max="7" width="8.5546875" style="36" customWidth="1"/>
    <col min="8" max="9" width="9.109375" style="36" customWidth="1"/>
    <col min="10" max="11" width="10.109375" customWidth="1"/>
    <col min="12" max="13" width="8.33203125" style="36" customWidth="1"/>
    <col min="14" max="15" width="7.6640625" style="36" customWidth="1"/>
    <col min="16" max="16" width="11.6640625" style="36" customWidth="1"/>
    <col min="17" max="17" width="9.6640625" style="36" customWidth="1"/>
    <col min="18" max="19" width="9.33203125" style="36" customWidth="1"/>
    <col min="20" max="21" width="10" style="36" customWidth="1"/>
    <col min="22" max="22" width="11.88671875" customWidth="1"/>
    <col min="23" max="242" width="10" customWidth="1"/>
  </cols>
  <sheetData>
    <row r="1" spans="1:25" s="26" customFormat="1" ht="26.25" customHeight="1">
      <c r="A1" s="103"/>
      <c r="B1" s="103"/>
      <c r="C1" s="103"/>
      <c r="D1" s="103"/>
      <c r="E1" s="103"/>
      <c r="F1" s="103"/>
      <c r="G1" s="103"/>
      <c r="H1" s="103"/>
      <c r="I1" s="103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</row>
    <row r="2" spans="1:25" s="26" customFormat="1" ht="26.25" customHeight="1">
      <c r="A2" s="105" t="s">
        <v>61</v>
      </c>
      <c r="B2" s="105"/>
      <c r="C2" s="105"/>
      <c r="D2" s="105"/>
      <c r="E2" s="105"/>
      <c r="F2" s="105"/>
      <c r="G2" s="105"/>
      <c r="H2" s="105"/>
      <c r="I2" s="105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</row>
    <row r="3" spans="1:25" s="26" customFormat="1" ht="26.25" customHeight="1">
      <c r="A3" s="3" t="s">
        <v>1</v>
      </c>
      <c r="B3" s="80" t="s">
        <v>2</v>
      </c>
      <c r="C3" s="4"/>
      <c r="D3" s="4"/>
      <c r="E3" s="4"/>
      <c r="F3" s="4"/>
      <c r="G3" s="4"/>
      <c r="H3" s="3"/>
      <c r="I3" s="3"/>
      <c r="J3" s="5"/>
      <c r="K3" s="5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5" s="26" customFormat="1" ht="26.25" customHeight="1">
      <c r="A4" s="3" t="s">
        <v>3</v>
      </c>
      <c r="B4" s="80" t="s">
        <v>4</v>
      </c>
      <c r="C4" s="6"/>
      <c r="D4" s="6"/>
      <c r="E4" s="6"/>
      <c r="F4" s="6"/>
      <c r="G4" s="6"/>
      <c r="H4" s="6"/>
      <c r="I4" s="6"/>
      <c r="J4" s="7"/>
      <c r="K4" s="7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5" ht="14.4" customHeight="1">
      <c r="A5" s="88" t="s">
        <v>5</v>
      </c>
      <c r="B5" s="87" t="s">
        <v>62</v>
      </c>
      <c r="C5" s="92" t="s">
        <v>63</v>
      </c>
      <c r="D5" s="10"/>
      <c r="E5" s="92" t="s">
        <v>64</v>
      </c>
      <c r="F5" s="92"/>
      <c r="G5" s="92"/>
      <c r="H5" s="92"/>
      <c r="I5" s="92"/>
      <c r="J5" s="92"/>
      <c r="K5" s="92"/>
      <c r="L5" s="92"/>
      <c r="M5" s="92"/>
      <c r="N5" s="10"/>
      <c r="O5" s="92" t="s">
        <v>65</v>
      </c>
      <c r="P5" s="92" t="s">
        <v>10</v>
      </c>
      <c r="Q5" s="92" t="s">
        <v>11</v>
      </c>
      <c r="R5" s="107" t="s">
        <v>66</v>
      </c>
      <c r="S5" s="89" t="s">
        <v>67</v>
      </c>
      <c r="T5" s="27"/>
      <c r="U5" s="92" t="s">
        <v>68</v>
      </c>
    </row>
    <row r="6" spans="1:25" ht="43.2" customHeight="1">
      <c r="A6" s="88"/>
      <c r="B6" s="87"/>
      <c r="C6" s="92"/>
      <c r="D6" s="11"/>
      <c r="E6" s="100" t="s">
        <v>69</v>
      </c>
      <c r="F6" s="11"/>
      <c r="G6" s="100" t="s">
        <v>16</v>
      </c>
      <c r="H6" s="11"/>
      <c r="I6" s="100" t="s">
        <v>17</v>
      </c>
      <c r="J6" s="12"/>
      <c r="K6" s="90" t="s">
        <v>70</v>
      </c>
      <c r="L6" s="12"/>
      <c r="M6" s="91" t="s">
        <v>71</v>
      </c>
      <c r="N6" s="13"/>
      <c r="O6" s="92"/>
      <c r="P6" s="102"/>
      <c r="Q6" s="102"/>
      <c r="R6" s="108"/>
      <c r="S6" s="90"/>
      <c r="T6" s="12"/>
      <c r="U6" s="92"/>
    </row>
    <row r="7" spans="1:25" ht="61.95" customHeight="1">
      <c r="A7" s="88"/>
      <c r="B7" s="87"/>
      <c r="C7" s="92"/>
      <c r="D7" s="14"/>
      <c r="E7" s="101"/>
      <c r="F7" s="14"/>
      <c r="G7" s="101"/>
      <c r="H7" s="14"/>
      <c r="I7" s="101"/>
      <c r="J7" s="13"/>
      <c r="K7" s="91"/>
      <c r="L7" s="13"/>
      <c r="M7" s="92"/>
      <c r="N7" s="10"/>
      <c r="O7" s="92"/>
      <c r="P7" s="102"/>
      <c r="Q7" s="102"/>
      <c r="R7" s="109"/>
      <c r="S7" s="91"/>
      <c r="T7" s="13"/>
      <c r="U7" s="92"/>
      <c r="V7" s="29" t="s">
        <v>20</v>
      </c>
      <c r="W7" s="32">
        <f>C9+O9+P9</f>
        <v>377.75299999999999</v>
      </c>
      <c r="X7" s="32">
        <f>S9-C9</f>
        <v>129.60499999999999</v>
      </c>
    </row>
    <row r="8" spans="1:25">
      <c r="A8" s="15">
        <v>1</v>
      </c>
      <c r="B8" s="16">
        <v>2</v>
      </c>
      <c r="C8" s="15">
        <v>3</v>
      </c>
      <c r="D8" s="15"/>
      <c r="E8" s="15">
        <v>4</v>
      </c>
      <c r="F8" s="15"/>
      <c r="G8" s="15">
        <v>5</v>
      </c>
      <c r="H8" s="15"/>
      <c r="I8" s="15">
        <v>6</v>
      </c>
      <c r="J8" s="17"/>
      <c r="K8" s="17">
        <v>7</v>
      </c>
      <c r="L8" s="17"/>
      <c r="M8" s="17">
        <v>8</v>
      </c>
      <c r="N8" s="17"/>
      <c r="O8" s="17">
        <v>9</v>
      </c>
      <c r="P8" s="17">
        <v>10</v>
      </c>
      <c r="Q8" s="17">
        <v>11</v>
      </c>
      <c r="R8" s="17">
        <v>12</v>
      </c>
      <c r="S8" s="17">
        <v>13</v>
      </c>
      <c r="T8" s="17"/>
      <c r="U8" s="17">
        <v>14</v>
      </c>
    </row>
    <row r="9" spans="1:25" s="28" customFormat="1" ht="30.75" customHeight="1">
      <c r="A9" s="18">
        <v>41426</v>
      </c>
      <c r="B9" s="19">
        <v>111.04</v>
      </c>
      <c r="C9" s="19">
        <v>340.60300000000001</v>
      </c>
      <c r="D9" s="39">
        <f>(C9/976.1)*100</f>
        <v>34.894273127753301</v>
      </c>
      <c r="E9" s="20">
        <v>25.065999999999999</v>
      </c>
      <c r="F9" s="39">
        <f>(E9/O9)*100</f>
        <v>68.866421231935803</v>
      </c>
      <c r="G9" s="20">
        <v>11.234999999999999</v>
      </c>
      <c r="H9" s="39">
        <f>(G9/O9)*100</f>
        <v>30.867080608824701</v>
      </c>
      <c r="I9" s="20">
        <v>0</v>
      </c>
      <c r="J9" s="39">
        <f>(I9/O9)*100</f>
        <v>0</v>
      </c>
      <c r="K9" s="20">
        <v>0</v>
      </c>
      <c r="L9" s="39">
        <f>(K9/O9)*100</f>
        <v>0</v>
      </c>
      <c r="M9" s="20">
        <v>9.7000000000000003E-2</v>
      </c>
      <c r="N9" s="39">
        <f>(M9/O9)*100</f>
        <v>0.26649815923951897</v>
      </c>
      <c r="O9" s="19">
        <f>E9+G9+I9+K9+M9</f>
        <v>36.398000000000003</v>
      </c>
      <c r="P9" s="19">
        <v>0.752</v>
      </c>
      <c r="Q9" s="19">
        <v>0</v>
      </c>
      <c r="R9" s="19">
        <v>119.31</v>
      </c>
      <c r="S9" s="19">
        <v>470.20800000000003</v>
      </c>
      <c r="T9" s="39">
        <f>(S9/976.1)*100</f>
        <v>48.172113512959697</v>
      </c>
      <c r="U9" s="19">
        <f>IF((S9-C9)+O9+P9+Q9&gt;0,(S9-C9)+O9+P9+Q9,0)</f>
        <v>166.755</v>
      </c>
      <c r="V9" s="35">
        <f t="shared" ref="V9:V20" si="0">(15000000/(2725*0.9*R9))</f>
        <v>51.263162778227603</v>
      </c>
      <c r="W9" s="32">
        <f>C9+U9-P9</f>
        <v>506.60599999999999</v>
      </c>
      <c r="X9" s="32">
        <f>W9-I9-O9</f>
        <v>470.20800000000003</v>
      </c>
      <c r="Y9" s="32">
        <f t="shared" ref="Y9:Y20" si="1">W9-O9-976.1</f>
        <v>-505.892</v>
      </c>
    </row>
    <row r="10" spans="1:25" s="28" customFormat="1" ht="30.75" customHeight="1">
      <c r="A10" s="18">
        <v>41456</v>
      </c>
      <c r="B10" s="19">
        <v>119.7</v>
      </c>
      <c r="C10" s="19">
        <v>476.97699999999998</v>
      </c>
      <c r="D10" s="39">
        <f t="shared" ref="D10:D20" si="2">(C10/976.1)*100</f>
        <v>48.865587542260002</v>
      </c>
      <c r="E10" s="20">
        <v>25.838999999999999</v>
      </c>
      <c r="F10" s="39">
        <f t="shared" ref="F10:F20" si="3">(E10/O10)*100</f>
        <v>30.208686502601299</v>
      </c>
      <c r="G10" s="20">
        <v>10</v>
      </c>
      <c r="H10" s="39">
        <f t="shared" ref="H10:H20" si="4">(G10/O10)*100</f>
        <v>11.6911205939089</v>
      </c>
      <c r="I10" s="20">
        <v>0</v>
      </c>
      <c r="J10" s="39">
        <f t="shared" ref="J10:J20" si="5">(I10/O10)*100</f>
        <v>0</v>
      </c>
      <c r="K10" s="19">
        <v>49.47</v>
      </c>
      <c r="L10" s="39">
        <f t="shared" ref="L10:L20" si="6">(K10/O10)*100</f>
        <v>57.835973578067502</v>
      </c>
      <c r="M10" s="19">
        <v>0.22600000000000001</v>
      </c>
      <c r="N10" s="39">
        <f t="shared" ref="N10:N20" si="7">(M10/O10)*100</f>
        <v>0.264219325422342</v>
      </c>
      <c r="O10" s="19">
        <f t="shared" ref="O10:O20" si="8">E10+G10+I10+K10+M10</f>
        <v>85.534999999999997</v>
      </c>
      <c r="P10" s="19">
        <v>0.4</v>
      </c>
      <c r="Q10" s="19">
        <v>0</v>
      </c>
      <c r="R10" s="19">
        <v>138.13</v>
      </c>
      <c r="S10" s="19">
        <v>870.83900000000006</v>
      </c>
      <c r="T10" s="39">
        <f t="shared" ref="T10:T21" si="9">(S10/976.1)*100</f>
        <v>89.216166376395904</v>
      </c>
      <c r="U10" s="19">
        <f t="shared" ref="U10:U20" si="10">IF((S10-C10)+O10+P10+Q10&gt;0,(S10-C10)+O10+P10+Q10,0)</f>
        <v>479.79700000000003</v>
      </c>
      <c r="V10" s="35">
        <f t="shared" si="0"/>
        <v>44.278635713243602</v>
      </c>
      <c r="W10" s="32">
        <f>C10+U10-P10</f>
        <v>956.37400000000002</v>
      </c>
      <c r="X10" s="32">
        <f>W10-I10-O10</f>
        <v>870.83900000000006</v>
      </c>
      <c r="Y10" s="32">
        <f t="shared" si="1"/>
        <v>-105.261</v>
      </c>
    </row>
    <row r="11" spans="1:25" s="28" customFormat="1" ht="30.75" customHeight="1">
      <c r="A11" s="18">
        <v>41487</v>
      </c>
      <c r="B11" s="19">
        <v>138.41</v>
      </c>
      <c r="C11" s="19">
        <v>878.01300000000003</v>
      </c>
      <c r="D11" s="39">
        <f t="shared" si="2"/>
        <v>89.951132056141802</v>
      </c>
      <c r="E11" s="20">
        <v>64.661000000000001</v>
      </c>
      <c r="F11" s="39">
        <f t="shared" si="3"/>
        <v>24.138947997162798</v>
      </c>
      <c r="G11" s="20">
        <v>13.36</v>
      </c>
      <c r="H11" s="39">
        <f t="shared" si="4"/>
        <v>4.9874939336245196</v>
      </c>
      <c r="I11" s="20">
        <v>0</v>
      </c>
      <c r="J11" s="39">
        <f t="shared" si="5"/>
        <v>0</v>
      </c>
      <c r="K11" s="19">
        <v>189.39</v>
      </c>
      <c r="L11" s="39">
        <f t="shared" si="6"/>
        <v>70.702206294097905</v>
      </c>
      <c r="M11" s="19">
        <v>0.45900000000000002</v>
      </c>
      <c r="N11" s="39">
        <f t="shared" si="7"/>
        <v>0.17135177511479399</v>
      </c>
      <c r="O11" s="19">
        <f t="shared" si="8"/>
        <v>267.87</v>
      </c>
      <c r="P11" s="19">
        <v>0.89500000000000002</v>
      </c>
      <c r="Q11" s="19">
        <v>0</v>
      </c>
      <c r="R11" s="19">
        <v>140.5</v>
      </c>
      <c r="S11" s="19">
        <v>933.02499999999998</v>
      </c>
      <c r="T11" s="39">
        <f t="shared" si="9"/>
        <v>95.587030017416197</v>
      </c>
      <c r="U11" s="19">
        <f t="shared" si="10"/>
        <v>323.77699999999999</v>
      </c>
      <c r="V11" s="35">
        <f t="shared" si="0"/>
        <v>43.531729189112703</v>
      </c>
      <c r="W11" s="32">
        <f>C11+U11-P11</f>
        <v>1200.895</v>
      </c>
      <c r="X11" s="32">
        <f>W11-I11-O11</f>
        <v>933.02499999999998</v>
      </c>
      <c r="Y11" s="32">
        <f t="shared" si="1"/>
        <v>-43.075000000000003</v>
      </c>
    </row>
    <row r="12" spans="1:25" s="28" customFormat="1" ht="30.75" customHeight="1">
      <c r="A12" s="18">
        <v>41518</v>
      </c>
      <c r="B12" s="19">
        <v>140.54</v>
      </c>
      <c r="C12" s="19">
        <v>934.12199999999996</v>
      </c>
      <c r="D12" s="39">
        <f t="shared" si="2"/>
        <v>95.699416043438205</v>
      </c>
      <c r="E12" s="20">
        <v>44.866999999999997</v>
      </c>
      <c r="F12" s="39">
        <f t="shared" si="3"/>
        <v>32.930633335045897</v>
      </c>
      <c r="G12" s="20">
        <v>13.5</v>
      </c>
      <c r="H12" s="39">
        <f t="shared" si="4"/>
        <v>9.9084750489918996</v>
      </c>
      <c r="I12" s="20">
        <v>0</v>
      </c>
      <c r="J12" s="39">
        <f t="shared" si="5"/>
        <v>0</v>
      </c>
      <c r="K12" s="19">
        <v>77.355999999999995</v>
      </c>
      <c r="L12" s="39">
        <f t="shared" si="6"/>
        <v>56.776295991838303</v>
      </c>
      <c r="M12" s="19">
        <v>0.52400000000000002</v>
      </c>
      <c r="N12" s="39">
        <f t="shared" si="7"/>
        <v>0.38459562412383402</v>
      </c>
      <c r="O12" s="19">
        <f t="shared" si="8"/>
        <v>136.24700000000001</v>
      </c>
      <c r="P12" s="19">
        <v>1.1120000000000001</v>
      </c>
      <c r="Q12" s="19">
        <v>0</v>
      </c>
      <c r="R12" s="19">
        <v>142.03</v>
      </c>
      <c r="S12" s="19">
        <v>976.1</v>
      </c>
      <c r="T12" s="39">
        <f t="shared" si="9"/>
        <v>100</v>
      </c>
      <c r="U12" s="19">
        <f t="shared" si="10"/>
        <v>179.33699999999999</v>
      </c>
      <c r="V12" s="35">
        <f t="shared" si="0"/>
        <v>43.062789207000897</v>
      </c>
      <c r="W12" s="32">
        <f>C12+U12-P12</f>
        <v>1112.347</v>
      </c>
      <c r="X12" s="32">
        <f>W12-I12-O12</f>
        <v>976.1</v>
      </c>
      <c r="Y12" s="32">
        <f t="shared" si="1"/>
        <v>0</v>
      </c>
    </row>
    <row r="13" spans="1:25" s="28" customFormat="1" ht="30.75" customHeight="1">
      <c r="A13" s="18">
        <v>41548</v>
      </c>
      <c r="B13" s="19">
        <v>142</v>
      </c>
      <c r="C13" s="19">
        <v>976.1</v>
      </c>
      <c r="D13" s="39">
        <f t="shared" si="2"/>
        <v>100</v>
      </c>
      <c r="E13" s="20">
        <v>56.973999999999997</v>
      </c>
      <c r="F13" s="39">
        <f t="shared" si="3"/>
        <v>71.378100726634898</v>
      </c>
      <c r="G13" s="20">
        <v>13.95</v>
      </c>
      <c r="H13" s="39">
        <f t="shared" si="4"/>
        <v>17.476822851415701</v>
      </c>
      <c r="I13" s="20">
        <v>0</v>
      </c>
      <c r="J13" s="39">
        <f t="shared" si="5"/>
        <v>0</v>
      </c>
      <c r="K13" s="19">
        <v>8.27</v>
      </c>
      <c r="L13" s="39">
        <f t="shared" si="6"/>
        <v>10.360811826609901</v>
      </c>
      <c r="M13" s="19">
        <v>0.626</v>
      </c>
      <c r="N13" s="39">
        <f t="shared" si="7"/>
        <v>0.78426459533951398</v>
      </c>
      <c r="O13" s="19">
        <f t="shared" si="8"/>
        <v>79.819999999999993</v>
      </c>
      <c r="P13" s="19">
        <v>2.032</v>
      </c>
      <c r="Q13" s="19">
        <v>0</v>
      </c>
      <c r="R13" s="19">
        <v>141.19</v>
      </c>
      <c r="S13" s="19">
        <v>952.32100000000003</v>
      </c>
      <c r="T13" s="39">
        <f t="shared" si="9"/>
        <v>97.563876651982397</v>
      </c>
      <c r="U13" s="19">
        <f t="shared" si="10"/>
        <v>58.073</v>
      </c>
      <c r="V13" s="35">
        <f t="shared" si="0"/>
        <v>43.318988250374197</v>
      </c>
      <c r="W13" s="32">
        <f>C13+U13-P13</f>
        <v>1032.1410000000001</v>
      </c>
      <c r="X13" s="32">
        <f t="shared" ref="X13:X21" si="11">W13-I13-O13</f>
        <v>952.32100000000003</v>
      </c>
      <c r="Y13" s="32">
        <f t="shared" si="1"/>
        <v>-23.7789999999999</v>
      </c>
    </row>
    <row r="14" spans="1:25" s="28" customFormat="1" ht="30.75" customHeight="1">
      <c r="A14" s="18">
        <v>41579</v>
      </c>
      <c r="B14" s="19">
        <v>141.1</v>
      </c>
      <c r="C14" s="19">
        <v>949.67899999999997</v>
      </c>
      <c r="D14" s="39">
        <f t="shared" si="2"/>
        <v>97.293207663149303</v>
      </c>
      <c r="E14" s="20">
        <v>60.07</v>
      </c>
      <c r="F14" s="39">
        <f t="shared" si="3"/>
        <v>78.582454671515706</v>
      </c>
      <c r="G14" s="20">
        <v>15.435</v>
      </c>
      <c r="H14" s="39">
        <f t="shared" si="4"/>
        <v>20.1917793882944</v>
      </c>
      <c r="I14" s="20">
        <v>0</v>
      </c>
      <c r="J14" s="39">
        <f t="shared" si="5"/>
        <v>0</v>
      </c>
      <c r="K14" s="19">
        <v>0.37</v>
      </c>
      <c r="L14" s="39">
        <f t="shared" si="6"/>
        <v>0.48402710551790901</v>
      </c>
      <c r="M14" s="19">
        <v>0.56699999999999995</v>
      </c>
      <c r="N14" s="39">
        <f t="shared" si="7"/>
        <v>0.74173883467203905</v>
      </c>
      <c r="O14" s="19">
        <f t="shared" si="8"/>
        <v>76.441999999999993</v>
      </c>
      <c r="P14" s="19">
        <v>2.2210000000000001</v>
      </c>
      <c r="Q14" s="19">
        <v>0</v>
      </c>
      <c r="R14" s="19">
        <v>138.24</v>
      </c>
      <c r="S14" s="19">
        <v>873.65800000000002</v>
      </c>
      <c r="T14" s="39">
        <f t="shared" si="9"/>
        <v>89.504968753201496</v>
      </c>
      <c r="U14" s="19">
        <f t="shared" si="10"/>
        <v>2.6420000000000301</v>
      </c>
      <c r="V14" s="35">
        <f t="shared" si="0"/>
        <v>44.243402423830602</v>
      </c>
      <c r="W14" s="32">
        <f t="shared" ref="W14:W21" si="12">C14+U14-P14</f>
        <v>950.1</v>
      </c>
      <c r="X14" s="32">
        <f t="shared" si="11"/>
        <v>873.65800000000002</v>
      </c>
      <c r="Y14" s="32">
        <f t="shared" si="1"/>
        <v>-102.44199999999999</v>
      </c>
    </row>
    <row r="15" spans="1:25" s="28" customFormat="1" ht="30.75" customHeight="1">
      <c r="A15" s="18">
        <v>41609</v>
      </c>
      <c r="B15" s="19">
        <v>138.15</v>
      </c>
      <c r="C15" s="19">
        <v>871.351</v>
      </c>
      <c r="D15" s="39">
        <f t="shared" si="2"/>
        <v>89.2686200184407</v>
      </c>
      <c r="E15" s="20">
        <v>63.348999999999997</v>
      </c>
      <c r="F15" s="39">
        <f t="shared" si="3"/>
        <v>82.261813554259902</v>
      </c>
      <c r="G15" s="20">
        <v>8.9450000000000003</v>
      </c>
      <c r="H15" s="39">
        <f t="shared" si="4"/>
        <v>11.615525458063299</v>
      </c>
      <c r="I15" s="20">
        <v>4.3170000000000002</v>
      </c>
      <c r="J15" s="39">
        <f t="shared" si="5"/>
        <v>5.6058382786427599</v>
      </c>
      <c r="K15" s="19">
        <v>0</v>
      </c>
      <c r="L15" s="39">
        <f t="shared" si="6"/>
        <v>0</v>
      </c>
      <c r="M15" s="19">
        <v>0.39800000000000002</v>
      </c>
      <c r="N15" s="39">
        <f t="shared" si="7"/>
        <v>0.51682270903400895</v>
      </c>
      <c r="O15" s="19">
        <f t="shared" si="8"/>
        <v>77.009</v>
      </c>
      <c r="P15" s="19">
        <v>1.587</v>
      </c>
      <c r="Q15" s="19">
        <v>0</v>
      </c>
      <c r="R15" s="19">
        <v>135.07</v>
      </c>
      <c r="S15" s="19">
        <v>795.06200000000001</v>
      </c>
      <c r="T15" s="39">
        <f t="shared" si="9"/>
        <v>81.452924905235093</v>
      </c>
      <c r="U15" s="19">
        <f t="shared" si="10"/>
        <v>2.3069999999999999</v>
      </c>
      <c r="V15" s="35">
        <f t="shared" si="0"/>
        <v>45.281764648481101</v>
      </c>
      <c r="W15" s="32">
        <f t="shared" si="12"/>
        <v>872.07100000000003</v>
      </c>
      <c r="X15" s="32">
        <f t="shared" si="11"/>
        <v>790.745</v>
      </c>
      <c r="Y15" s="32">
        <f t="shared" si="1"/>
        <v>-181.03800000000001</v>
      </c>
    </row>
    <row r="16" spans="1:25" s="28" customFormat="1" ht="30.75" customHeight="1">
      <c r="A16" s="18">
        <v>41640</v>
      </c>
      <c r="B16" s="19">
        <v>134.96</v>
      </c>
      <c r="C16" s="19">
        <v>792.40700000000004</v>
      </c>
      <c r="D16" s="39">
        <f t="shared" si="2"/>
        <v>81.180924085647007</v>
      </c>
      <c r="E16" s="20">
        <v>56.914999999999999</v>
      </c>
      <c r="F16" s="39">
        <f t="shared" si="3"/>
        <v>68.650865448404801</v>
      </c>
      <c r="G16" s="20">
        <v>11.952</v>
      </c>
      <c r="H16" s="39">
        <f t="shared" si="4"/>
        <v>14.4165008141849</v>
      </c>
      <c r="I16" s="20">
        <v>13.78</v>
      </c>
      <c r="J16" s="39">
        <f t="shared" si="5"/>
        <v>16.6214341716422</v>
      </c>
      <c r="K16" s="19">
        <v>0</v>
      </c>
      <c r="L16" s="39">
        <f t="shared" si="6"/>
        <v>0</v>
      </c>
      <c r="M16" s="19">
        <v>0.25800000000000001</v>
      </c>
      <c r="N16" s="39">
        <f t="shared" si="7"/>
        <v>0.31119956576804803</v>
      </c>
      <c r="O16" s="19">
        <f t="shared" si="8"/>
        <v>82.905000000000001</v>
      </c>
      <c r="P16" s="19">
        <v>1.663</v>
      </c>
      <c r="Q16" s="19">
        <v>0</v>
      </c>
      <c r="R16" s="19">
        <v>131.44999999999999</v>
      </c>
      <c r="S16" s="19">
        <v>710.49400000000003</v>
      </c>
      <c r="T16" s="39">
        <f t="shared" si="9"/>
        <v>72.789058498104694</v>
      </c>
      <c r="U16" s="19">
        <f t="shared" si="10"/>
        <v>2.65499999999999</v>
      </c>
      <c r="V16" s="35">
        <f t="shared" si="0"/>
        <v>46.528778631193099</v>
      </c>
      <c r="W16" s="32">
        <f t="shared" si="12"/>
        <v>793.399</v>
      </c>
      <c r="X16" s="32">
        <f t="shared" si="11"/>
        <v>696.71400000000006</v>
      </c>
      <c r="Y16" s="32">
        <f t="shared" si="1"/>
        <v>-265.60599999999999</v>
      </c>
    </row>
    <row r="17" spans="1:25" s="28" customFormat="1" ht="30.75" customHeight="1">
      <c r="A17" s="18">
        <v>41671</v>
      </c>
      <c r="B17" s="19">
        <v>131.32</v>
      </c>
      <c r="C17" s="19">
        <v>707.56700000000001</v>
      </c>
      <c r="D17" s="39">
        <f t="shared" si="2"/>
        <v>72.489191681180202</v>
      </c>
      <c r="E17" s="20">
        <v>57.582999999999998</v>
      </c>
      <c r="F17" s="39">
        <f t="shared" si="3"/>
        <v>74.067452150648293</v>
      </c>
      <c r="G17" s="20">
        <v>6.24</v>
      </c>
      <c r="H17" s="39">
        <f t="shared" si="4"/>
        <v>8.02634286890307</v>
      </c>
      <c r="I17" s="20">
        <v>13.715999999999999</v>
      </c>
      <c r="J17" s="39">
        <f t="shared" si="5"/>
        <v>17.642519036838902</v>
      </c>
      <c r="K17" s="19">
        <v>0</v>
      </c>
      <c r="L17" s="39">
        <f t="shared" si="6"/>
        <v>0</v>
      </c>
      <c r="M17" s="19">
        <v>0.20499999999999999</v>
      </c>
      <c r="N17" s="39">
        <f t="shared" si="7"/>
        <v>0.26368594360979603</v>
      </c>
      <c r="O17" s="19">
        <f t="shared" si="8"/>
        <v>77.744</v>
      </c>
      <c r="P17" s="19">
        <v>2.19</v>
      </c>
      <c r="Q17" s="19">
        <v>0</v>
      </c>
      <c r="R17" s="19">
        <v>127.76</v>
      </c>
      <c r="S17" s="19">
        <v>630.55999999999995</v>
      </c>
      <c r="T17" s="39">
        <f t="shared" si="9"/>
        <v>64.599938530888195</v>
      </c>
      <c r="U17" s="19">
        <f t="shared" si="10"/>
        <v>2.9269999999999401</v>
      </c>
      <c r="V17" s="35">
        <f t="shared" si="0"/>
        <v>47.872635809880499</v>
      </c>
      <c r="W17" s="32">
        <f t="shared" si="12"/>
        <v>708.30399999999997</v>
      </c>
      <c r="X17" s="32">
        <f t="shared" si="11"/>
        <v>616.84400000000005</v>
      </c>
      <c r="Y17" s="32">
        <f t="shared" si="1"/>
        <v>-345.54</v>
      </c>
    </row>
    <row r="18" spans="1:25" s="28" customFormat="1" ht="30.75" customHeight="1">
      <c r="A18" s="18">
        <v>41699</v>
      </c>
      <c r="B18" s="19">
        <v>127.64</v>
      </c>
      <c r="C18" s="19">
        <v>628.07399999999996</v>
      </c>
      <c r="D18" s="39">
        <f t="shared" si="2"/>
        <v>64.345251511115606</v>
      </c>
      <c r="E18" s="20">
        <v>65.304000000000002</v>
      </c>
      <c r="F18" s="39">
        <f t="shared" si="3"/>
        <v>76.132296536367605</v>
      </c>
      <c r="G18" s="20">
        <v>7.7850000000000001</v>
      </c>
      <c r="H18" s="39">
        <f t="shared" si="4"/>
        <v>9.0758594961353296</v>
      </c>
      <c r="I18" s="20">
        <v>12.510999999999999</v>
      </c>
      <c r="J18" s="39">
        <f t="shared" si="5"/>
        <v>14.5854949461977</v>
      </c>
      <c r="K18" s="19">
        <v>0</v>
      </c>
      <c r="L18" s="39">
        <f t="shared" si="6"/>
        <v>0</v>
      </c>
      <c r="M18" s="19">
        <v>0.17699999999999999</v>
      </c>
      <c r="N18" s="39">
        <f t="shared" si="7"/>
        <v>0.20634902129941601</v>
      </c>
      <c r="O18" s="19">
        <f t="shared" si="8"/>
        <v>85.777000000000001</v>
      </c>
      <c r="P18" s="19">
        <v>3.0619999999999998</v>
      </c>
      <c r="Q18" s="19">
        <v>0</v>
      </c>
      <c r="R18" s="19">
        <v>123.28</v>
      </c>
      <c r="S18" s="19">
        <v>541.721</v>
      </c>
      <c r="T18" s="39">
        <f t="shared" si="9"/>
        <v>55.498514496465503</v>
      </c>
      <c r="U18" s="19">
        <f t="shared" si="10"/>
        <v>2.4860000000000499</v>
      </c>
      <c r="V18" s="35">
        <f t="shared" si="0"/>
        <v>49.612329259168902</v>
      </c>
      <c r="W18" s="32">
        <f t="shared" si="12"/>
        <v>627.49800000000005</v>
      </c>
      <c r="X18" s="32">
        <f t="shared" si="11"/>
        <v>529.21</v>
      </c>
      <c r="Y18" s="32">
        <f t="shared" si="1"/>
        <v>-434.37900000000002</v>
      </c>
    </row>
    <row r="19" spans="1:25" s="28" customFormat="1" ht="30.75" customHeight="1">
      <c r="A19" s="18">
        <v>41730</v>
      </c>
      <c r="B19" s="19">
        <v>123.14</v>
      </c>
      <c r="C19" s="19">
        <v>539.06700000000001</v>
      </c>
      <c r="D19" s="39">
        <f t="shared" si="2"/>
        <v>55.226616125397001</v>
      </c>
      <c r="E19" s="20">
        <v>62.715000000000003</v>
      </c>
      <c r="F19" s="39">
        <f t="shared" si="3"/>
        <v>77.553266474581704</v>
      </c>
      <c r="G19" s="20">
        <v>6.3250000000000002</v>
      </c>
      <c r="H19" s="39">
        <f t="shared" si="4"/>
        <v>7.8214846599972798</v>
      </c>
      <c r="I19" s="20">
        <v>11.69</v>
      </c>
      <c r="J19" s="39">
        <f t="shared" si="5"/>
        <v>14.455834889386299</v>
      </c>
      <c r="K19" s="19">
        <v>0</v>
      </c>
      <c r="L19" s="39">
        <f t="shared" si="6"/>
        <v>0</v>
      </c>
      <c r="M19" s="19">
        <v>0.13700000000000001</v>
      </c>
      <c r="N19" s="39">
        <f t="shared" si="7"/>
        <v>0.169413976034724</v>
      </c>
      <c r="O19" s="19">
        <f t="shared" si="8"/>
        <v>80.867000000000004</v>
      </c>
      <c r="P19" s="19">
        <v>3.6259999999999999</v>
      </c>
      <c r="Q19" s="19">
        <v>0</v>
      </c>
      <c r="R19" s="19">
        <v>118.55</v>
      </c>
      <c r="S19" s="19">
        <v>457.22800000000001</v>
      </c>
      <c r="T19" s="39">
        <f t="shared" si="9"/>
        <v>46.842331728306497</v>
      </c>
      <c r="U19" s="19">
        <f t="shared" si="10"/>
        <v>2.6540000000000101</v>
      </c>
      <c r="V19" s="35">
        <f t="shared" si="0"/>
        <v>51.591800515144101</v>
      </c>
      <c r="W19" s="32">
        <f t="shared" si="12"/>
        <v>538.09500000000003</v>
      </c>
      <c r="X19" s="32">
        <f t="shared" si="11"/>
        <v>445.53800000000001</v>
      </c>
      <c r="Y19" s="32">
        <f t="shared" si="1"/>
        <v>-518.87199999999996</v>
      </c>
    </row>
    <row r="20" spans="1:25" s="28" customFormat="1" ht="30.75" customHeight="1">
      <c r="A20" s="18">
        <v>41760</v>
      </c>
      <c r="B20" s="19">
        <v>118.39</v>
      </c>
      <c r="C20" s="19">
        <v>454.52600000000001</v>
      </c>
      <c r="D20" s="39">
        <f t="shared" si="2"/>
        <v>46.565515828296299</v>
      </c>
      <c r="E20" s="20">
        <v>61.963000000000001</v>
      </c>
      <c r="F20" s="39">
        <f t="shared" si="3"/>
        <v>79.020328002652604</v>
      </c>
      <c r="G20" s="20">
        <v>13.27</v>
      </c>
      <c r="H20" s="39">
        <f t="shared" si="4"/>
        <v>16.9229984441554</v>
      </c>
      <c r="I20" s="20">
        <v>3.0640000000000001</v>
      </c>
      <c r="J20" s="39">
        <f t="shared" si="5"/>
        <v>3.9074655036090502</v>
      </c>
      <c r="K20" s="19">
        <v>0</v>
      </c>
      <c r="L20" s="39">
        <f t="shared" si="6"/>
        <v>0</v>
      </c>
      <c r="M20" s="19">
        <v>0.11700000000000001</v>
      </c>
      <c r="N20" s="39">
        <f t="shared" si="7"/>
        <v>0.149208049582983</v>
      </c>
      <c r="O20" s="19">
        <f t="shared" si="8"/>
        <v>78.414000000000001</v>
      </c>
      <c r="P20" s="19">
        <v>3.6</v>
      </c>
      <c r="Q20" s="19">
        <v>0</v>
      </c>
      <c r="R20" s="19">
        <v>113.43</v>
      </c>
      <c r="S20" s="19">
        <v>375.637</v>
      </c>
      <c r="T20" s="39">
        <f t="shared" si="9"/>
        <v>38.483454564081498</v>
      </c>
      <c r="U20" s="19">
        <f t="shared" si="10"/>
        <v>3.1249999999999898</v>
      </c>
      <c r="V20" s="35">
        <f t="shared" si="0"/>
        <v>53.9205496876517</v>
      </c>
      <c r="W20" s="32">
        <f t="shared" si="12"/>
        <v>454.05099999999999</v>
      </c>
      <c r="X20" s="32">
        <f t="shared" si="11"/>
        <v>372.57299999999998</v>
      </c>
      <c r="Y20" s="32">
        <f t="shared" si="1"/>
        <v>-600.46299999999997</v>
      </c>
    </row>
    <row r="21" spans="1:25" ht="15.6">
      <c r="A21" s="40" t="s">
        <v>72</v>
      </c>
      <c r="B21" s="41" t="s">
        <v>73</v>
      </c>
      <c r="C21" s="41"/>
      <c r="D21" s="39"/>
      <c r="E21" s="41"/>
      <c r="F21" s="39"/>
      <c r="G21" s="41"/>
      <c r="H21" s="39"/>
      <c r="I21" s="41"/>
      <c r="J21" s="39"/>
      <c r="K21" s="41"/>
      <c r="L21" s="39"/>
      <c r="M21" s="41"/>
      <c r="N21" s="39"/>
      <c r="O21" s="41"/>
      <c r="P21" s="41"/>
      <c r="Q21" s="41"/>
      <c r="R21" s="41"/>
      <c r="S21" s="41"/>
      <c r="T21" s="39">
        <f t="shared" si="9"/>
        <v>0</v>
      </c>
      <c r="U21" s="41"/>
      <c r="W21" s="32">
        <f t="shared" si="12"/>
        <v>0</v>
      </c>
      <c r="X21" s="32">
        <f t="shared" si="11"/>
        <v>0</v>
      </c>
    </row>
    <row r="25" spans="1:25" ht="18" customHeight="1">
      <c r="C25" s="1" t="s">
        <v>29</v>
      </c>
      <c r="H25" s="1"/>
      <c r="I25" s="1"/>
      <c r="L25" s="42"/>
      <c r="M25" s="42"/>
      <c r="N25" s="42"/>
      <c r="O25" s="42"/>
      <c r="P25" s="1" t="s">
        <v>30</v>
      </c>
      <c r="Q25" s="42"/>
      <c r="R25" s="42"/>
      <c r="S25" s="42"/>
      <c r="T25" s="42"/>
      <c r="U25" s="42"/>
    </row>
    <row r="26" spans="1:25">
      <c r="C26" s="21" t="s">
        <v>74</v>
      </c>
      <c r="L26" s="42"/>
      <c r="M26" s="42"/>
      <c r="N26" s="42"/>
      <c r="O26" s="42"/>
      <c r="P26" s="21" t="s">
        <v>75</v>
      </c>
      <c r="Q26" s="42"/>
      <c r="R26" s="42"/>
      <c r="S26" s="42"/>
      <c r="T26" s="42"/>
      <c r="U26" s="42"/>
    </row>
    <row r="27" spans="1:25" ht="14.4" customHeight="1">
      <c r="C27" s="21" t="s">
        <v>33</v>
      </c>
      <c r="L27" s="42"/>
      <c r="M27" s="42"/>
      <c r="N27" s="25"/>
      <c r="O27" s="99" t="s">
        <v>33</v>
      </c>
      <c r="P27" s="99"/>
      <c r="Q27" s="99"/>
      <c r="R27" s="42"/>
      <c r="S27" s="42"/>
      <c r="T27" s="42"/>
      <c r="U27" s="42"/>
    </row>
    <row r="28" spans="1:25">
      <c r="L28" s="42"/>
      <c r="M28" s="42"/>
      <c r="N28" s="42"/>
      <c r="O28" s="42"/>
      <c r="P28" s="42"/>
      <c r="Q28" s="42"/>
      <c r="R28" s="42"/>
      <c r="S28" s="42"/>
      <c r="T28" s="42"/>
      <c r="U28" s="42"/>
    </row>
    <row r="29" spans="1:25">
      <c r="L29" s="42"/>
      <c r="M29" s="42"/>
      <c r="N29" s="42"/>
      <c r="O29" s="42"/>
      <c r="P29" s="42"/>
      <c r="Q29" s="42"/>
      <c r="R29" s="42"/>
      <c r="S29" s="42"/>
      <c r="T29" s="42"/>
      <c r="U29" s="42"/>
    </row>
  </sheetData>
  <mergeCells count="18">
    <mergeCell ref="S5:S7"/>
    <mergeCell ref="U5:U7"/>
    <mergeCell ref="A1:U1"/>
    <mergeCell ref="A2:U2"/>
    <mergeCell ref="E5:M5"/>
    <mergeCell ref="R5:R7"/>
    <mergeCell ref="O27:Q27"/>
    <mergeCell ref="A5:A7"/>
    <mergeCell ref="B5:B7"/>
    <mergeCell ref="C5:C7"/>
    <mergeCell ref="E6:E7"/>
    <mergeCell ref="G6:G7"/>
    <mergeCell ref="I6:I7"/>
    <mergeCell ref="K6:K7"/>
    <mergeCell ref="M6:M7"/>
    <mergeCell ref="O5:O7"/>
    <mergeCell ref="P5:P7"/>
    <mergeCell ref="Q5:Q7"/>
  </mergeCells>
  <printOptions horizontalCentered="1" verticalCentered="1"/>
  <pageMargins left="0.45866141700000002" right="0.45866141700000002" top="0.24" bottom="0.24803149599999999" header="0.31496062992126" footer="0.31496062992126"/>
  <pageSetup paperSize="9" scale="7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Z26"/>
  <sheetViews>
    <sheetView view="pageBreakPreview" zoomScaleNormal="100" workbookViewId="0">
      <selection activeCell="E9" sqref="E9"/>
    </sheetView>
  </sheetViews>
  <sheetFormatPr defaultColWidth="9" defaultRowHeight="14.4"/>
  <cols>
    <col min="1" max="1" width="12.5546875" style="36" customWidth="1"/>
    <col min="2" max="2" width="9.109375" style="37" customWidth="1"/>
    <col min="3" max="5" width="9.33203125" style="36" customWidth="1"/>
    <col min="6" max="7" width="8.5546875" style="36" customWidth="1"/>
    <col min="8" max="9" width="10" style="36" customWidth="1"/>
    <col min="10" max="11" width="10.109375" customWidth="1"/>
    <col min="12" max="13" width="10.109375" style="36" customWidth="1"/>
    <col min="14" max="15" width="7.6640625" style="36" customWidth="1"/>
    <col min="16" max="16" width="11.109375" style="36" customWidth="1"/>
    <col min="17" max="17" width="9.6640625" style="36" customWidth="1"/>
    <col min="18" max="21" width="9.33203125" style="36" customWidth="1"/>
    <col min="22" max="22" width="10" customWidth="1"/>
    <col min="23" max="23" width="10.88671875" customWidth="1"/>
    <col min="24" max="239" width="10" customWidth="1"/>
  </cols>
  <sheetData>
    <row r="1" spans="1:26" s="26" customFormat="1" ht="26.25" customHeight="1">
      <c r="A1" s="105" t="s">
        <v>76</v>
      </c>
      <c r="B1" s="105"/>
      <c r="C1" s="105"/>
      <c r="D1" s="105"/>
      <c r="E1" s="105"/>
      <c r="F1" s="105"/>
      <c r="G1" s="105"/>
      <c r="H1" s="105"/>
      <c r="I1" s="105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</row>
    <row r="2" spans="1:26" s="26" customFormat="1" ht="26.25" customHeight="1">
      <c r="A2" s="3" t="s">
        <v>1</v>
      </c>
      <c r="B2" s="80" t="s">
        <v>2</v>
      </c>
      <c r="C2" s="4"/>
      <c r="D2" s="4"/>
      <c r="E2" s="4"/>
      <c r="F2" s="4"/>
      <c r="G2" s="4"/>
      <c r="H2" s="3"/>
      <c r="I2" s="3"/>
      <c r="J2" s="5"/>
      <c r="K2" s="5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6" s="26" customFormat="1" ht="26.25" customHeight="1">
      <c r="A3" s="3" t="s">
        <v>3</v>
      </c>
      <c r="B3" s="80" t="s">
        <v>4</v>
      </c>
      <c r="C3" s="6"/>
      <c r="D3" s="6"/>
      <c r="E3" s="6"/>
      <c r="F3" s="6"/>
      <c r="G3" s="6"/>
      <c r="H3" s="6"/>
      <c r="I3" s="6"/>
      <c r="J3" s="7"/>
      <c r="K3" s="7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6" ht="14.4" customHeight="1">
      <c r="A4" s="88" t="s">
        <v>5</v>
      </c>
      <c r="B4" s="87" t="s">
        <v>62</v>
      </c>
      <c r="C4" s="92" t="s">
        <v>63</v>
      </c>
      <c r="D4" s="10"/>
      <c r="E4" s="92" t="s">
        <v>64</v>
      </c>
      <c r="F4" s="92"/>
      <c r="G4" s="92"/>
      <c r="H4" s="92"/>
      <c r="I4" s="92"/>
      <c r="J4" s="92"/>
      <c r="K4" s="92"/>
      <c r="L4" s="92"/>
      <c r="M4" s="92"/>
      <c r="N4" s="10"/>
      <c r="O4" s="92" t="s">
        <v>65</v>
      </c>
      <c r="P4" s="92" t="s">
        <v>10</v>
      </c>
      <c r="Q4" s="92" t="s">
        <v>11</v>
      </c>
      <c r="R4" s="107" t="s">
        <v>66</v>
      </c>
      <c r="S4" s="89" t="s">
        <v>67</v>
      </c>
      <c r="T4" s="27"/>
      <c r="U4" s="92" t="s">
        <v>68</v>
      </c>
    </row>
    <row r="5" spans="1:26" ht="52.05" customHeight="1">
      <c r="A5" s="88"/>
      <c r="B5" s="87"/>
      <c r="C5" s="92"/>
      <c r="D5" s="11"/>
      <c r="E5" s="100" t="s">
        <v>69</v>
      </c>
      <c r="F5" s="11"/>
      <c r="G5" s="100" t="s">
        <v>16</v>
      </c>
      <c r="H5" s="11"/>
      <c r="I5" s="100" t="s">
        <v>17</v>
      </c>
      <c r="J5" s="12"/>
      <c r="K5" s="90" t="s">
        <v>70</v>
      </c>
      <c r="L5" s="12"/>
      <c r="M5" s="91" t="s">
        <v>71</v>
      </c>
      <c r="N5" s="13"/>
      <c r="O5" s="92"/>
      <c r="P5" s="102"/>
      <c r="Q5" s="102"/>
      <c r="R5" s="108"/>
      <c r="S5" s="90"/>
      <c r="T5" s="12"/>
      <c r="U5" s="92"/>
    </row>
    <row r="6" spans="1:26" ht="73.95" customHeight="1">
      <c r="A6" s="88"/>
      <c r="B6" s="87"/>
      <c r="C6" s="92"/>
      <c r="D6" s="14"/>
      <c r="E6" s="101"/>
      <c r="F6" s="14"/>
      <c r="G6" s="101"/>
      <c r="H6" s="14"/>
      <c r="I6" s="101"/>
      <c r="J6" s="13"/>
      <c r="K6" s="91"/>
      <c r="L6" s="13"/>
      <c r="M6" s="92"/>
      <c r="N6" s="10"/>
      <c r="O6" s="92"/>
      <c r="P6" s="102"/>
      <c r="Q6" s="102"/>
      <c r="R6" s="109"/>
      <c r="S6" s="91"/>
      <c r="T6" s="13"/>
      <c r="U6" s="92"/>
      <c r="W6" s="29" t="s">
        <v>20</v>
      </c>
    </row>
    <row r="7" spans="1:26">
      <c r="A7" s="15">
        <v>1</v>
      </c>
      <c r="B7" s="16">
        <v>2</v>
      </c>
      <c r="C7" s="15">
        <v>3</v>
      </c>
      <c r="D7" s="15"/>
      <c r="E7" s="15">
        <v>4</v>
      </c>
      <c r="F7" s="15"/>
      <c r="G7" s="15">
        <v>5</v>
      </c>
      <c r="H7" s="15"/>
      <c r="I7" s="15">
        <v>6</v>
      </c>
      <c r="J7" s="17"/>
      <c r="K7" s="17">
        <v>7</v>
      </c>
      <c r="L7" s="17"/>
      <c r="M7" s="17">
        <v>8</v>
      </c>
      <c r="N7" s="17"/>
      <c r="O7" s="17">
        <v>9</v>
      </c>
      <c r="P7" s="17">
        <v>10</v>
      </c>
      <c r="Q7" s="17">
        <v>11</v>
      </c>
      <c r="R7" s="17">
        <v>12</v>
      </c>
      <c r="S7" s="17">
        <v>13</v>
      </c>
      <c r="T7" s="17"/>
      <c r="U7" s="17">
        <v>14</v>
      </c>
    </row>
    <row r="8" spans="1:26" s="28" customFormat="1" ht="30.75" customHeight="1">
      <c r="A8" s="18">
        <v>41061</v>
      </c>
      <c r="B8" s="19">
        <v>111.24</v>
      </c>
      <c r="C8" s="19">
        <v>343.48500000000001</v>
      </c>
      <c r="D8" s="39">
        <f>(C8/976.1)*100</f>
        <v>35.189529761294899</v>
      </c>
      <c r="E8" s="20">
        <v>54.317</v>
      </c>
      <c r="F8" s="39">
        <f>(E8/O8)*100</f>
        <v>99.794227342041907</v>
      </c>
      <c r="G8" s="20">
        <v>0</v>
      </c>
      <c r="H8" s="39">
        <f>(G8/O8)*100</f>
        <v>0</v>
      </c>
      <c r="I8" s="20">
        <v>0</v>
      </c>
      <c r="J8" s="39">
        <f>(I8/O8)*100</f>
        <v>0</v>
      </c>
      <c r="K8" s="20">
        <v>0</v>
      </c>
      <c r="L8" s="39">
        <f>(K8/O8)*100</f>
        <v>0</v>
      </c>
      <c r="M8" s="20">
        <v>0.112</v>
      </c>
      <c r="N8" s="39">
        <f>(M8/O8)*100</f>
        <v>0.20577265795807401</v>
      </c>
      <c r="O8" s="19">
        <f>E8+G8+I8+K8+M8</f>
        <v>54.429000000000002</v>
      </c>
      <c r="P8" s="19">
        <v>1.7</v>
      </c>
      <c r="Q8" s="19">
        <v>0</v>
      </c>
      <c r="R8" s="19">
        <v>107.39</v>
      </c>
      <c r="S8" s="19">
        <v>290.666</v>
      </c>
      <c r="T8" s="39">
        <f>(S8/976.1)*100</f>
        <v>29.778301403544699</v>
      </c>
      <c r="U8" s="19">
        <f>IF((S8-C8)+O8+P8+Q8&gt;0,(S8-C8)+O8+P8+Q8,0)</f>
        <v>3.3099999999999898</v>
      </c>
      <c r="W8" s="35">
        <f t="shared" ref="W8:W19" si="0">(15000000/(2725*0.9*R8))</f>
        <v>56.953235413635703</v>
      </c>
      <c r="X8" s="32">
        <f>E8+V8-Q8</f>
        <v>54.317</v>
      </c>
      <c r="Y8" s="32">
        <f>X8-K8-P8</f>
        <v>52.616999999999997</v>
      </c>
      <c r="Z8" s="32">
        <f>X8-P8-976.1</f>
        <v>-923.48299999999995</v>
      </c>
    </row>
    <row r="9" spans="1:26" s="28" customFormat="1" ht="30.75" customHeight="1">
      <c r="A9" s="18">
        <v>41091</v>
      </c>
      <c r="B9" s="19">
        <v>107.3</v>
      </c>
      <c r="C9" s="19">
        <v>289.48</v>
      </c>
      <c r="D9" s="39">
        <f t="shared" ref="D9:D19" si="1">(C9/976.1)*100</f>
        <v>29.656797459276699</v>
      </c>
      <c r="E9" s="20">
        <v>7.0670000000000002</v>
      </c>
      <c r="F9" s="39">
        <f t="shared" ref="F9:F20" si="2">(E9/O9)*100</f>
        <v>51.4487478159581</v>
      </c>
      <c r="G9" s="20">
        <v>6.5549999999999997</v>
      </c>
      <c r="H9" s="39">
        <f t="shared" ref="H9:H20" si="3">(G9/O9)*100</f>
        <v>47.721316249272</v>
      </c>
      <c r="I9" s="20">
        <v>0</v>
      </c>
      <c r="J9" s="39">
        <f t="shared" ref="J9:J20" si="4">(I9/O9)*100</f>
        <v>0</v>
      </c>
      <c r="K9" s="19">
        <v>0</v>
      </c>
      <c r="L9" s="39">
        <f t="shared" ref="L9:L20" si="5">(K9/O9)*100</f>
        <v>0</v>
      </c>
      <c r="M9" s="19">
        <v>0.114</v>
      </c>
      <c r="N9" s="39">
        <f t="shared" ref="N9:N20" si="6">(M9/O9)*100</f>
        <v>0.82993593476994798</v>
      </c>
      <c r="O9" s="19">
        <f t="shared" ref="O9:O19" si="7">E9+G9+I9+K9+M9</f>
        <v>13.736000000000001</v>
      </c>
      <c r="P9" s="19">
        <v>0.60899999999999999</v>
      </c>
      <c r="Q9" s="19">
        <v>0</v>
      </c>
      <c r="R9" s="19">
        <v>121.53</v>
      </c>
      <c r="S9" s="19">
        <v>509.37599999999998</v>
      </c>
      <c r="T9" s="39">
        <f t="shared" ref="T9:T20" si="8">(S9/976.1)*100</f>
        <v>52.184817129392499</v>
      </c>
      <c r="U9" s="19">
        <f t="shared" ref="U9:U19" si="9">IF((S9-C9)+O9+P9+Q9&gt;0,(S9-C9)+O9+P9+Q9,0)</f>
        <v>234.24100000000001</v>
      </c>
      <c r="W9" s="35">
        <f t="shared" si="0"/>
        <v>50.326733737104703</v>
      </c>
    </row>
    <row r="10" spans="1:26" s="28" customFormat="1" ht="30.75" customHeight="1">
      <c r="A10" s="18">
        <v>41122</v>
      </c>
      <c r="B10" s="19">
        <v>123.17</v>
      </c>
      <c r="C10" s="19">
        <v>539.63599999999997</v>
      </c>
      <c r="D10" s="39">
        <f t="shared" si="1"/>
        <v>55.284909333060099</v>
      </c>
      <c r="E10" s="20">
        <v>0</v>
      </c>
      <c r="F10" s="39">
        <f t="shared" si="2"/>
        <v>0</v>
      </c>
      <c r="G10" s="20">
        <v>6.3550000000000004</v>
      </c>
      <c r="H10" s="39">
        <f t="shared" si="3"/>
        <v>98.1770431021165</v>
      </c>
      <c r="I10" s="20">
        <v>0</v>
      </c>
      <c r="J10" s="39">
        <f t="shared" si="4"/>
        <v>0</v>
      </c>
      <c r="K10" s="19">
        <v>0</v>
      </c>
      <c r="L10" s="39">
        <f t="shared" si="5"/>
        <v>0</v>
      </c>
      <c r="M10" s="19">
        <v>0.11799999999999999</v>
      </c>
      <c r="N10" s="39">
        <f t="shared" si="6"/>
        <v>1.82295689788352</v>
      </c>
      <c r="O10" s="19">
        <f t="shared" si="7"/>
        <v>6.4729999999999999</v>
      </c>
      <c r="P10" s="19">
        <v>1.214</v>
      </c>
      <c r="Q10" s="19">
        <v>0</v>
      </c>
      <c r="R10" s="19">
        <v>134.63</v>
      </c>
      <c r="S10" s="19">
        <v>784.46500000000003</v>
      </c>
      <c r="T10" s="39">
        <f t="shared" si="8"/>
        <v>80.367277942833695</v>
      </c>
      <c r="U10" s="19">
        <f t="shared" si="9"/>
        <v>252.51599999999999</v>
      </c>
      <c r="W10" s="35">
        <f t="shared" si="0"/>
        <v>45.429755263093902</v>
      </c>
    </row>
    <row r="11" spans="1:26" s="28" customFormat="1" ht="30.75" customHeight="1">
      <c r="A11" s="18">
        <v>41153</v>
      </c>
      <c r="B11" s="19">
        <v>135</v>
      </c>
      <c r="C11" s="19">
        <v>793.37</v>
      </c>
      <c r="D11" s="39">
        <f t="shared" si="1"/>
        <v>81.279582010039903</v>
      </c>
      <c r="E11" s="20">
        <v>28.803999999999998</v>
      </c>
      <c r="F11" s="39">
        <f t="shared" si="2"/>
        <v>53.447636012766303</v>
      </c>
      <c r="G11" s="20">
        <v>6.15</v>
      </c>
      <c r="H11" s="39">
        <f t="shared" si="3"/>
        <v>11.411712313515901</v>
      </c>
      <c r="I11" s="20">
        <v>0</v>
      </c>
      <c r="J11" s="39">
        <f t="shared" si="4"/>
        <v>0</v>
      </c>
      <c r="K11" s="19">
        <v>18.431999999999999</v>
      </c>
      <c r="L11" s="39">
        <f t="shared" si="5"/>
        <v>34.201736806947203</v>
      </c>
      <c r="M11" s="19">
        <v>0.50600000000000001</v>
      </c>
      <c r="N11" s="39">
        <f t="shared" si="6"/>
        <v>0.938914866770578</v>
      </c>
      <c r="O11" s="19">
        <f t="shared" si="7"/>
        <v>53.892000000000003</v>
      </c>
      <c r="P11" s="19">
        <v>1.966</v>
      </c>
      <c r="Q11" s="19">
        <v>0</v>
      </c>
      <c r="R11" s="19">
        <v>141.53</v>
      </c>
      <c r="S11" s="19">
        <v>962.30200000000002</v>
      </c>
      <c r="T11" s="39">
        <f t="shared" si="8"/>
        <v>98.586415326298507</v>
      </c>
      <c r="U11" s="19">
        <f t="shared" si="9"/>
        <v>224.79</v>
      </c>
      <c r="W11" s="35">
        <f t="shared" si="0"/>
        <v>43.214922285524899</v>
      </c>
    </row>
    <row r="12" spans="1:26" s="28" customFormat="1" ht="30.75" customHeight="1">
      <c r="A12" s="18">
        <v>41183</v>
      </c>
      <c r="B12" s="19">
        <v>141.44999999999999</v>
      </c>
      <c r="C12" s="19">
        <v>959.95399999999995</v>
      </c>
      <c r="D12" s="39">
        <f t="shared" si="1"/>
        <v>98.345866202233395</v>
      </c>
      <c r="E12" s="20">
        <v>52.149000000000001</v>
      </c>
      <c r="F12" s="39">
        <f t="shared" si="2"/>
        <v>86.6161741990134</v>
      </c>
      <c r="G12" s="20">
        <v>7.4050000000000002</v>
      </c>
      <c r="H12" s="39">
        <f t="shared" si="3"/>
        <v>12.299234308302999</v>
      </c>
      <c r="I12" s="20">
        <v>0</v>
      </c>
      <c r="J12" s="39">
        <f t="shared" si="4"/>
        <v>0</v>
      </c>
      <c r="K12" s="19">
        <v>0</v>
      </c>
      <c r="L12" s="39">
        <f t="shared" si="5"/>
        <v>0</v>
      </c>
      <c r="M12" s="19">
        <v>0.65300000000000002</v>
      </c>
      <c r="N12" s="39">
        <f t="shared" si="6"/>
        <v>1.08459149268358</v>
      </c>
      <c r="O12" s="19">
        <f t="shared" si="7"/>
        <v>60.207000000000001</v>
      </c>
      <c r="P12" s="19">
        <v>3.1589999999999998</v>
      </c>
      <c r="Q12" s="19">
        <v>0</v>
      </c>
      <c r="R12" s="19">
        <v>140.49</v>
      </c>
      <c r="S12" s="19">
        <v>932.75099999999998</v>
      </c>
      <c r="T12" s="39">
        <f t="shared" si="8"/>
        <v>95.558959123040694</v>
      </c>
      <c r="U12" s="19">
        <f t="shared" si="9"/>
        <v>36.162999999999997</v>
      </c>
      <c r="W12" s="35">
        <f t="shared" si="0"/>
        <v>43.534827753365597</v>
      </c>
    </row>
    <row r="13" spans="1:26" s="28" customFormat="1" ht="30.75" customHeight="1">
      <c r="A13" s="18">
        <v>41214</v>
      </c>
      <c r="B13" s="19">
        <v>140.4</v>
      </c>
      <c r="C13" s="19">
        <v>930.28099999999995</v>
      </c>
      <c r="D13" s="39">
        <f t="shared" si="1"/>
        <v>95.305911279582006</v>
      </c>
      <c r="E13" s="20">
        <v>59.933999999999997</v>
      </c>
      <c r="F13" s="39">
        <f t="shared" si="2"/>
        <v>82.155389845377798</v>
      </c>
      <c r="G13" s="20">
        <v>11.343</v>
      </c>
      <c r="H13" s="39">
        <f t="shared" si="3"/>
        <v>15.5485798881456</v>
      </c>
      <c r="I13" s="20">
        <v>0</v>
      </c>
      <c r="J13" s="39">
        <f t="shared" si="4"/>
        <v>0</v>
      </c>
      <c r="K13" s="19">
        <v>1.135</v>
      </c>
      <c r="L13" s="39">
        <f t="shared" si="5"/>
        <v>1.5558175238512999</v>
      </c>
      <c r="M13" s="19">
        <v>0.54</v>
      </c>
      <c r="N13" s="39">
        <f t="shared" si="6"/>
        <v>0.74021274262528802</v>
      </c>
      <c r="O13" s="19">
        <f t="shared" si="7"/>
        <v>72.951999999999998</v>
      </c>
      <c r="P13" s="19">
        <v>2.8719999999999999</v>
      </c>
      <c r="Q13" s="19">
        <v>0</v>
      </c>
      <c r="R13" s="19">
        <v>137.58000000000001</v>
      </c>
      <c r="S13" s="19">
        <v>856.92600000000004</v>
      </c>
      <c r="T13" s="39">
        <f t="shared" si="8"/>
        <v>87.790800122938194</v>
      </c>
      <c r="U13" s="19">
        <f t="shared" si="9"/>
        <v>2.46900000000011</v>
      </c>
      <c r="W13" s="35">
        <f t="shared" si="0"/>
        <v>44.455647267555896</v>
      </c>
    </row>
    <row r="14" spans="1:26" s="28" customFormat="1" ht="30.75" customHeight="1">
      <c r="A14" s="18">
        <v>41244</v>
      </c>
      <c r="B14" s="19">
        <v>137.47999999999999</v>
      </c>
      <c r="C14" s="19">
        <v>854.40700000000004</v>
      </c>
      <c r="D14" s="39">
        <f t="shared" si="1"/>
        <v>87.532732302018204</v>
      </c>
      <c r="E14" s="20">
        <v>65.662000000000006</v>
      </c>
      <c r="F14" s="39">
        <f t="shared" si="2"/>
        <v>76.179316425737298</v>
      </c>
      <c r="G14" s="20">
        <v>13.484999999999999</v>
      </c>
      <c r="H14" s="39">
        <f t="shared" si="3"/>
        <v>15.644940483096301</v>
      </c>
      <c r="I14" s="20">
        <v>6.68</v>
      </c>
      <c r="J14" s="39">
        <f t="shared" si="4"/>
        <v>7.7499593939253302</v>
      </c>
      <c r="K14" s="19">
        <v>0</v>
      </c>
      <c r="L14" s="39">
        <f t="shared" si="5"/>
        <v>0</v>
      </c>
      <c r="M14" s="19">
        <v>0.36699999999999999</v>
      </c>
      <c r="N14" s="39">
        <f t="shared" si="6"/>
        <v>0.42578369724110698</v>
      </c>
      <c r="O14" s="19">
        <f t="shared" si="7"/>
        <v>86.194000000000003</v>
      </c>
      <c r="P14" s="19">
        <v>2.133</v>
      </c>
      <c r="Q14" s="19">
        <v>0</v>
      </c>
      <c r="R14" s="19">
        <v>133.97</v>
      </c>
      <c r="S14" s="19">
        <v>768.59900000000005</v>
      </c>
      <c r="T14" s="39">
        <f t="shared" si="8"/>
        <v>78.741829730560397</v>
      </c>
      <c r="U14" s="19">
        <f t="shared" si="9"/>
        <v>2.5190000000000099</v>
      </c>
      <c r="W14" s="35">
        <f t="shared" si="0"/>
        <v>45.653563865569403</v>
      </c>
    </row>
    <row r="15" spans="1:26" s="28" customFormat="1" ht="30.75" customHeight="1">
      <c r="A15" s="18">
        <v>41275</v>
      </c>
      <c r="B15" s="19">
        <v>133.85</v>
      </c>
      <c r="C15" s="19">
        <v>765.78599999999994</v>
      </c>
      <c r="D15" s="39">
        <f t="shared" si="1"/>
        <v>78.453642044872396</v>
      </c>
      <c r="E15" s="20">
        <v>63.363</v>
      </c>
      <c r="F15" s="39">
        <f t="shared" si="2"/>
        <v>73.409025082546506</v>
      </c>
      <c r="G15" s="20">
        <v>10.462999999999999</v>
      </c>
      <c r="H15" s="39">
        <f t="shared" si="3"/>
        <v>12.1218791635289</v>
      </c>
      <c r="I15" s="20">
        <v>12.233000000000001</v>
      </c>
      <c r="J15" s="39">
        <f t="shared" si="4"/>
        <v>14.172507675375099</v>
      </c>
      <c r="K15" s="19">
        <v>0</v>
      </c>
      <c r="L15" s="39">
        <f t="shared" si="5"/>
        <v>0</v>
      </c>
      <c r="M15" s="19">
        <v>0.25600000000000001</v>
      </c>
      <c r="N15" s="39">
        <f t="shared" si="6"/>
        <v>0.29658807854949898</v>
      </c>
      <c r="O15" s="19">
        <f t="shared" si="7"/>
        <v>86.314999999999998</v>
      </c>
      <c r="P15" s="19">
        <v>1.925</v>
      </c>
      <c r="Q15" s="19">
        <v>0</v>
      </c>
      <c r="R15" s="19">
        <v>130.09</v>
      </c>
      <c r="S15" s="19">
        <v>680.36199999999997</v>
      </c>
      <c r="T15" s="39">
        <f t="shared" si="8"/>
        <v>69.702079704948304</v>
      </c>
      <c r="U15" s="19">
        <f t="shared" si="9"/>
        <v>2.8160000000000198</v>
      </c>
      <c r="W15" s="35">
        <f t="shared" si="0"/>
        <v>47.015204482053498</v>
      </c>
    </row>
    <row r="16" spans="1:26" s="28" customFormat="1" ht="30.75" customHeight="1">
      <c r="A16" s="18">
        <v>41306</v>
      </c>
      <c r="B16" s="19">
        <v>129.99</v>
      </c>
      <c r="C16" s="19">
        <v>678.16700000000003</v>
      </c>
      <c r="D16" s="39">
        <f t="shared" si="1"/>
        <v>69.477205204384802</v>
      </c>
      <c r="E16" s="20">
        <v>59.121000000000002</v>
      </c>
      <c r="F16" s="39">
        <f t="shared" si="2"/>
        <v>76.638191410756605</v>
      </c>
      <c r="G16" s="20">
        <v>7.6459999999999999</v>
      </c>
      <c r="H16" s="39">
        <f t="shared" si="3"/>
        <v>9.9114631269201308</v>
      </c>
      <c r="I16" s="20">
        <v>10.186</v>
      </c>
      <c r="J16" s="39">
        <f t="shared" si="4"/>
        <v>13.204049622130301</v>
      </c>
      <c r="K16" s="19">
        <v>0</v>
      </c>
      <c r="L16" s="39">
        <f t="shared" si="5"/>
        <v>0</v>
      </c>
      <c r="M16" s="19">
        <v>0.19</v>
      </c>
      <c r="N16" s="39">
        <f t="shared" si="6"/>
        <v>0.246295840192889</v>
      </c>
      <c r="O16" s="19">
        <f t="shared" si="7"/>
        <v>77.143000000000001</v>
      </c>
      <c r="P16" s="19">
        <v>2.38</v>
      </c>
      <c r="Q16" s="19">
        <v>0</v>
      </c>
      <c r="R16" s="19">
        <v>126.31</v>
      </c>
      <c r="S16" s="19">
        <v>600.83900000000006</v>
      </c>
      <c r="T16" s="39">
        <f t="shared" si="8"/>
        <v>61.555066079295202</v>
      </c>
      <c r="U16" s="19">
        <f t="shared" si="9"/>
        <v>2.19500000000003</v>
      </c>
      <c r="W16" s="35">
        <f t="shared" si="0"/>
        <v>48.422198963425998</v>
      </c>
    </row>
    <row r="17" spans="1:23" s="28" customFormat="1" ht="30.75" customHeight="1">
      <c r="A17" s="18">
        <v>41334</v>
      </c>
      <c r="B17" s="19">
        <v>126.18</v>
      </c>
      <c r="C17" s="19">
        <v>598.20500000000004</v>
      </c>
      <c r="D17" s="39">
        <f t="shared" si="1"/>
        <v>61.285216678619001</v>
      </c>
      <c r="E17" s="20">
        <v>65.873999999999995</v>
      </c>
      <c r="F17" s="39">
        <f t="shared" si="2"/>
        <v>75.958212259582098</v>
      </c>
      <c r="G17" s="20">
        <v>6.8479999999999999</v>
      </c>
      <c r="H17" s="39">
        <f t="shared" si="3"/>
        <v>7.8963147456298097</v>
      </c>
      <c r="I17" s="20">
        <v>13.835000000000001</v>
      </c>
      <c r="J17" s="39">
        <f t="shared" si="4"/>
        <v>15.952908076195699</v>
      </c>
      <c r="K17" s="19">
        <v>0</v>
      </c>
      <c r="L17" s="39">
        <f t="shared" si="5"/>
        <v>0</v>
      </c>
      <c r="M17" s="19">
        <v>0.16700000000000001</v>
      </c>
      <c r="N17" s="39">
        <f t="shared" si="6"/>
        <v>0.192564918592316</v>
      </c>
      <c r="O17" s="19">
        <f t="shared" si="7"/>
        <v>86.724000000000004</v>
      </c>
      <c r="P17" s="19">
        <v>3.653</v>
      </c>
      <c r="Q17" s="19">
        <v>0</v>
      </c>
      <c r="R17" s="19">
        <v>121.59</v>
      </c>
      <c r="S17" s="19">
        <v>510.46199999999999</v>
      </c>
      <c r="T17" s="39">
        <f t="shared" si="8"/>
        <v>52.296076221698598</v>
      </c>
      <c r="U17" s="19">
        <f t="shared" si="9"/>
        <v>2.6339999999999399</v>
      </c>
      <c r="W17" s="35">
        <f t="shared" si="0"/>
        <v>50.301899424873199</v>
      </c>
    </row>
    <row r="18" spans="1:23" s="28" customFormat="1" ht="30.75" customHeight="1">
      <c r="A18" s="18">
        <v>41365</v>
      </c>
      <c r="B18" s="19">
        <v>121.44</v>
      </c>
      <c r="C18" s="19">
        <v>507.74700000000001</v>
      </c>
      <c r="D18" s="39">
        <f t="shared" si="1"/>
        <v>52.017928490933301</v>
      </c>
      <c r="E18" s="20">
        <v>62.091000000000001</v>
      </c>
      <c r="F18" s="39">
        <f t="shared" si="2"/>
        <v>76.995858237642906</v>
      </c>
      <c r="G18" s="20">
        <v>8.1539999999999999</v>
      </c>
      <c r="H18" s="39">
        <f t="shared" si="3"/>
        <v>10.111356365169501</v>
      </c>
      <c r="I18" s="20">
        <v>10.271000000000001</v>
      </c>
      <c r="J18" s="39">
        <f t="shared" si="4"/>
        <v>12.736539272339501</v>
      </c>
      <c r="K18" s="19">
        <v>0</v>
      </c>
      <c r="L18" s="39">
        <f t="shared" si="5"/>
        <v>0</v>
      </c>
      <c r="M18" s="19">
        <v>0.126</v>
      </c>
      <c r="N18" s="39">
        <f t="shared" si="6"/>
        <v>0.156246124848094</v>
      </c>
      <c r="O18" s="19">
        <f t="shared" si="7"/>
        <v>80.641999999999996</v>
      </c>
      <c r="P18" s="19">
        <v>3.5379999999999998</v>
      </c>
      <c r="Q18" s="19">
        <v>0</v>
      </c>
      <c r="R18" s="19">
        <v>116.68</v>
      </c>
      <c r="S18" s="19">
        <v>426.28100000000001</v>
      </c>
      <c r="T18" s="39">
        <f t="shared" si="8"/>
        <v>43.671857391660701</v>
      </c>
      <c r="U18" s="19">
        <f t="shared" si="9"/>
        <v>2.714</v>
      </c>
      <c r="W18" s="35">
        <f t="shared" si="0"/>
        <v>52.418648877873999</v>
      </c>
    </row>
    <row r="19" spans="1:23" s="28" customFormat="1" ht="30.75" customHeight="1">
      <c r="A19" s="18">
        <v>41395</v>
      </c>
      <c r="B19" s="19">
        <v>116.49</v>
      </c>
      <c r="C19" s="19">
        <v>423.21899999999999</v>
      </c>
      <c r="D19" s="39">
        <f t="shared" si="1"/>
        <v>43.358160024587598</v>
      </c>
      <c r="E19" s="20">
        <v>61.08</v>
      </c>
      <c r="F19" s="39">
        <f t="shared" si="2"/>
        <v>76.6797228080747</v>
      </c>
      <c r="G19" s="20">
        <v>14.51</v>
      </c>
      <c r="H19" s="39">
        <f t="shared" si="3"/>
        <v>18.215828060660801</v>
      </c>
      <c r="I19" s="20">
        <v>3.9590000000000001</v>
      </c>
      <c r="J19" s="39">
        <f t="shared" si="4"/>
        <v>4.9701215225469504</v>
      </c>
      <c r="K19" s="19">
        <v>0</v>
      </c>
      <c r="L19" s="39">
        <f t="shared" si="5"/>
        <v>0</v>
      </c>
      <c r="M19" s="19">
        <v>0.107</v>
      </c>
      <c r="N19" s="39">
        <f t="shared" si="6"/>
        <v>0.134327608717485</v>
      </c>
      <c r="O19" s="19">
        <f t="shared" si="7"/>
        <v>79.656000000000006</v>
      </c>
      <c r="P19" s="19">
        <v>3.427</v>
      </c>
      <c r="Q19" s="19">
        <v>0</v>
      </c>
      <c r="R19" s="19">
        <v>111.22</v>
      </c>
      <c r="S19" s="19">
        <v>343.197</v>
      </c>
      <c r="T19" s="39">
        <f t="shared" si="8"/>
        <v>35.160024587644699</v>
      </c>
      <c r="U19" s="19">
        <f t="shared" si="9"/>
        <v>3.0610000000000102</v>
      </c>
      <c r="W19" s="35">
        <f t="shared" si="0"/>
        <v>54.991979419801602</v>
      </c>
    </row>
    <row r="20" spans="1:23">
      <c r="A20" s="21" t="s">
        <v>72</v>
      </c>
      <c r="B20" s="22" t="s">
        <v>73</v>
      </c>
      <c r="C20" s="22"/>
      <c r="D20" s="39"/>
      <c r="E20" s="22"/>
      <c r="F20" s="39" t="e">
        <f t="shared" si="2"/>
        <v>#DIV/0!</v>
      </c>
      <c r="G20" s="22"/>
      <c r="H20" s="39" t="e">
        <f t="shared" si="3"/>
        <v>#DIV/0!</v>
      </c>
      <c r="I20" s="22"/>
      <c r="J20" s="39" t="e">
        <f t="shared" si="4"/>
        <v>#DIV/0!</v>
      </c>
      <c r="K20" s="22"/>
      <c r="L20" s="39" t="e">
        <f t="shared" si="5"/>
        <v>#DIV/0!</v>
      </c>
      <c r="M20" s="22"/>
      <c r="N20" s="39" t="e">
        <f t="shared" si="6"/>
        <v>#DIV/0!</v>
      </c>
      <c r="O20" s="22"/>
      <c r="P20" s="22"/>
      <c r="Q20" s="22"/>
      <c r="R20" s="22"/>
      <c r="S20" s="22"/>
      <c r="T20" s="39">
        <f t="shared" si="8"/>
        <v>0</v>
      </c>
      <c r="U20" s="22"/>
    </row>
    <row r="21" spans="1:23">
      <c r="A21" s="21"/>
      <c r="B21" s="23"/>
      <c r="C21" s="21"/>
      <c r="D21" s="21"/>
      <c r="E21" s="21"/>
      <c r="F21" s="21"/>
      <c r="G21" s="21"/>
      <c r="H21" s="21"/>
      <c r="I21" s="21"/>
      <c r="J21" s="24"/>
      <c r="K21" s="24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3">
      <c r="A22" s="21"/>
      <c r="B22" s="23"/>
      <c r="C22" s="21"/>
      <c r="D22" s="21"/>
      <c r="E22" s="21"/>
      <c r="F22" s="21"/>
      <c r="G22" s="21"/>
      <c r="H22" s="21"/>
      <c r="I22" s="21"/>
      <c r="J22" s="24"/>
      <c r="K22" s="24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3">
      <c r="A23" s="21"/>
      <c r="B23" s="23"/>
      <c r="C23" s="21"/>
      <c r="D23" s="21"/>
      <c r="E23" s="21"/>
      <c r="F23" s="21"/>
      <c r="G23" s="21"/>
      <c r="H23" s="21"/>
      <c r="I23" s="21"/>
      <c r="J23" s="24"/>
      <c r="K23" s="24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3" ht="18" customHeight="1">
      <c r="A24" s="21"/>
      <c r="B24" s="23"/>
      <c r="C24" s="1" t="s">
        <v>29</v>
      </c>
      <c r="D24" s="21"/>
      <c r="E24" s="21"/>
      <c r="F24" s="21"/>
      <c r="G24" s="21"/>
      <c r="H24" s="1"/>
      <c r="I24" s="1"/>
      <c r="J24" s="24"/>
      <c r="K24" s="24"/>
      <c r="L24" s="25"/>
      <c r="M24" s="25"/>
      <c r="N24" s="25"/>
      <c r="O24" s="25"/>
      <c r="P24" s="1" t="s">
        <v>30</v>
      </c>
      <c r="Q24" s="25"/>
      <c r="R24" s="25"/>
      <c r="S24" s="25"/>
      <c r="T24" s="25"/>
      <c r="U24" s="25"/>
    </row>
    <row r="25" spans="1:23">
      <c r="A25" s="21"/>
      <c r="B25" s="23"/>
      <c r="C25" s="21" t="s">
        <v>74</v>
      </c>
      <c r="D25" s="21"/>
      <c r="E25" s="21"/>
      <c r="F25" s="21"/>
      <c r="G25" s="21"/>
      <c r="H25" s="21"/>
      <c r="I25" s="21"/>
      <c r="J25" s="24"/>
      <c r="K25" s="24"/>
      <c r="L25" s="25"/>
      <c r="M25" s="25"/>
      <c r="N25" s="25"/>
      <c r="O25" s="25"/>
      <c r="P25" s="21" t="s">
        <v>75</v>
      </c>
      <c r="Q25" s="25"/>
      <c r="R25" s="25"/>
      <c r="S25" s="25"/>
      <c r="T25" s="25"/>
      <c r="U25" s="25"/>
    </row>
    <row r="26" spans="1:23" ht="14.4" customHeight="1">
      <c r="A26" s="21"/>
      <c r="B26" s="23"/>
      <c r="C26" s="21" t="s">
        <v>33</v>
      </c>
      <c r="D26" s="21"/>
      <c r="E26" s="21"/>
      <c r="F26" s="21"/>
      <c r="G26" s="21"/>
      <c r="H26" s="21"/>
      <c r="I26" s="21"/>
      <c r="J26" s="24"/>
      <c r="K26" s="24"/>
      <c r="L26" s="25"/>
      <c r="M26" s="25"/>
      <c r="N26" s="25"/>
      <c r="O26" s="99" t="s">
        <v>33</v>
      </c>
      <c r="P26" s="99"/>
      <c r="Q26" s="99"/>
      <c r="R26" s="25"/>
      <c r="S26" s="25"/>
      <c r="T26" s="25"/>
      <c r="U26" s="25"/>
    </row>
  </sheetData>
  <mergeCells count="17">
    <mergeCell ref="R4:R6"/>
    <mergeCell ref="S4:S6"/>
    <mergeCell ref="U4:U6"/>
    <mergeCell ref="A1:U1"/>
    <mergeCell ref="E4:M4"/>
    <mergeCell ref="O26:Q26"/>
    <mergeCell ref="A4:A6"/>
    <mergeCell ref="B4:B6"/>
    <mergeCell ref="C4:C6"/>
    <mergeCell ref="E5:E6"/>
    <mergeCell ref="G5:G6"/>
    <mergeCell ref="I5:I6"/>
    <mergeCell ref="K5:K6"/>
    <mergeCell ref="M5:M6"/>
    <mergeCell ref="O4:O6"/>
    <mergeCell ref="P4:P6"/>
    <mergeCell ref="Q4:Q6"/>
  </mergeCells>
  <printOptions horizontalCentered="1" verticalCentered="1"/>
  <pageMargins left="0.20866141699999999" right="0.25" top="0.25" bottom="0.25" header="0.31496062992126" footer="0.25"/>
  <pageSetup paperSize="9" scale="74" orientation="landscape" r:id="rId1"/>
  <colBreaks count="1" manualBreakCount="1">
    <brk id="2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T27"/>
  <sheetViews>
    <sheetView view="pageBreakPreview" topLeftCell="A3" zoomScale="80" zoomScaleNormal="100" workbookViewId="0">
      <selection activeCell="R9" sqref="R9:T9"/>
    </sheetView>
  </sheetViews>
  <sheetFormatPr defaultColWidth="9" defaultRowHeight="14.4"/>
  <cols>
    <col min="1" max="1" width="12.5546875" style="36" customWidth="1"/>
    <col min="2" max="2" width="10.6640625" style="37" customWidth="1"/>
    <col min="3" max="3" width="9.33203125" style="36" customWidth="1"/>
    <col min="4" max="4" width="9.6640625" style="36" customWidth="1"/>
    <col min="5" max="5" width="9.33203125" style="36" customWidth="1"/>
    <col min="6" max="6" width="8.5546875" style="36" customWidth="1"/>
    <col min="7" max="7" width="10.109375" customWidth="1"/>
    <col min="8" max="8" width="9.109375" style="36" customWidth="1"/>
    <col min="9" max="9" width="9" style="36" customWidth="1"/>
    <col min="10" max="10" width="13.33203125" style="36" customWidth="1"/>
    <col min="11" max="11" width="10.88671875" style="36" customWidth="1"/>
    <col min="12" max="12" width="11" style="36" customWidth="1"/>
    <col min="13" max="13" width="9.33203125" style="36" customWidth="1"/>
    <col min="14" max="14" width="11.6640625" style="36" customWidth="1"/>
    <col min="15" max="15" width="10" customWidth="1"/>
    <col min="16" max="16" width="12.6640625" customWidth="1"/>
    <col min="17" max="232" width="10" customWidth="1"/>
  </cols>
  <sheetData>
    <row r="1" spans="1:20" s="26" customFormat="1" ht="26.25" customHeight="1">
      <c r="A1" s="103"/>
      <c r="B1" s="103"/>
      <c r="C1" s="103"/>
      <c r="D1" s="103"/>
      <c r="E1" s="103"/>
      <c r="F1" s="103"/>
      <c r="G1" s="104"/>
      <c r="H1" s="104"/>
      <c r="I1" s="104"/>
      <c r="J1" s="104"/>
      <c r="K1" s="104"/>
      <c r="L1" s="104"/>
      <c r="M1" s="104"/>
      <c r="N1" s="104"/>
    </row>
    <row r="2" spans="1:20" s="26" customFormat="1" ht="26.25" customHeight="1">
      <c r="A2" s="105" t="s">
        <v>77</v>
      </c>
      <c r="B2" s="105"/>
      <c r="C2" s="105"/>
      <c r="D2" s="105"/>
      <c r="E2" s="105"/>
      <c r="F2" s="105"/>
      <c r="G2" s="106"/>
      <c r="H2" s="106"/>
      <c r="I2" s="106"/>
      <c r="J2" s="106"/>
      <c r="K2" s="106"/>
      <c r="L2" s="106"/>
      <c r="M2" s="106"/>
      <c r="N2" s="106"/>
    </row>
    <row r="3" spans="1:20" s="26" customFormat="1" ht="26.25" customHeight="1">
      <c r="A3" s="3" t="s">
        <v>1</v>
      </c>
      <c r="B3" s="80" t="s">
        <v>2</v>
      </c>
      <c r="C3" s="4"/>
      <c r="D3" s="4"/>
      <c r="E3" s="4"/>
      <c r="F3" s="3"/>
      <c r="G3" s="5"/>
      <c r="H3" s="2"/>
      <c r="I3" s="2"/>
      <c r="J3" s="2"/>
      <c r="K3" s="2"/>
      <c r="L3" s="2"/>
      <c r="M3" s="2"/>
      <c r="N3" s="2"/>
    </row>
    <row r="4" spans="1:20" s="26" customFormat="1" ht="26.25" customHeight="1">
      <c r="A4" s="3" t="s">
        <v>3</v>
      </c>
      <c r="B4" s="80" t="s">
        <v>4</v>
      </c>
      <c r="C4" s="6"/>
      <c r="D4" s="6"/>
      <c r="E4" s="6"/>
      <c r="F4" s="6"/>
      <c r="G4" s="7"/>
      <c r="H4" s="8"/>
      <c r="I4" s="8"/>
      <c r="J4" s="8"/>
      <c r="K4" s="8"/>
      <c r="L4" s="8"/>
      <c r="M4" s="8"/>
      <c r="N4" s="8"/>
    </row>
    <row r="5" spans="1:20" ht="14.4" customHeight="1">
      <c r="A5" s="88" t="s">
        <v>5</v>
      </c>
      <c r="B5" s="87" t="s">
        <v>62</v>
      </c>
      <c r="C5" s="92" t="s">
        <v>63</v>
      </c>
      <c r="D5" s="92" t="s">
        <v>64</v>
      </c>
      <c r="E5" s="92"/>
      <c r="F5" s="92"/>
      <c r="G5" s="92"/>
      <c r="H5" s="92"/>
      <c r="I5" s="92" t="s">
        <v>65</v>
      </c>
      <c r="J5" s="92" t="s">
        <v>10</v>
      </c>
      <c r="K5" s="92" t="s">
        <v>11</v>
      </c>
      <c r="L5" s="107" t="s">
        <v>66</v>
      </c>
      <c r="M5" s="89" t="s">
        <v>67</v>
      </c>
      <c r="N5" s="92" t="s">
        <v>68</v>
      </c>
    </row>
    <row r="6" spans="1:20" ht="34.049999999999997" customHeight="1">
      <c r="A6" s="88"/>
      <c r="B6" s="87"/>
      <c r="C6" s="92"/>
      <c r="D6" s="100" t="s">
        <v>69</v>
      </c>
      <c r="E6" s="100" t="s">
        <v>16</v>
      </c>
      <c r="F6" s="100" t="s">
        <v>17</v>
      </c>
      <c r="G6" s="90" t="s">
        <v>70</v>
      </c>
      <c r="H6" s="91" t="s">
        <v>71</v>
      </c>
      <c r="I6" s="92"/>
      <c r="J6" s="102"/>
      <c r="K6" s="102"/>
      <c r="L6" s="108"/>
      <c r="M6" s="90"/>
      <c r="N6" s="92"/>
    </row>
    <row r="7" spans="1:20" ht="63.75" customHeight="1">
      <c r="A7" s="88"/>
      <c r="B7" s="87"/>
      <c r="C7" s="92"/>
      <c r="D7" s="101"/>
      <c r="E7" s="101"/>
      <c r="F7" s="101"/>
      <c r="G7" s="91"/>
      <c r="H7" s="92"/>
      <c r="I7" s="92"/>
      <c r="J7" s="102"/>
      <c r="K7" s="102"/>
      <c r="L7" s="109"/>
      <c r="M7" s="91"/>
      <c r="N7" s="92"/>
      <c r="P7" s="29" t="s">
        <v>20</v>
      </c>
    </row>
    <row r="8" spans="1:20">
      <c r="A8" s="15">
        <v>1</v>
      </c>
      <c r="B8" s="16">
        <v>2</v>
      </c>
      <c r="C8" s="15">
        <v>3</v>
      </c>
      <c r="D8" s="15">
        <v>4</v>
      </c>
      <c r="E8" s="15">
        <v>5</v>
      </c>
      <c r="F8" s="15">
        <v>6</v>
      </c>
      <c r="G8" s="17">
        <v>7</v>
      </c>
      <c r="H8" s="17">
        <v>8</v>
      </c>
      <c r="I8" s="17">
        <v>9</v>
      </c>
      <c r="J8" s="17">
        <v>10</v>
      </c>
      <c r="K8" s="17">
        <v>11</v>
      </c>
      <c r="L8" s="17">
        <v>12</v>
      </c>
      <c r="M8" s="17">
        <v>13</v>
      </c>
      <c r="N8" s="17">
        <v>14</v>
      </c>
    </row>
    <row r="9" spans="1:20" s="28" customFormat="1" ht="30.75" customHeight="1">
      <c r="A9" s="18">
        <v>40695</v>
      </c>
      <c r="B9" s="19">
        <v>115.35</v>
      </c>
      <c r="C9" s="19">
        <v>405.185</v>
      </c>
      <c r="D9" s="20">
        <v>45.03</v>
      </c>
      <c r="E9" s="20">
        <v>8.3460000000000001</v>
      </c>
      <c r="F9" s="20">
        <v>0</v>
      </c>
      <c r="G9" s="20">
        <v>0</v>
      </c>
      <c r="H9" s="96" t="s">
        <v>57</v>
      </c>
      <c r="I9" s="19">
        <v>53.375999999999998</v>
      </c>
      <c r="J9" s="19">
        <v>1.2789999999999999</v>
      </c>
      <c r="K9" s="19">
        <v>0</v>
      </c>
      <c r="L9" s="19">
        <v>113.1</v>
      </c>
      <c r="M9" s="19">
        <v>370.66899999999998</v>
      </c>
      <c r="N9" s="19">
        <f>IF((M9-C9)+I9+J9+K9&gt;0,(M9-C9)+I9+J9+K9,0)</f>
        <v>20.138999999999999</v>
      </c>
      <c r="P9" s="35">
        <f>(15000000/(2725*0.9*L9))</f>
        <v>54.077877551461903</v>
      </c>
      <c r="R9" s="32">
        <f>E9+P9-L9</f>
        <v>-50.676122448538102</v>
      </c>
      <c r="S9" s="32" t="e">
        <f>R9-H9-K9</f>
        <v>#VALUE!</v>
      </c>
      <c r="T9" s="32">
        <f>R9-K9-976.1</f>
        <v>-1026.77612244854</v>
      </c>
    </row>
    <row r="10" spans="1:20" s="28" customFormat="1" ht="30.75" customHeight="1">
      <c r="A10" s="18">
        <v>40725</v>
      </c>
      <c r="B10" s="19">
        <v>113.2</v>
      </c>
      <c r="C10" s="19">
        <v>372.17500000000001</v>
      </c>
      <c r="D10" s="20">
        <v>7.883</v>
      </c>
      <c r="E10" s="20">
        <v>4.9050000000000002</v>
      </c>
      <c r="F10" s="20">
        <v>0</v>
      </c>
      <c r="G10" s="19">
        <v>0</v>
      </c>
      <c r="H10" s="97"/>
      <c r="I10" s="19">
        <f t="shared" ref="I10:I20" si="0">D10+E10+F10+G10+H10</f>
        <v>12.788</v>
      </c>
      <c r="J10" s="19">
        <v>0.1</v>
      </c>
      <c r="K10" s="19">
        <v>0</v>
      </c>
      <c r="L10" s="19">
        <v>126.8</v>
      </c>
      <c r="M10" s="19">
        <v>610.76800000000003</v>
      </c>
      <c r="N10" s="19">
        <f t="shared" ref="N10:N20" si="1">IF((M10-C10)+I10+J10+K10&gt;0,(M10-C10)+I10+J10+K10,0)</f>
        <v>251.48099999999999</v>
      </c>
      <c r="P10" s="35">
        <f t="shared" ref="P10:P20" si="2">(15000000/(2725*0.9*L10))</f>
        <v>48.235078478472701</v>
      </c>
    </row>
    <row r="11" spans="1:20" s="28" customFormat="1" ht="30.75" customHeight="1">
      <c r="A11" s="18">
        <v>40756</v>
      </c>
      <c r="B11" s="19">
        <v>128.19999999999999</v>
      </c>
      <c r="C11" s="19">
        <v>639.76199999999994</v>
      </c>
      <c r="D11" s="20">
        <v>6.1070000000000002</v>
      </c>
      <c r="E11" s="20">
        <v>5.4560000000000004</v>
      </c>
      <c r="F11" s="20">
        <v>0</v>
      </c>
      <c r="G11" s="19">
        <v>140.06700000000001</v>
      </c>
      <c r="H11" s="97"/>
      <c r="I11" s="19">
        <f t="shared" si="0"/>
        <v>151.63</v>
      </c>
      <c r="J11" s="19">
        <v>0.17899999999999999</v>
      </c>
      <c r="K11" s="19">
        <v>0</v>
      </c>
      <c r="L11" s="19">
        <v>140.69999999999999</v>
      </c>
      <c r="M11" s="19">
        <v>938.51199999999994</v>
      </c>
      <c r="N11" s="19">
        <f t="shared" si="1"/>
        <v>450.55900000000003</v>
      </c>
      <c r="P11" s="35">
        <f t="shared" si="2"/>
        <v>43.469850398509898</v>
      </c>
    </row>
    <row r="12" spans="1:20" s="28" customFormat="1" ht="30.75" customHeight="1">
      <c r="A12" s="18">
        <v>40787</v>
      </c>
      <c r="B12" s="19">
        <v>141</v>
      </c>
      <c r="C12" s="19">
        <v>946.74300000000005</v>
      </c>
      <c r="D12" s="20">
        <v>59.49</v>
      </c>
      <c r="E12" s="20">
        <v>5.28</v>
      </c>
      <c r="F12" s="20">
        <v>0</v>
      </c>
      <c r="G12" s="19">
        <v>0</v>
      </c>
      <c r="H12" s="97"/>
      <c r="I12" s="19">
        <f t="shared" si="0"/>
        <v>64.77</v>
      </c>
      <c r="J12" s="19">
        <v>0.71899999999999997</v>
      </c>
      <c r="K12" s="19">
        <v>0</v>
      </c>
      <c r="L12" s="19">
        <v>141.65</v>
      </c>
      <c r="M12" s="19">
        <v>965.82500000000005</v>
      </c>
      <c r="N12" s="19">
        <f t="shared" si="1"/>
        <v>84.570999999999998</v>
      </c>
      <c r="P12" s="35">
        <f t="shared" si="2"/>
        <v>43.178312397249101</v>
      </c>
    </row>
    <row r="13" spans="1:20" s="28" customFormat="1" ht="30.75" customHeight="1">
      <c r="A13" s="18">
        <v>40817</v>
      </c>
      <c r="B13" s="19">
        <v>141.62</v>
      </c>
      <c r="C13" s="19">
        <v>964.94399999999996</v>
      </c>
      <c r="D13" s="20">
        <v>49.698999999999998</v>
      </c>
      <c r="E13" s="20">
        <v>5.4560000000000004</v>
      </c>
      <c r="F13" s="20">
        <v>0</v>
      </c>
      <c r="G13" s="19">
        <v>1.9550000000000001</v>
      </c>
      <c r="H13" s="97"/>
      <c r="I13" s="19">
        <f t="shared" si="0"/>
        <v>57.11</v>
      </c>
      <c r="J13" s="19">
        <v>1.9179999999999999</v>
      </c>
      <c r="K13" s="19">
        <v>0</v>
      </c>
      <c r="L13" s="19">
        <v>139.85</v>
      </c>
      <c r="M13" s="19">
        <v>915.38099999999997</v>
      </c>
      <c r="N13" s="19">
        <f t="shared" si="1"/>
        <v>9.4650000000000105</v>
      </c>
      <c r="P13" s="35">
        <f t="shared" si="2"/>
        <v>43.734057569326701</v>
      </c>
    </row>
    <row r="14" spans="1:20" s="28" customFormat="1" ht="30.75" customHeight="1">
      <c r="A14" s="18">
        <v>40848</v>
      </c>
      <c r="B14" s="19">
        <v>139.76</v>
      </c>
      <c r="C14" s="19">
        <v>913.02499999999998</v>
      </c>
      <c r="D14" s="20">
        <v>61.207999999999998</v>
      </c>
      <c r="E14" s="20">
        <v>8.34</v>
      </c>
      <c r="F14" s="20">
        <v>0</v>
      </c>
      <c r="G14" s="19">
        <v>0.78400000000000003</v>
      </c>
      <c r="H14" s="97"/>
      <c r="I14" s="19">
        <f t="shared" si="0"/>
        <v>70.331999999999994</v>
      </c>
      <c r="J14" s="19">
        <v>3.75</v>
      </c>
      <c r="K14" s="19">
        <v>0</v>
      </c>
      <c r="L14" s="19">
        <v>136.93</v>
      </c>
      <c r="M14" s="19">
        <v>840.57899999999995</v>
      </c>
      <c r="N14" s="19">
        <f t="shared" si="1"/>
        <v>1.6359999999999799</v>
      </c>
      <c r="P14" s="35">
        <f t="shared" si="2"/>
        <v>44.666676046668599</v>
      </c>
    </row>
    <row r="15" spans="1:20" s="28" customFormat="1" ht="30.75" customHeight="1">
      <c r="A15" s="18">
        <v>40878</v>
      </c>
      <c r="B15" s="19">
        <v>136.83000000000001</v>
      </c>
      <c r="C15" s="19">
        <v>838.10199999999998</v>
      </c>
      <c r="D15" s="20">
        <v>66.082999999999998</v>
      </c>
      <c r="E15" s="20">
        <v>0</v>
      </c>
      <c r="F15" s="20">
        <v>3.3380000000000001</v>
      </c>
      <c r="G15" s="19">
        <v>0.95199999999999996</v>
      </c>
      <c r="H15" s="97"/>
      <c r="I15" s="19">
        <f t="shared" si="0"/>
        <v>70.373000000000005</v>
      </c>
      <c r="J15" s="19">
        <v>3.7290000000000001</v>
      </c>
      <c r="K15" s="19">
        <v>0</v>
      </c>
      <c r="L15" s="19">
        <v>133.46</v>
      </c>
      <c r="M15" s="19">
        <v>756.64400000000001</v>
      </c>
      <c r="N15" s="19">
        <f t="shared" si="1"/>
        <v>0</v>
      </c>
      <c r="P15" s="35">
        <f t="shared" si="2"/>
        <v>45.828023011166898</v>
      </c>
    </row>
    <row r="16" spans="1:20" s="28" customFormat="1" ht="30.75" customHeight="1">
      <c r="A16" s="18">
        <v>40909</v>
      </c>
      <c r="B16" s="19">
        <v>133.34</v>
      </c>
      <c r="C16" s="19">
        <v>753.83199999999999</v>
      </c>
      <c r="D16" s="20">
        <v>63.65</v>
      </c>
      <c r="E16" s="20">
        <v>4.0709999999999997</v>
      </c>
      <c r="F16" s="20">
        <v>15.88</v>
      </c>
      <c r="G16" s="19">
        <v>0</v>
      </c>
      <c r="H16" s="97"/>
      <c r="I16" s="19">
        <f t="shared" si="0"/>
        <v>83.600999999999999</v>
      </c>
      <c r="J16" s="19">
        <v>3.8330000000000002</v>
      </c>
      <c r="K16" s="19">
        <v>0</v>
      </c>
      <c r="L16" s="19">
        <v>129.56</v>
      </c>
      <c r="M16" s="19">
        <v>668.83900000000006</v>
      </c>
      <c r="N16" s="19">
        <f t="shared" si="1"/>
        <v>2.4410000000000598</v>
      </c>
      <c r="P16" s="35">
        <f t="shared" si="2"/>
        <v>47.207532811595698</v>
      </c>
    </row>
    <row r="17" spans="1:16" s="28" customFormat="1" ht="30.75" customHeight="1">
      <c r="A17" s="18">
        <v>40940</v>
      </c>
      <c r="B17" s="19">
        <v>129.41999999999999</v>
      </c>
      <c r="C17" s="19">
        <v>665.80100000000004</v>
      </c>
      <c r="D17" s="20">
        <v>59.872999999999998</v>
      </c>
      <c r="E17" s="20">
        <v>3.7639999999999998</v>
      </c>
      <c r="F17" s="20">
        <v>11.247</v>
      </c>
      <c r="G17" s="19">
        <v>0</v>
      </c>
      <c r="H17" s="97"/>
      <c r="I17" s="19">
        <f t="shared" si="0"/>
        <v>74.884</v>
      </c>
      <c r="J17" s="19">
        <v>3.8170000000000002</v>
      </c>
      <c r="K17" s="19">
        <v>0</v>
      </c>
      <c r="L17" s="19">
        <v>125.76</v>
      </c>
      <c r="M17" s="19">
        <v>589.80700000000002</v>
      </c>
      <c r="N17" s="19">
        <f t="shared" si="1"/>
        <v>2.7069999999999701</v>
      </c>
      <c r="P17" s="35">
        <f t="shared" si="2"/>
        <v>48.633969076577102</v>
      </c>
    </row>
    <row r="18" spans="1:16" s="28" customFormat="1" ht="30.75" customHeight="1">
      <c r="A18" s="18">
        <v>40969</v>
      </c>
      <c r="B18" s="19">
        <v>125.62</v>
      </c>
      <c r="C18" s="19">
        <v>587.03599999999994</v>
      </c>
      <c r="D18" s="20">
        <v>63.545000000000002</v>
      </c>
      <c r="E18" s="20">
        <v>4.87</v>
      </c>
      <c r="F18" s="20">
        <v>12.073</v>
      </c>
      <c r="G18" s="19">
        <v>0</v>
      </c>
      <c r="H18" s="97"/>
      <c r="I18" s="19">
        <f t="shared" si="0"/>
        <v>80.488</v>
      </c>
      <c r="J18" s="19">
        <v>3.9</v>
      </c>
      <c r="K18" s="19">
        <v>0</v>
      </c>
      <c r="L18" s="19">
        <v>121.3</v>
      </c>
      <c r="M18" s="19">
        <v>505.21199999999999</v>
      </c>
      <c r="N18" s="19">
        <f t="shared" si="1"/>
        <v>2.56400000000004</v>
      </c>
      <c r="P18" s="35">
        <f t="shared" si="2"/>
        <v>50.422159530670498</v>
      </c>
    </row>
    <row r="19" spans="1:16" s="28" customFormat="1" ht="30.75" customHeight="1">
      <c r="A19" s="18">
        <v>41000</v>
      </c>
      <c r="B19" s="19">
        <v>121.14</v>
      </c>
      <c r="C19" s="19">
        <v>502.31599999999997</v>
      </c>
      <c r="D19" s="20">
        <v>61.951999999999998</v>
      </c>
      <c r="E19" s="20">
        <v>3.2250000000000001</v>
      </c>
      <c r="F19" s="20">
        <v>10.4</v>
      </c>
      <c r="G19" s="19">
        <v>0</v>
      </c>
      <c r="H19" s="97"/>
      <c r="I19" s="19">
        <f t="shared" si="0"/>
        <v>75.576999999999998</v>
      </c>
      <c r="J19" s="19">
        <v>3.7</v>
      </c>
      <c r="K19" s="19">
        <v>0</v>
      </c>
      <c r="L19" s="19">
        <v>116.65</v>
      </c>
      <c r="M19" s="19">
        <v>425.79700000000003</v>
      </c>
      <c r="N19" s="19">
        <f t="shared" si="1"/>
        <v>2.7580000000000502</v>
      </c>
      <c r="P19" s="35">
        <f t="shared" si="2"/>
        <v>52.432129884872197</v>
      </c>
    </row>
    <row r="20" spans="1:16" s="28" customFormat="1" ht="30.75" customHeight="1">
      <c r="A20" s="18">
        <v>41030</v>
      </c>
      <c r="B20" s="19">
        <v>116.5</v>
      </c>
      <c r="C20" s="19">
        <v>423.38</v>
      </c>
      <c r="D20" s="20">
        <v>60.829000000000001</v>
      </c>
      <c r="E20" s="20">
        <v>12.177</v>
      </c>
      <c r="F20" s="20">
        <v>2.972</v>
      </c>
      <c r="G20" s="19">
        <v>0</v>
      </c>
      <c r="H20" s="98"/>
      <c r="I20" s="19">
        <f t="shared" si="0"/>
        <v>75.977999999999994</v>
      </c>
      <c r="J20" s="19">
        <v>3.9159999999999999</v>
      </c>
      <c r="K20" s="19">
        <v>0</v>
      </c>
      <c r="L20" s="19">
        <v>111.4</v>
      </c>
      <c r="M20" s="19">
        <v>345.79</v>
      </c>
      <c r="N20" s="19">
        <f t="shared" si="1"/>
        <v>2.3040000000000198</v>
      </c>
      <c r="P20" s="35">
        <f t="shared" si="2"/>
        <v>54.903123438692397</v>
      </c>
    </row>
    <row r="21" spans="1:16">
      <c r="A21" s="21" t="s">
        <v>72</v>
      </c>
      <c r="B21" s="110" t="s">
        <v>73</v>
      </c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P21" s="35"/>
    </row>
    <row r="22" spans="1:16">
      <c r="A22" s="21"/>
      <c r="B22" s="23"/>
      <c r="C22" s="21"/>
      <c r="D22" s="21"/>
      <c r="E22" s="21"/>
      <c r="F22" s="21"/>
      <c r="G22" s="24"/>
      <c r="H22" s="21"/>
      <c r="I22" s="21"/>
      <c r="J22" s="21"/>
      <c r="K22" s="21"/>
      <c r="L22" s="21"/>
      <c r="M22" s="21"/>
      <c r="N22" s="21"/>
    </row>
    <row r="23" spans="1:16">
      <c r="A23" s="21"/>
      <c r="B23" s="23"/>
      <c r="C23" s="21"/>
      <c r="D23" s="21"/>
      <c r="E23" s="21"/>
      <c r="F23" s="21"/>
      <c r="G23" s="24"/>
      <c r="H23" s="21"/>
      <c r="I23" s="21"/>
      <c r="J23" s="21"/>
      <c r="K23" s="21"/>
      <c r="L23" s="21"/>
      <c r="M23" s="21"/>
      <c r="N23" s="21"/>
    </row>
    <row r="24" spans="1:16">
      <c r="A24" s="21"/>
      <c r="B24" s="23"/>
      <c r="C24" s="21"/>
      <c r="D24" s="21"/>
      <c r="E24" s="21"/>
      <c r="F24" s="21"/>
      <c r="G24" s="24"/>
      <c r="H24" s="21"/>
      <c r="I24" s="21"/>
      <c r="J24" s="21"/>
      <c r="K24" s="21"/>
      <c r="L24" s="21"/>
      <c r="M24" s="21"/>
      <c r="N24" s="21"/>
    </row>
    <row r="25" spans="1:16" ht="18" customHeight="1">
      <c r="A25" s="21"/>
      <c r="B25" s="23"/>
      <c r="C25" s="1" t="s">
        <v>29</v>
      </c>
      <c r="D25" s="21"/>
      <c r="E25" s="21"/>
      <c r="F25" s="1"/>
      <c r="G25" s="24"/>
      <c r="H25" s="25"/>
      <c r="I25" s="25"/>
      <c r="J25" s="1" t="s">
        <v>30</v>
      </c>
      <c r="K25" s="25"/>
      <c r="L25" s="25"/>
      <c r="M25" s="25"/>
      <c r="N25" s="25"/>
    </row>
    <row r="26" spans="1:16">
      <c r="A26" s="21"/>
      <c r="B26" s="23"/>
      <c r="C26" s="21" t="s">
        <v>74</v>
      </c>
      <c r="D26" s="21"/>
      <c r="E26" s="21"/>
      <c r="F26" s="21"/>
      <c r="G26" s="24"/>
      <c r="H26" s="25"/>
      <c r="I26" s="25"/>
      <c r="J26" s="21" t="s">
        <v>75</v>
      </c>
      <c r="K26" s="25"/>
      <c r="L26" s="25"/>
      <c r="M26" s="25"/>
      <c r="N26" s="25"/>
    </row>
    <row r="27" spans="1:16">
      <c r="A27" s="21"/>
      <c r="B27" s="23"/>
      <c r="C27" s="21" t="s">
        <v>33</v>
      </c>
      <c r="D27" s="21"/>
      <c r="E27" s="21"/>
      <c r="F27" s="21"/>
      <c r="G27" s="24"/>
      <c r="H27" s="25"/>
      <c r="I27" s="99" t="s">
        <v>33</v>
      </c>
      <c r="J27" s="99"/>
      <c r="K27" s="99"/>
      <c r="L27" s="25"/>
      <c r="M27" s="25"/>
      <c r="N27" s="25"/>
    </row>
  </sheetData>
  <mergeCells count="20">
    <mergeCell ref="N5:N7"/>
    <mergeCell ref="A1:N1"/>
    <mergeCell ref="A2:N2"/>
    <mergeCell ref="D5:H5"/>
    <mergeCell ref="B21:N21"/>
    <mergeCell ref="I27:K27"/>
    <mergeCell ref="A5:A7"/>
    <mergeCell ref="B5:B7"/>
    <mergeCell ref="C5:C7"/>
    <mergeCell ref="D6:D7"/>
    <mergeCell ref="E6:E7"/>
    <mergeCell ref="F6:F7"/>
    <mergeCell ref="G6:G7"/>
    <mergeCell ref="H6:H7"/>
    <mergeCell ref="H9:H20"/>
    <mergeCell ref="I5:I7"/>
    <mergeCell ref="J5:J7"/>
    <mergeCell ref="K5:K7"/>
    <mergeCell ref="L5:L7"/>
    <mergeCell ref="M5:M7"/>
  </mergeCells>
  <printOptions horizontalCentered="1" verticalCentered="1"/>
  <pageMargins left="0.20866141699999999" right="0.20866141699999999" top="0.24803149599999999" bottom="0.24803149599999999" header="0.31496062992126" footer="0.31496062992126"/>
  <pageSetup paperSize="9" scale="8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A1:S27"/>
  <sheetViews>
    <sheetView view="pageBreakPreview" zoomScale="90" zoomScaleNormal="100" workbookViewId="0">
      <selection activeCell="Q9" sqref="Q9:S9"/>
    </sheetView>
  </sheetViews>
  <sheetFormatPr defaultColWidth="9" defaultRowHeight="14.4"/>
  <cols>
    <col min="1" max="1" width="12.5546875" style="36" customWidth="1"/>
    <col min="2" max="2" width="9.109375" style="37" customWidth="1"/>
    <col min="3" max="4" width="9.33203125" style="36" customWidth="1"/>
    <col min="5" max="5" width="8.5546875" style="36" customWidth="1"/>
    <col min="6" max="6" width="9.109375" style="36" customWidth="1"/>
    <col min="7" max="7" width="10.109375" customWidth="1"/>
    <col min="8" max="8" width="8.33203125" style="36" customWidth="1"/>
    <col min="9" max="9" width="8.6640625" style="36" customWidth="1"/>
    <col min="10" max="10" width="11.44140625" style="36" customWidth="1"/>
    <col min="11" max="11" width="9.6640625" style="36" customWidth="1"/>
    <col min="12" max="13" width="9.33203125" style="36" customWidth="1"/>
    <col min="14" max="14" width="10.109375" style="36" customWidth="1"/>
    <col min="15" max="15" width="10" customWidth="1"/>
    <col min="16" max="16" width="12.5546875" customWidth="1"/>
    <col min="17" max="233" width="10" customWidth="1"/>
  </cols>
  <sheetData>
    <row r="1" spans="1:19" s="26" customFormat="1" ht="26.25" customHeight="1">
      <c r="A1" s="103"/>
      <c r="B1" s="103"/>
      <c r="C1" s="103"/>
      <c r="D1" s="103"/>
      <c r="E1" s="103"/>
      <c r="F1" s="103"/>
      <c r="G1" s="104"/>
      <c r="H1" s="104"/>
      <c r="I1" s="104"/>
      <c r="J1" s="104"/>
      <c r="K1" s="104"/>
      <c r="L1" s="104"/>
      <c r="M1" s="104"/>
      <c r="N1" s="104"/>
    </row>
    <row r="2" spans="1:19" s="26" customFormat="1" ht="26.25" customHeight="1">
      <c r="A2" s="105" t="s">
        <v>78</v>
      </c>
      <c r="B2" s="105"/>
      <c r="C2" s="105"/>
      <c r="D2" s="105"/>
      <c r="E2" s="105"/>
      <c r="F2" s="105"/>
      <c r="G2" s="106"/>
      <c r="H2" s="106"/>
      <c r="I2" s="106"/>
      <c r="J2" s="106"/>
      <c r="K2" s="106"/>
      <c r="L2" s="106"/>
      <c r="M2" s="106"/>
      <c r="N2" s="106"/>
    </row>
    <row r="3" spans="1:19" s="26" customFormat="1" ht="26.25" customHeight="1">
      <c r="A3" s="3" t="s">
        <v>1</v>
      </c>
      <c r="B3" s="80" t="s">
        <v>2</v>
      </c>
      <c r="C3" s="4"/>
      <c r="D3" s="4"/>
      <c r="E3" s="4"/>
      <c r="F3" s="3"/>
      <c r="G3" s="5"/>
      <c r="H3" s="2"/>
      <c r="I3" s="2"/>
      <c r="J3" s="2"/>
      <c r="K3" s="2"/>
      <c r="L3" s="2"/>
      <c r="M3" s="2"/>
      <c r="N3" s="2"/>
    </row>
    <row r="4" spans="1:19" s="26" customFormat="1" ht="26.25" customHeight="1">
      <c r="A4" s="3" t="s">
        <v>3</v>
      </c>
      <c r="B4" s="80" t="s">
        <v>4</v>
      </c>
      <c r="C4" s="6"/>
      <c r="D4" s="6"/>
      <c r="E4" s="6"/>
      <c r="F4" s="6"/>
      <c r="G4" s="7"/>
      <c r="H4" s="8"/>
      <c r="I4" s="8"/>
      <c r="J4" s="8"/>
      <c r="K4" s="8"/>
      <c r="L4" s="8"/>
      <c r="M4" s="8"/>
      <c r="N4" s="8"/>
    </row>
    <row r="5" spans="1:19" ht="14.4" customHeight="1">
      <c r="A5" s="88" t="s">
        <v>5</v>
      </c>
      <c r="B5" s="87" t="s">
        <v>62</v>
      </c>
      <c r="C5" s="92" t="s">
        <v>63</v>
      </c>
      <c r="D5" s="92" t="s">
        <v>64</v>
      </c>
      <c r="E5" s="92"/>
      <c r="F5" s="92"/>
      <c r="G5" s="92"/>
      <c r="H5" s="92"/>
      <c r="I5" s="92" t="s">
        <v>65</v>
      </c>
      <c r="J5" s="92" t="s">
        <v>10</v>
      </c>
      <c r="K5" s="92" t="s">
        <v>11</v>
      </c>
      <c r="L5" s="107" t="s">
        <v>66</v>
      </c>
      <c r="M5" s="89" t="s">
        <v>67</v>
      </c>
      <c r="N5" s="92" t="s">
        <v>68</v>
      </c>
    </row>
    <row r="6" spans="1:19" ht="43.2" customHeight="1">
      <c r="A6" s="88"/>
      <c r="B6" s="87"/>
      <c r="C6" s="92"/>
      <c r="D6" s="100" t="s">
        <v>69</v>
      </c>
      <c r="E6" s="100" t="s">
        <v>16</v>
      </c>
      <c r="F6" s="100" t="s">
        <v>17</v>
      </c>
      <c r="G6" s="90" t="s">
        <v>70</v>
      </c>
      <c r="H6" s="87" t="s">
        <v>71</v>
      </c>
      <c r="I6" s="92"/>
      <c r="J6" s="102"/>
      <c r="K6" s="102"/>
      <c r="L6" s="108"/>
      <c r="M6" s="90"/>
      <c r="N6" s="92"/>
    </row>
    <row r="7" spans="1:19" ht="66" customHeight="1">
      <c r="A7" s="88"/>
      <c r="B7" s="87"/>
      <c r="C7" s="92"/>
      <c r="D7" s="101"/>
      <c r="E7" s="101"/>
      <c r="F7" s="101"/>
      <c r="G7" s="91"/>
      <c r="H7" s="87"/>
      <c r="I7" s="92"/>
      <c r="J7" s="102"/>
      <c r="K7" s="102"/>
      <c r="L7" s="109"/>
      <c r="M7" s="91"/>
      <c r="N7" s="92"/>
      <c r="P7" s="29" t="s">
        <v>20</v>
      </c>
    </row>
    <row r="8" spans="1:19">
      <c r="A8" s="15">
        <v>1</v>
      </c>
      <c r="B8" s="16">
        <v>3</v>
      </c>
      <c r="C8" s="15">
        <v>4</v>
      </c>
      <c r="D8" s="15">
        <v>5</v>
      </c>
      <c r="E8" s="15">
        <v>6</v>
      </c>
      <c r="F8" s="15"/>
      <c r="G8" s="17">
        <v>7</v>
      </c>
      <c r="H8" s="17">
        <v>8</v>
      </c>
      <c r="I8" s="17"/>
      <c r="J8" s="17"/>
      <c r="K8" s="17"/>
      <c r="L8" s="17"/>
      <c r="M8" s="17"/>
      <c r="N8" s="17"/>
    </row>
    <row r="9" spans="1:19" s="28" customFormat="1" ht="30.75" customHeight="1">
      <c r="A9" s="18">
        <v>40330</v>
      </c>
      <c r="B9" s="19">
        <v>104.75</v>
      </c>
      <c r="C9" s="19">
        <v>257.18799999999999</v>
      </c>
      <c r="D9" s="20">
        <v>0</v>
      </c>
      <c r="E9" s="20">
        <v>41.494</v>
      </c>
      <c r="F9" s="20">
        <v>0</v>
      </c>
      <c r="G9" s="20">
        <v>0</v>
      </c>
      <c r="H9" s="96" t="s">
        <v>57</v>
      </c>
      <c r="I9" s="19">
        <f>D9+E9+F9+G9+0</f>
        <v>41.494</v>
      </c>
      <c r="J9" s="19">
        <v>1.0840000000000001</v>
      </c>
      <c r="K9" s="19">
        <v>0</v>
      </c>
      <c r="L9" s="19">
        <v>106.25</v>
      </c>
      <c r="M9" s="19">
        <v>276.07299999999998</v>
      </c>
      <c r="N9" s="19">
        <f>IF((M9-C9)+I9+J9+K9&gt;0,(M9-C9)+I9+J9+K9,0)</f>
        <v>61.463000000000001</v>
      </c>
      <c r="P9" s="35">
        <f t="shared" ref="P9:P14" si="0">(15000000/(2725*0.9*L9))</f>
        <v>57.564310127720802</v>
      </c>
      <c r="Q9" s="32">
        <f>D9+O9-K9</f>
        <v>0</v>
      </c>
      <c r="R9" s="32">
        <f>Q9-G9-J9</f>
        <v>-1.0840000000000001</v>
      </c>
      <c r="S9" s="32">
        <f>Q9-J9-976.1</f>
        <v>-977.18399999999997</v>
      </c>
    </row>
    <row r="10" spans="1:19" s="28" customFormat="1" ht="30.75" customHeight="1">
      <c r="A10" s="18">
        <v>40360</v>
      </c>
      <c r="B10" s="19">
        <v>106.35</v>
      </c>
      <c r="C10" s="19">
        <v>277.334</v>
      </c>
      <c r="D10" s="20">
        <v>0</v>
      </c>
      <c r="E10" s="20">
        <v>4.3280000000000003</v>
      </c>
      <c r="F10" s="20">
        <v>0</v>
      </c>
      <c r="G10" s="19">
        <v>0</v>
      </c>
      <c r="H10" s="97"/>
      <c r="I10" s="19">
        <f t="shared" ref="I10:I20" si="1">D10+E10+F10+G10+H10</f>
        <v>4.3280000000000003</v>
      </c>
      <c r="J10" s="19">
        <v>0.112</v>
      </c>
      <c r="K10" s="19">
        <v>0</v>
      </c>
      <c r="L10" s="19">
        <v>125.45</v>
      </c>
      <c r="M10" s="19">
        <v>583.67100000000005</v>
      </c>
      <c r="N10" s="19">
        <f t="shared" ref="N10:N20" si="2">IF((M10-C10)+I10+J10+K10&gt;0,(M10-C10)+I10+J10+K10,0)</f>
        <v>310.77699999999999</v>
      </c>
      <c r="P10" s="35">
        <f t="shared" si="0"/>
        <v>48.754148673338698</v>
      </c>
    </row>
    <row r="11" spans="1:19" s="28" customFormat="1" ht="30.75" customHeight="1">
      <c r="A11" s="18">
        <v>40391</v>
      </c>
      <c r="B11" s="19">
        <v>127.5</v>
      </c>
      <c r="C11" s="19">
        <v>625.17499999999995</v>
      </c>
      <c r="D11" s="20">
        <v>0.42199999999999999</v>
      </c>
      <c r="E11" s="20">
        <v>4.0419999999999998</v>
      </c>
      <c r="F11" s="20">
        <v>0</v>
      </c>
      <c r="G11" s="19">
        <v>23.02</v>
      </c>
      <c r="H11" s="97"/>
      <c r="I11" s="19">
        <f t="shared" si="1"/>
        <v>27.484000000000002</v>
      </c>
      <c r="J11" s="19">
        <v>0.52600000000000002</v>
      </c>
      <c r="K11" s="19">
        <v>0</v>
      </c>
      <c r="L11" s="19">
        <v>139.35</v>
      </c>
      <c r="M11" s="19">
        <v>902.29300000000001</v>
      </c>
      <c r="N11" s="19">
        <f t="shared" si="2"/>
        <v>305.12799999999999</v>
      </c>
      <c r="P11" s="35">
        <f t="shared" si="0"/>
        <v>43.890979196773102</v>
      </c>
    </row>
    <row r="12" spans="1:19" s="28" customFormat="1" ht="30.75" customHeight="1">
      <c r="A12" s="18">
        <v>40422</v>
      </c>
      <c r="B12" s="19">
        <v>140</v>
      </c>
      <c r="C12" s="19">
        <v>919.30700000000002</v>
      </c>
      <c r="D12" s="20">
        <v>51.959000000000003</v>
      </c>
      <c r="E12" s="20">
        <v>4.992</v>
      </c>
      <c r="F12" s="20">
        <v>0</v>
      </c>
      <c r="G12" s="19">
        <v>60.26</v>
      </c>
      <c r="H12" s="97"/>
      <c r="I12" s="19">
        <f t="shared" si="1"/>
        <v>117.211</v>
      </c>
      <c r="J12" s="19">
        <v>1.2</v>
      </c>
      <c r="K12" s="19">
        <v>0</v>
      </c>
      <c r="L12" s="19">
        <v>141.65</v>
      </c>
      <c r="M12" s="19">
        <v>965.82500000000005</v>
      </c>
      <c r="N12" s="19">
        <f t="shared" si="2"/>
        <v>164.929</v>
      </c>
      <c r="P12" s="35">
        <f t="shared" si="0"/>
        <v>43.178312397249101</v>
      </c>
    </row>
    <row r="13" spans="1:19" s="28" customFormat="1" ht="30.75" customHeight="1">
      <c r="A13" s="18">
        <v>40452</v>
      </c>
      <c r="B13" s="19">
        <v>141.6</v>
      </c>
      <c r="C13" s="19">
        <v>964.35699999999997</v>
      </c>
      <c r="D13" s="20">
        <v>49.856000000000002</v>
      </c>
      <c r="E13" s="20">
        <v>5.4560000000000004</v>
      </c>
      <c r="F13" s="20">
        <v>0</v>
      </c>
      <c r="G13" s="19">
        <v>0.5</v>
      </c>
      <c r="H13" s="97"/>
      <c r="I13" s="19">
        <f t="shared" si="1"/>
        <v>55.811999999999998</v>
      </c>
      <c r="J13" s="19">
        <v>2.2949999999999999</v>
      </c>
      <c r="K13" s="19">
        <v>0</v>
      </c>
      <c r="L13" s="19">
        <v>140.30000000000001</v>
      </c>
      <c r="M13" s="19">
        <v>927.53800000000001</v>
      </c>
      <c r="N13" s="19">
        <f t="shared" si="2"/>
        <v>21.288</v>
      </c>
      <c r="P13" s="35">
        <f t="shared" si="0"/>
        <v>43.5937843982205</v>
      </c>
    </row>
    <row r="14" spans="1:19" s="28" customFormat="1" ht="30.75" customHeight="1">
      <c r="A14" s="18">
        <v>40483</v>
      </c>
      <c r="B14" s="19">
        <v>140.19999999999999</v>
      </c>
      <c r="C14" s="19">
        <v>924.79399999999998</v>
      </c>
      <c r="D14" s="20">
        <v>54.320999999999998</v>
      </c>
      <c r="E14" s="20">
        <v>5.28</v>
      </c>
      <c r="F14" s="20">
        <v>0</v>
      </c>
      <c r="G14" s="19">
        <v>0.3</v>
      </c>
      <c r="H14" s="97"/>
      <c r="I14" s="19">
        <f t="shared" si="1"/>
        <v>59.901000000000003</v>
      </c>
      <c r="J14" s="19">
        <v>1.698</v>
      </c>
      <c r="K14" s="19">
        <v>0</v>
      </c>
      <c r="L14" s="19">
        <v>138.44999999999999</v>
      </c>
      <c r="M14" s="19">
        <v>879.03800000000001</v>
      </c>
      <c r="N14" s="19">
        <f t="shared" si="2"/>
        <v>15.843</v>
      </c>
      <c r="P14" s="35">
        <f t="shared" si="0"/>
        <v>44.1762943378139</v>
      </c>
    </row>
    <row r="15" spans="1:19" s="28" customFormat="1" ht="30.75" customHeight="1">
      <c r="A15" s="18">
        <v>40513</v>
      </c>
      <c r="B15" s="19">
        <v>138.35</v>
      </c>
      <c r="C15" s="19">
        <v>876.476</v>
      </c>
      <c r="D15" s="20">
        <v>62.828000000000003</v>
      </c>
      <c r="E15" s="20">
        <v>5.9089999999999998</v>
      </c>
      <c r="F15" s="20">
        <v>2.0790000000000002</v>
      </c>
      <c r="G15" s="19">
        <v>0</v>
      </c>
      <c r="H15" s="97"/>
      <c r="I15" s="19">
        <f t="shared" si="1"/>
        <v>70.816000000000003</v>
      </c>
      <c r="J15" s="19">
        <v>2.2349999999999999</v>
      </c>
      <c r="K15" s="19">
        <v>0</v>
      </c>
      <c r="L15" s="19">
        <v>135.5</v>
      </c>
      <c r="M15" s="19">
        <v>805.45699999999999</v>
      </c>
      <c r="N15" s="19">
        <f t="shared" si="2"/>
        <v>2.032</v>
      </c>
      <c r="P15" s="35">
        <f t="shared" ref="P15:P20" si="3">(15000000/(2725*0.9*L15))</f>
        <v>45.138066059559698</v>
      </c>
    </row>
    <row r="16" spans="1:19" s="28" customFormat="1" ht="30.75" customHeight="1">
      <c r="A16" s="18">
        <v>40544</v>
      </c>
      <c r="B16" s="19">
        <v>135.35</v>
      </c>
      <c r="C16" s="19">
        <v>801.83100000000002</v>
      </c>
      <c r="D16" s="20">
        <v>60.847000000000001</v>
      </c>
      <c r="E16" s="20">
        <v>5.8949999999999996</v>
      </c>
      <c r="F16" s="20">
        <v>11.512</v>
      </c>
      <c r="G16" s="19">
        <v>0</v>
      </c>
      <c r="H16" s="97"/>
      <c r="I16" s="19">
        <f t="shared" si="1"/>
        <v>78.254000000000005</v>
      </c>
      <c r="J16" s="19">
        <v>3.1019999999999999</v>
      </c>
      <c r="K16" s="19">
        <v>0</v>
      </c>
      <c r="L16" s="19">
        <v>132</v>
      </c>
      <c r="M16" s="19">
        <v>722.88099999999997</v>
      </c>
      <c r="N16" s="19">
        <f t="shared" si="2"/>
        <v>2.4059999999999602</v>
      </c>
      <c r="P16" s="35">
        <f t="shared" si="3"/>
        <v>46.334908720229798</v>
      </c>
    </row>
    <row r="17" spans="1:16" s="28" customFormat="1" ht="30.75" customHeight="1">
      <c r="A17" s="18">
        <v>40575</v>
      </c>
      <c r="B17" s="19">
        <v>131.9</v>
      </c>
      <c r="C17" s="19">
        <v>720.62900000000002</v>
      </c>
      <c r="D17" s="20">
        <v>54.234999999999999</v>
      </c>
      <c r="E17" s="20">
        <v>2.2170000000000001</v>
      </c>
      <c r="F17" s="20">
        <v>10.988</v>
      </c>
      <c r="G17" s="19">
        <v>0</v>
      </c>
      <c r="H17" s="97"/>
      <c r="I17" s="19">
        <f t="shared" si="1"/>
        <v>67.44</v>
      </c>
      <c r="J17" s="19">
        <v>2.7170000000000001</v>
      </c>
      <c r="K17" s="19">
        <v>0</v>
      </c>
      <c r="L17" s="19">
        <v>128.80000000000001</v>
      </c>
      <c r="M17" s="19">
        <v>652.45799999999997</v>
      </c>
      <c r="N17" s="19">
        <f t="shared" si="2"/>
        <v>1.98599999999995</v>
      </c>
      <c r="P17" s="35">
        <f t="shared" si="3"/>
        <v>47.486086576632999</v>
      </c>
    </row>
    <row r="18" spans="1:16" s="28" customFormat="1" ht="30.75" customHeight="1">
      <c r="A18" s="18">
        <v>40603</v>
      </c>
      <c r="B18" s="19">
        <v>128.69999999999999</v>
      </c>
      <c r="C18" s="19">
        <v>650.34199999999998</v>
      </c>
      <c r="D18" s="20">
        <v>61.436999999999998</v>
      </c>
      <c r="E18" s="20">
        <v>2.286</v>
      </c>
      <c r="F18" s="20">
        <v>10.829000000000001</v>
      </c>
      <c r="G18" s="19">
        <v>0</v>
      </c>
      <c r="H18" s="97"/>
      <c r="I18" s="19">
        <f t="shared" si="1"/>
        <v>74.552000000000007</v>
      </c>
      <c r="J18" s="19">
        <v>2.9</v>
      </c>
      <c r="K18" s="19">
        <v>0</v>
      </c>
      <c r="L18" s="19">
        <v>125</v>
      </c>
      <c r="M18" s="19">
        <v>574.76300000000003</v>
      </c>
      <c r="N18" s="19">
        <f t="shared" si="2"/>
        <v>1.87300000000004</v>
      </c>
      <c r="P18" s="35">
        <f t="shared" si="3"/>
        <v>48.929663608562699</v>
      </c>
    </row>
    <row r="19" spans="1:16" s="28" customFormat="1" ht="30.75" customHeight="1">
      <c r="A19" s="18">
        <v>40634</v>
      </c>
      <c r="B19" s="19">
        <v>124.85</v>
      </c>
      <c r="C19" s="19">
        <v>571.85299999999995</v>
      </c>
      <c r="D19" s="20">
        <v>58.994</v>
      </c>
      <c r="E19" s="20">
        <v>8.5690000000000008</v>
      </c>
      <c r="F19" s="20">
        <v>11.763</v>
      </c>
      <c r="G19" s="19">
        <v>0</v>
      </c>
      <c r="H19" s="97"/>
      <c r="I19" s="19">
        <f t="shared" si="1"/>
        <v>79.325999999999993</v>
      </c>
      <c r="J19" s="19">
        <v>4.2690000000000001</v>
      </c>
      <c r="K19" s="19">
        <v>0</v>
      </c>
      <c r="L19" s="19">
        <v>120.5</v>
      </c>
      <c r="M19" s="19">
        <v>490.983</v>
      </c>
      <c r="N19" s="19">
        <f t="shared" si="2"/>
        <v>2.72500000000006</v>
      </c>
      <c r="P19" s="35">
        <f t="shared" si="3"/>
        <v>50.756912457015197</v>
      </c>
    </row>
    <row r="20" spans="1:16" s="28" customFormat="1" ht="30.75" customHeight="1">
      <c r="A20" s="18">
        <v>40664</v>
      </c>
      <c r="B20" s="19">
        <v>120.35</v>
      </c>
      <c r="C20" s="19">
        <v>488.34300000000002</v>
      </c>
      <c r="D20" s="20">
        <v>63.055</v>
      </c>
      <c r="E20" s="20">
        <v>11.115</v>
      </c>
      <c r="F20" s="20">
        <v>3.9820000000000002</v>
      </c>
      <c r="G20" s="19">
        <v>0</v>
      </c>
      <c r="H20" s="98"/>
      <c r="I20" s="19">
        <f t="shared" si="1"/>
        <v>78.152000000000001</v>
      </c>
      <c r="J20" s="19">
        <v>4.38</v>
      </c>
      <c r="K20" s="19">
        <v>0</v>
      </c>
      <c r="L20" s="19">
        <v>115.15</v>
      </c>
      <c r="M20" s="19">
        <v>402.06599999999997</v>
      </c>
      <c r="N20" s="19">
        <f t="shared" si="2"/>
        <v>0</v>
      </c>
      <c r="P20" s="35">
        <f t="shared" si="3"/>
        <v>53.115136353194401</v>
      </c>
    </row>
    <row r="21" spans="1:16">
      <c r="A21" s="21" t="s">
        <v>72</v>
      </c>
      <c r="B21" s="110" t="s">
        <v>73</v>
      </c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</row>
    <row r="22" spans="1:16">
      <c r="A22" s="21"/>
      <c r="B22" s="23"/>
      <c r="C22" s="21"/>
      <c r="D22" s="21"/>
      <c r="E22" s="21"/>
      <c r="F22" s="21"/>
      <c r="G22" s="24"/>
      <c r="H22" s="21"/>
      <c r="I22" s="21"/>
      <c r="J22" s="21"/>
      <c r="K22" s="21"/>
      <c r="L22" s="21"/>
      <c r="M22" s="21"/>
      <c r="N22" s="21"/>
    </row>
    <row r="23" spans="1:16">
      <c r="A23" s="21"/>
      <c r="B23" s="23"/>
      <c r="C23" s="21"/>
      <c r="D23" s="21"/>
      <c r="E23" s="21"/>
      <c r="F23" s="21"/>
      <c r="G23" s="24"/>
      <c r="H23" s="21"/>
      <c r="I23" s="21"/>
      <c r="J23" s="21"/>
      <c r="K23" s="21"/>
      <c r="L23" s="21"/>
      <c r="M23" s="21"/>
      <c r="N23" s="21"/>
    </row>
    <row r="24" spans="1:16">
      <c r="A24" s="21"/>
      <c r="B24" s="23"/>
      <c r="C24" s="21"/>
      <c r="D24" s="21"/>
      <c r="E24" s="21"/>
      <c r="F24" s="21"/>
      <c r="G24" s="24"/>
      <c r="H24" s="21"/>
      <c r="I24" s="21"/>
      <c r="J24" s="21"/>
      <c r="K24" s="21"/>
      <c r="L24" s="21"/>
      <c r="M24" s="21"/>
      <c r="N24" s="21"/>
    </row>
    <row r="25" spans="1:16" ht="18" customHeight="1">
      <c r="A25" s="21"/>
      <c r="B25" s="23"/>
      <c r="C25" s="1" t="s">
        <v>29</v>
      </c>
      <c r="D25" s="21"/>
      <c r="E25" s="21"/>
      <c r="F25" s="1"/>
      <c r="G25" s="24"/>
      <c r="H25" s="25"/>
      <c r="I25" s="25"/>
      <c r="J25" s="1" t="s">
        <v>30</v>
      </c>
      <c r="K25" s="25"/>
      <c r="L25" s="25"/>
      <c r="M25" s="25"/>
      <c r="N25" s="25"/>
    </row>
    <row r="26" spans="1:16">
      <c r="A26" s="21"/>
      <c r="B26" s="23"/>
      <c r="C26" s="21" t="s">
        <v>74</v>
      </c>
      <c r="D26" s="21"/>
      <c r="E26" s="21"/>
      <c r="F26" s="21"/>
      <c r="G26" s="24"/>
      <c r="H26" s="25"/>
      <c r="I26" s="25"/>
      <c r="J26" s="21" t="s">
        <v>75</v>
      </c>
      <c r="K26" s="25"/>
      <c r="L26" s="25"/>
      <c r="M26" s="25"/>
      <c r="N26" s="25"/>
    </row>
    <row r="27" spans="1:16" ht="14.4" customHeight="1">
      <c r="A27" s="21"/>
      <c r="B27" s="23"/>
      <c r="C27" s="21" t="s">
        <v>33</v>
      </c>
      <c r="D27" s="21"/>
      <c r="E27" s="21"/>
      <c r="F27" s="21"/>
      <c r="G27" s="24"/>
      <c r="H27" s="25"/>
      <c r="I27" s="99" t="s">
        <v>33</v>
      </c>
      <c r="J27" s="99"/>
      <c r="K27" s="99"/>
      <c r="L27" s="25"/>
      <c r="M27" s="25"/>
      <c r="N27" s="25"/>
    </row>
  </sheetData>
  <mergeCells count="20">
    <mergeCell ref="N5:N7"/>
    <mergeCell ref="A1:N1"/>
    <mergeCell ref="A2:N2"/>
    <mergeCell ref="D5:H5"/>
    <mergeCell ref="B21:N21"/>
    <mergeCell ref="I27:K27"/>
    <mergeCell ref="A5:A7"/>
    <mergeCell ref="B5:B7"/>
    <mergeCell ref="C5:C7"/>
    <mergeCell ref="D6:D7"/>
    <mergeCell ref="E6:E7"/>
    <mergeCell ref="F6:F7"/>
    <mergeCell ref="G6:G7"/>
    <mergeCell ref="H6:H7"/>
    <mergeCell ref="H9:H20"/>
    <mergeCell ref="I5:I7"/>
    <mergeCell ref="J5:J7"/>
    <mergeCell ref="K5:K7"/>
    <mergeCell ref="L5:L7"/>
    <mergeCell ref="M5:M7"/>
  </mergeCells>
  <printOptions horizontalCentered="1" verticalCentered="1"/>
  <pageMargins left="0.20866141699999999" right="0.20866141699999999" top="0.17" bottom="0.24803149599999999" header="0.31496062992126" footer="0.31496062992126"/>
  <pageSetup paperSize="9" scale="8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S27"/>
  <sheetViews>
    <sheetView view="pageBreakPreview" topLeftCell="E8" zoomScale="80" zoomScaleNormal="100" workbookViewId="0">
      <selection activeCell="N9" sqref="N9:N20"/>
    </sheetView>
  </sheetViews>
  <sheetFormatPr defaultColWidth="9" defaultRowHeight="14.4"/>
  <cols>
    <col min="1" max="1" width="12.5546875" style="36" customWidth="1"/>
    <col min="2" max="2" width="10" style="37" customWidth="1"/>
    <col min="3" max="3" width="9.6640625" style="36" customWidth="1"/>
    <col min="4" max="4" width="11.33203125" style="36" customWidth="1"/>
    <col min="5" max="5" width="9.6640625" style="36" customWidth="1"/>
    <col min="6" max="6" width="10.33203125" style="36" customWidth="1"/>
    <col min="7" max="7" width="10.109375" customWidth="1"/>
    <col min="8" max="8" width="10.109375" style="36" customWidth="1"/>
    <col min="9" max="9" width="9.44140625" style="36" customWidth="1"/>
    <col min="10" max="10" width="14.6640625" style="36" customWidth="1"/>
    <col min="11" max="11" width="11.33203125" style="36" customWidth="1"/>
    <col min="12" max="12" width="10.109375" style="36" customWidth="1"/>
    <col min="13" max="13" width="9.33203125" style="36" customWidth="1"/>
    <col min="14" max="14" width="11.33203125" style="36" customWidth="1"/>
    <col min="15" max="15" width="10" customWidth="1"/>
    <col min="16" max="16" width="13" customWidth="1"/>
    <col min="17" max="232" width="10" customWidth="1"/>
  </cols>
  <sheetData>
    <row r="1" spans="1:19" s="26" customFormat="1" ht="26.25" customHeight="1">
      <c r="A1" s="103"/>
      <c r="B1" s="103"/>
      <c r="C1" s="103"/>
      <c r="D1" s="103"/>
      <c r="E1" s="103"/>
      <c r="F1" s="103"/>
      <c r="G1" s="104"/>
      <c r="H1" s="104"/>
      <c r="I1" s="104"/>
      <c r="J1" s="104"/>
      <c r="K1" s="104"/>
      <c r="L1" s="104"/>
      <c r="M1" s="104"/>
      <c r="N1" s="104"/>
    </row>
    <row r="2" spans="1:19" s="26" customFormat="1" ht="26.25" customHeight="1">
      <c r="A2" s="105" t="s">
        <v>79</v>
      </c>
      <c r="B2" s="105"/>
      <c r="C2" s="105"/>
      <c r="D2" s="105"/>
      <c r="E2" s="105"/>
      <c r="F2" s="105"/>
      <c r="G2" s="106"/>
      <c r="H2" s="106"/>
      <c r="I2" s="106"/>
      <c r="J2" s="106"/>
      <c r="K2" s="106"/>
      <c r="L2" s="106"/>
      <c r="M2" s="106"/>
      <c r="N2" s="106"/>
    </row>
    <row r="3" spans="1:19" s="26" customFormat="1" ht="26.25" customHeight="1">
      <c r="A3" s="3" t="s">
        <v>1</v>
      </c>
      <c r="B3" s="80" t="s">
        <v>2</v>
      </c>
      <c r="C3" s="4"/>
      <c r="D3" s="4"/>
      <c r="E3" s="4"/>
      <c r="F3" s="3"/>
      <c r="G3" s="5"/>
      <c r="H3" s="2"/>
      <c r="I3" s="2"/>
      <c r="J3" s="2"/>
      <c r="K3" s="2"/>
      <c r="L3" s="2"/>
      <c r="M3" s="2"/>
      <c r="N3" s="2"/>
    </row>
    <row r="4" spans="1:19" s="26" customFormat="1" ht="26.25" customHeight="1">
      <c r="A4" s="3" t="s">
        <v>3</v>
      </c>
      <c r="B4" s="80" t="s">
        <v>4</v>
      </c>
      <c r="C4" s="6"/>
      <c r="D4" s="6"/>
      <c r="E4" s="6"/>
      <c r="F4" s="6"/>
      <c r="G4" s="7"/>
      <c r="H4" s="8"/>
      <c r="I4" s="8"/>
      <c r="J4" s="8"/>
      <c r="K4" s="8"/>
      <c r="L4" s="8"/>
      <c r="M4" s="8"/>
      <c r="N4" s="8"/>
    </row>
    <row r="5" spans="1:19" ht="14.4" customHeight="1">
      <c r="A5" s="111" t="s">
        <v>5</v>
      </c>
      <c r="B5" s="112" t="s">
        <v>62</v>
      </c>
      <c r="C5" s="113" t="s">
        <v>63</v>
      </c>
      <c r="D5" s="113" t="s">
        <v>64</v>
      </c>
      <c r="E5" s="113"/>
      <c r="F5" s="113"/>
      <c r="G5" s="113"/>
      <c r="H5" s="113"/>
      <c r="I5" s="92" t="s">
        <v>65</v>
      </c>
      <c r="J5" s="92" t="s">
        <v>10</v>
      </c>
      <c r="K5" s="92" t="s">
        <v>11</v>
      </c>
      <c r="L5" s="107" t="s">
        <v>66</v>
      </c>
      <c r="M5" s="89" t="s">
        <v>67</v>
      </c>
      <c r="N5" s="92" t="s">
        <v>68</v>
      </c>
    </row>
    <row r="6" spans="1:19" ht="43.2" customHeight="1">
      <c r="A6" s="111"/>
      <c r="B6" s="112"/>
      <c r="C6" s="113"/>
      <c r="D6" s="114" t="s">
        <v>69</v>
      </c>
      <c r="E6" s="100" t="s">
        <v>16</v>
      </c>
      <c r="F6" s="100" t="s">
        <v>17</v>
      </c>
      <c r="G6" s="90" t="s">
        <v>70</v>
      </c>
      <c r="H6" s="91" t="s">
        <v>71</v>
      </c>
      <c r="I6" s="92"/>
      <c r="J6" s="102"/>
      <c r="K6" s="102"/>
      <c r="L6" s="108"/>
      <c r="M6" s="90"/>
      <c r="N6" s="92"/>
    </row>
    <row r="7" spans="1:19" ht="70.95" customHeight="1">
      <c r="A7" s="111"/>
      <c r="B7" s="112"/>
      <c r="C7" s="113"/>
      <c r="D7" s="115"/>
      <c r="E7" s="101"/>
      <c r="F7" s="101"/>
      <c r="G7" s="91"/>
      <c r="H7" s="92"/>
      <c r="I7" s="92"/>
      <c r="J7" s="102"/>
      <c r="K7" s="102"/>
      <c r="L7" s="109"/>
      <c r="M7" s="91"/>
      <c r="N7" s="92"/>
      <c r="P7" s="29" t="s">
        <v>20</v>
      </c>
    </row>
    <row r="8" spans="1:19">
      <c r="A8" s="15">
        <v>1</v>
      </c>
      <c r="B8" s="16">
        <v>2</v>
      </c>
      <c r="C8" s="15">
        <v>3</v>
      </c>
      <c r="D8" s="15">
        <v>4</v>
      </c>
      <c r="E8" s="15">
        <v>5</v>
      </c>
      <c r="F8" s="15">
        <v>6</v>
      </c>
      <c r="G8" s="17">
        <v>7</v>
      </c>
      <c r="H8" s="17">
        <v>8</v>
      </c>
      <c r="I8" s="17">
        <v>9</v>
      </c>
      <c r="J8" s="17">
        <v>10</v>
      </c>
      <c r="K8" s="17">
        <v>11</v>
      </c>
      <c r="L8" s="17">
        <v>12</v>
      </c>
      <c r="M8" s="17">
        <v>12</v>
      </c>
      <c r="N8" s="17">
        <v>14</v>
      </c>
    </row>
    <row r="9" spans="1:19" s="28" customFormat="1" ht="30.75" customHeight="1">
      <c r="A9" s="18">
        <v>39965</v>
      </c>
      <c r="B9" s="19">
        <v>114.5</v>
      </c>
      <c r="C9" s="19">
        <v>391.97199999999998</v>
      </c>
      <c r="D9" s="20">
        <v>57.073999999999998</v>
      </c>
      <c r="E9" s="20">
        <v>9.3239999999999998</v>
      </c>
      <c r="F9" s="20">
        <v>0.33600000000000002</v>
      </c>
      <c r="G9" s="20">
        <v>0</v>
      </c>
      <c r="H9" s="96" t="s">
        <v>57</v>
      </c>
      <c r="I9" s="19">
        <f>D9+E9+F9+G9+0</f>
        <v>66.733999999999995</v>
      </c>
      <c r="J9" s="19">
        <v>2.0499999999999998</v>
      </c>
      <c r="K9" s="19">
        <v>0</v>
      </c>
      <c r="L9" s="19">
        <v>109.95</v>
      </c>
      <c r="M9" s="19">
        <v>325.411</v>
      </c>
      <c r="N9" s="19">
        <f>IF((M9-C9)+I9+J9+K9&gt;0,(M9-C9)+I9+J9+K9,0)</f>
        <v>2.2230000000000159</v>
      </c>
      <c r="P9" s="35">
        <f>(15000000/(2725*0.9*L9))</f>
        <v>55.6271755440685</v>
      </c>
      <c r="Q9" s="32">
        <f>D9+O9-K9</f>
        <v>57.073999999999998</v>
      </c>
      <c r="R9" s="32">
        <f>Q9-G9-J9</f>
        <v>55.024000000000001</v>
      </c>
      <c r="S9" s="32">
        <f>Q9-J9-976.1</f>
        <v>-921.07600000000002</v>
      </c>
    </row>
    <row r="10" spans="1:19" s="28" customFormat="1" ht="30.75" customHeight="1">
      <c r="A10" s="18">
        <v>39995</v>
      </c>
      <c r="B10" s="19">
        <v>109.8</v>
      </c>
      <c r="C10" s="19">
        <v>323.32</v>
      </c>
      <c r="D10" s="20">
        <v>21.312000000000001</v>
      </c>
      <c r="E10" s="20">
        <v>6.01</v>
      </c>
      <c r="F10" s="20">
        <v>0</v>
      </c>
      <c r="G10" s="19">
        <v>0</v>
      </c>
      <c r="H10" s="97"/>
      <c r="I10" s="19">
        <f t="shared" ref="I10:I20" si="0">D10+E10+F10+G10+H10</f>
        <v>27.321999999999999</v>
      </c>
      <c r="J10" s="19">
        <v>0.125</v>
      </c>
      <c r="K10" s="19">
        <v>0</v>
      </c>
      <c r="L10" s="19">
        <v>126.2</v>
      </c>
      <c r="M10" s="19">
        <v>598.61</v>
      </c>
      <c r="N10" s="19">
        <f t="shared" ref="N10:N20" si="1">IF((M10-C10)+I10+J10+K10&gt;0,(M10-C10)+I10+J10+K10,0)</f>
        <v>302.73700000000002</v>
      </c>
      <c r="P10" s="35">
        <f t="shared" ref="P10:P20" si="2">(15000000/(2725*0.9*L10))</f>
        <v>48.464405317514597</v>
      </c>
    </row>
    <row r="11" spans="1:19" s="28" customFormat="1" ht="30.75" customHeight="1">
      <c r="A11" s="18">
        <v>40026</v>
      </c>
      <c r="B11" s="19">
        <v>126.25</v>
      </c>
      <c r="C11" s="19">
        <v>599.62400000000002</v>
      </c>
      <c r="D11" s="20">
        <v>36.817</v>
      </c>
      <c r="E11" s="20">
        <v>5.21</v>
      </c>
      <c r="F11" s="20">
        <v>0</v>
      </c>
      <c r="G11" s="19">
        <v>0</v>
      </c>
      <c r="H11" s="97"/>
      <c r="I11" s="19">
        <f t="shared" si="0"/>
        <v>42.027000000000001</v>
      </c>
      <c r="J11" s="19">
        <v>1.036</v>
      </c>
      <c r="K11" s="19">
        <v>0</v>
      </c>
      <c r="L11" s="19">
        <v>128.30000000000001</v>
      </c>
      <c r="M11" s="19">
        <v>641.87800000000004</v>
      </c>
      <c r="N11" s="19">
        <f t="shared" si="1"/>
        <v>85.316999999999993</v>
      </c>
      <c r="P11" s="35">
        <f t="shared" si="2"/>
        <v>47.671145370774198</v>
      </c>
    </row>
    <row r="12" spans="1:19" s="28" customFormat="1" ht="30.75" customHeight="1">
      <c r="A12" s="18">
        <v>40057</v>
      </c>
      <c r="B12" s="19">
        <v>128.80000000000001</v>
      </c>
      <c r="C12" s="19">
        <v>652.45799999999997</v>
      </c>
      <c r="D12" s="20">
        <v>14.725</v>
      </c>
      <c r="E12" s="20">
        <v>5.2279999999999998</v>
      </c>
      <c r="F12" s="20">
        <v>0</v>
      </c>
      <c r="G12" s="19">
        <v>0</v>
      </c>
      <c r="H12" s="97"/>
      <c r="I12" s="19">
        <f t="shared" si="0"/>
        <v>19.952999999999999</v>
      </c>
      <c r="J12" s="19">
        <v>1.4530000000000001</v>
      </c>
      <c r="K12" s="19">
        <v>0</v>
      </c>
      <c r="L12" s="19">
        <v>132.6</v>
      </c>
      <c r="M12" s="19">
        <v>736.67</v>
      </c>
      <c r="N12" s="19">
        <f t="shared" si="1"/>
        <v>105.61799999999999</v>
      </c>
      <c r="P12" s="35">
        <f t="shared" si="2"/>
        <v>46.125248499776298</v>
      </c>
    </row>
    <row r="13" spans="1:19" s="28" customFormat="1" ht="30.75" customHeight="1">
      <c r="A13" s="18">
        <v>40087</v>
      </c>
      <c r="B13" s="19">
        <v>132.55000000000001</v>
      </c>
      <c r="C13" s="19">
        <v>735.52099999999996</v>
      </c>
      <c r="D13" s="20">
        <v>36.006</v>
      </c>
      <c r="E13" s="20">
        <v>6.5869999999999997</v>
      </c>
      <c r="F13" s="20">
        <v>0</v>
      </c>
      <c r="G13" s="19">
        <v>0</v>
      </c>
      <c r="H13" s="97"/>
      <c r="I13" s="19">
        <f t="shared" si="0"/>
        <v>42.593000000000004</v>
      </c>
      <c r="J13" s="19">
        <v>2.0499999999999998</v>
      </c>
      <c r="K13" s="19">
        <v>0</v>
      </c>
      <c r="L13" s="19">
        <v>132.94999999999999</v>
      </c>
      <c r="M13" s="19">
        <v>744.71299999999997</v>
      </c>
      <c r="N13" s="19">
        <f t="shared" si="1"/>
        <v>53.835000000000001</v>
      </c>
      <c r="P13" s="35">
        <f t="shared" si="2"/>
        <v>46.003820617302303</v>
      </c>
    </row>
    <row r="14" spans="1:19" s="28" customFormat="1" ht="30.75" customHeight="1">
      <c r="A14" s="18">
        <v>40118</v>
      </c>
      <c r="B14" s="19">
        <v>132.85</v>
      </c>
      <c r="C14" s="19">
        <v>742.41499999999996</v>
      </c>
      <c r="D14" s="20">
        <v>50.116999999999997</v>
      </c>
      <c r="E14" s="20">
        <v>6.3</v>
      </c>
      <c r="F14" s="20">
        <v>0</v>
      </c>
      <c r="G14" s="19">
        <v>0</v>
      </c>
      <c r="H14" s="97"/>
      <c r="I14" s="19">
        <f t="shared" si="0"/>
        <v>56.417000000000002</v>
      </c>
      <c r="J14" s="19">
        <v>1.85</v>
      </c>
      <c r="K14" s="19">
        <v>0</v>
      </c>
      <c r="L14" s="19">
        <v>130.44999999999999</v>
      </c>
      <c r="M14" s="19">
        <v>688.27300000000002</v>
      </c>
      <c r="N14" s="19">
        <f t="shared" si="1"/>
        <v>4.1250000000000604</v>
      </c>
      <c r="P14" s="35">
        <f t="shared" si="2"/>
        <v>46.885457654812903</v>
      </c>
    </row>
    <row r="15" spans="1:19" s="28" customFormat="1" ht="30.75" customHeight="1">
      <c r="A15" s="18">
        <v>40148</v>
      </c>
      <c r="B15" s="19">
        <v>130.4</v>
      </c>
      <c r="C15" s="19">
        <v>687.17399999999998</v>
      </c>
      <c r="D15" s="20">
        <v>59.003</v>
      </c>
      <c r="E15" s="20">
        <v>4.157</v>
      </c>
      <c r="F15" s="20">
        <v>4.0919999999999996</v>
      </c>
      <c r="G15" s="19">
        <v>0</v>
      </c>
      <c r="H15" s="97"/>
      <c r="I15" s="19">
        <f t="shared" si="0"/>
        <v>67.251999999999995</v>
      </c>
      <c r="J15" s="19">
        <v>1.7010000000000001</v>
      </c>
      <c r="K15" s="19">
        <v>0</v>
      </c>
      <c r="L15" s="19">
        <v>127.3</v>
      </c>
      <c r="M15" s="19">
        <v>621.03300000000002</v>
      </c>
      <c r="N15" s="19">
        <f t="shared" si="1"/>
        <v>2.81200000000003</v>
      </c>
      <c r="P15" s="35">
        <f t="shared" si="2"/>
        <v>48.045624124668798</v>
      </c>
    </row>
    <row r="16" spans="1:19" s="28" customFormat="1" ht="30.75" customHeight="1">
      <c r="A16" s="18">
        <v>40179</v>
      </c>
      <c r="B16" s="19">
        <v>127.15</v>
      </c>
      <c r="C16" s="19">
        <v>617.92700000000002</v>
      </c>
      <c r="D16" s="20">
        <v>59.176000000000002</v>
      </c>
      <c r="E16" s="20">
        <v>3.0270000000000001</v>
      </c>
      <c r="F16" s="20">
        <v>9.9700000000000006</v>
      </c>
      <c r="G16" s="19">
        <v>0</v>
      </c>
      <c r="H16" s="97"/>
      <c r="I16" s="19">
        <f t="shared" si="0"/>
        <v>72.173000000000002</v>
      </c>
      <c r="J16" s="19">
        <v>2.7</v>
      </c>
      <c r="K16" s="19">
        <v>0</v>
      </c>
      <c r="L16" s="19">
        <v>123.5</v>
      </c>
      <c r="M16" s="19">
        <v>545.89</v>
      </c>
      <c r="N16" s="19">
        <f t="shared" si="1"/>
        <v>2.8359999999999701</v>
      </c>
      <c r="P16" s="35">
        <f t="shared" si="2"/>
        <v>49.523951020812397</v>
      </c>
    </row>
    <row r="17" spans="1:16" s="28" customFormat="1" ht="30.75" customHeight="1">
      <c r="A17" s="18">
        <v>40210</v>
      </c>
      <c r="B17" s="19">
        <v>123.4</v>
      </c>
      <c r="C17" s="19">
        <v>543.995</v>
      </c>
      <c r="D17" s="20">
        <v>53.54</v>
      </c>
      <c r="E17" s="20">
        <v>0.80300000000000005</v>
      </c>
      <c r="F17" s="20">
        <v>10.685</v>
      </c>
      <c r="G17" s="19">
        <v>0</v>
      </c>
      <c r="H17" s="97"/>
      <c r="I17" s="19">
        <f t="shared" si="0"/>
        <v>65.028000000000006</v>
      </c>
      <c r="J17" s="19">
        <v>2.8</v>
      </c>
      <c r="K17" s="19">
        <v>0</v>
      </c>
      <c r="L17" s="19">
        <v>119.75</v>
      </c>
      <c r="M17" s="19">
        <v>477.84500000000003</v>
      </c>
      <c r="N17" s="19">
        <f t="shared" si="1"/>
        <v>1.6780000000000099</v>
      </c>
      <c r="P17" s="35">
        <f t="shared" si="2"/>
        <v>51.074805436913003</v>
      </c>
    </row>
    <row r="18" spans="1:16" s="28" customFormat="1" ht="30.75" customHeight="1">
      <c r="A18" s="18">
        <v>40238</v>
      </c>
      <c r="B18" s="19">
        <v>119.6</v>
      </c>
      <c r="C18" s="19">
        <v>475.24200000000002</v>
      </c>
      <c r="D18" s="20">
        <v>60.027000000000001</v>
      </c>
      <c r="E18" s="20">
        <v>3.07</v>
      </c>
      <c r="F18" s="20">
        <v>11.138999999999999</v>
      </c>
      <c r="G18" s="19">
        <v>0</v>
      </c>
      <c r="H18" s="97"/>
      <c r="I18" s="19">
        <f t="shared" si="0"/>
        <v>74.236000000000004</v>
      </c>
      <c r="J18" s="19">
        <v>3.6869999999999998</v>
      </c>
      <c r="K18" s="19">
        <v>0</v>
      </c>
      <c r="L18" s="19">
        <v>115</v>
      </c>
      <c r="M18" s="19">
        <v>399.72699999999998</v>
      </c>
      <c r="N18" s="19">
        <f t="shared" si="1"/>
        <v>2.40799999999996</v>
      </c>
      <c r="P18" s="35">
        <f t="shared" si="2"/>
        <v>53.184416965829001</v>
      </c>
    </row>
    <row r="19" spans="1:16" s="28" customFormat="1" ht="30.75" customHeight="1">
      <c r="A19" s="18">
        <v>40269</v>
      </c>
      <c r="B19" s="19">
        <v>114.8</v>
      </c>
      <c r="C19" s="19">
        <v>396.625</v>
      </c>
      <c r="D19" s="20">
        <v>57.655999999999999</v>
      </c>
      <c r="E19" s="20">
        <v>1.3180000000000001</v>
      </c>
      <c r="F19" s="20">
        <v>8.7249999999999996</v>
      </c>
      <c r="G19" s="19">
        <v>0</v>
      </c>
      <c r="H19" s="97"/>
      <c r="I19" s="19">
        <f t="shared" si="0"/>
        <v>67.698999999999998</v>
      </c>
      <c r="J19" s="19">
        <v>3.6909999999999998</v>
      </c>
      <c r="K19" s="19">
        <v>0</v>
      </c>
      <c r="L19" s="19">
        <v>110.15</v>
      </c>
      <c r="M19" s="19">
        <v>328.19600000000003</v>
      </c>
      <c r="N19" s="19">
        <f t="shared" si="1"/>
        <v>2.9610000000000198</v>
      </c>
      <c r="P19" s="35">
        <f t="shared" si="2"/>
        <v>55.526172955699799</v>
      </c>
    </row>
    <row r="20" spans="1:16" s="28" customFormat="1" ht="30.75" customHeight="1">
      <c r="A20" s="18">
        <v>40299</v>
      </c>
      <c r="B20" s="19">
        <v>110</v>
      </c>
      <c r="C20" s="19">
        <v>326.108</v>
      </c>
      <c r="D20" s="20">
        <v>44.006</v>
      </c>
      <c r="E20" s="20">
        <v>19.902000000000001</v>
      </c>
      <c r="F20" s="20">
        <v>0.67200000000000004</v>
      </c>
      <c r="G20" s="19">
        <v>0</v>
      </c>
      <c r="H20" s="98"/>
      <c r="I20" s="19">
        <f t="shared" si="0"/>
        <v>64.58</v>
      </c>
      <c r="J20" s="19">
        <v>3.8010000000000002</v>
      </c>
      <c r="K20" s="19">
        <v>0</v>
      </c>
      <c r="L20" s="19">
        <v>104.95</v>
      </c>
      <c r="M20" s="19">
        <v>259.68700000000001</v>
      </c>
      <c r="N20" s="19">
        <f t="shared" si="1"/>
        <v>1.96000000000001</v>
      </c>
      <c r="P20" s="35">
        <f t="shared" si="2"/>
        <v>58.2773506533619</v>
      </c>
    </row>
    <row r="21" spans="1:16">
      <c r="A21" s="21" t="s">
        <v>72</v>
      </c>
      <c r="B21" s="110" t="s">
        <v>73</v>
      </c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</row>
    <row r="22" spans="1:16">
      <c r="A22" s="21"/>
      <c r="B22" s="23"/>
      <c r="C22" s="21"/>
      <c r="D22" s="21"/>
      <c r="E22" s="21"/>
      <c r="F22" s="21"/>
      <c r="G22" s="24"/>
      <c r="H22" s="21"/>
      <c r="I22" s="21"/>
      <c r="J22" s="21"/>
      <c r="K22" s="21"/>
      <c r="L22" s="21"/>
      <c r="M22" s="21"/>
      <c r="N22" s="21"/>
    </row>
    <row r="23" spans="1:16">
      <c r="A23" s="21"/>
      <c r="B23" s="23"/>
      <c r="C23" s="21"/>
      <c r="D23" s="21"/>
      <c r="E23" s="21"/>
      <c r="F23" s="21"/>
      <c r="G23" s="24"/>
      <c r="H23" s="21"/>
      <c r="I23" s="21"/>
      <c r="J23" s="21"/>
      <c r="K23" s="21"/>
      <c r="L23" s="21"/>
      <c r="M23" s="21"/>
      <c r="N23" s="21"/>
    </row>
    <row r="24" spans="1:16">
      <c r="A24" s="21"/>
      <c r="B24" s="23"/>
      <c r="C24" s="21"/>
      <c r="D24" s="21"/>
      <c r="E24" s="21"/>
      <c r="F24" s="21"/>
      <c r="G24" s="24"/>
      <c r="H24" s="21"/>
      <c r="I24" s="21"/>
      <c r="J24" s="21"/>
      <c r="K24" s="21"/>
      <c r="L24" s="21"/>
      <c r="M24" s="21"/>
      <c r="N24" s="21"/>
    </row>
    <row r="25" spans="1:16" ht="18" customHeight="1">
      <c r="A25" s="21"/>
      <c r="B25" s="23"/>
      <c r="C25" s="1" t="s">
        <v>29</v>
      </c>
      <c r="D25" s="21"/>
      <c r="E25" s="21"/>
      <c r="F25" s="1"/>
      <c r="G25" s="24"/>
      <c r="H25" s="25"/>
      <c r="I25" s="25"/>
      <c r="J25" s="1" t="s">
        <v>30</v>
      </c>
      <c r="K25" s="25"/>
      <c r="L25" s="25"/>
      <c r="M25" s="25"/>
      <c r="N25" s="25"/>
    </row>
    <row r="26" spans="1:16">
      <c r="A26" s="21"/>
      <c r="B26" s="23"/>
      <c r="C26" s="21" t="s">
        <v>74</v>
      </c>
      <c r="D26" s="21"/>
      <c r="E26" s="21"/>
      <c r="F26" s="21"/>
      <c r="G26" s="24"/>
      <c r="H26" s="25"/>
      <c r="I26" s="25"/>
      <c r="J26" s="21" t="s">
        <v>75</v>
      </c>
      <c r="K26" s="25"/>
      <c r="L26" s="25"/>
      <c r="M26" s="25"/>
      <c r="N26" s="25"/>
    </row>
    <row r="27" spans="1:16">
      <c r="A27" s="21"/>
      <c r="B27" s="23"/>
      <c r="C27" s="21" t="s">
        <v>33</v>
      </c>
      <c r="D27" s="21"/>
      <c r="E27" s="21"/>
      <c r="F27" s="21"/>
      <c r="G27" s="24"/>
      <c r="H27" s="25"/>
      <c r="I27" s="99" t="s">
        <v>33</v>
      </c>
      <c r="J27" s="99"/>
      <c r="K27" s="99"/>
      <c r="L27" s="25"/>
      <c r="M27" s="25"/>
      <c r="N27" s="25"/>
    </row>
  </sheetData>
  <mergeCells count="20">
    <mergeCell ref="N5:N7"/>
    <mergeCell ref="A1:N1"/>
    <mergeCell ref="A2:N2"/>
    <mergeCell ref="D5:H5"/>
    <mergeCell ref="B21:N21"/>
    <mergeCell ref="I27:K27"/>
    <mergeCell ref="A5:A7"/>
    <mergeCell ref="B5:B7"/>
    <mergeCell ref="C5:C7"/>
    <mergeCell ref="D6:D7"/>
    <mergeCell ref="E6:E7"/>
    <mergeCell ref="F6:F7"/>
    <mergeCell ref="G6:G7"/>
    <mergeCell ref="H6:H7"/>
    <mergeCell ref="H9:H20"/>
    <mergeCell ref="I5:I7"/>
    <mergeCell ref="J5:J7"/>
    <mergeCell ref="K5:K7"/>
    <mergeCell ref="L5:L7"/>
    <mergeCell ref="M5:M7"/>
  </mergeCells>
  <printOptions horizontalCentered="1" verticalCentered="1"/>
  <pageMargins left="0.20866141699999999" right="0.20866141699999999" top="0.17" bottom="0.24803149599999999" header="0.17" footer="0.31496062992126"/>
  <pageSetup paperSize="9" scale="8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T26"/>
  <sheetViews>
    <sheetView view="pageBreakPreview" topLeftCell="F6" zoomScale="80" zoomScaleNormal="100" workbookViewId="0">
      <selection activeCell="N8" sqref="N8:N19"/>
    </sheetView>
  </sheetViews>
  <sheetFormatPr defaultColWidth="9" defaultRowHeight="14.4"/>
  <cols>
    <col min="1" max="1" width="13.88671875" style="36" customWidth="1"/>
    <col min="2" max="2" width="11.5546875" style="37" customWidth="1"/>
    <col min="3" max="4" width="9.33203125" style="36" customWidth="1"/>
    <col min="5" max="5" width="10.33203125" style="36" customWidth="1"/>
    <col min="6" max="6" width="9.6640625" style="36" customWidth="1"/>
    <col min="7" max="7" width="10.109375" customWidth="1"/>
    <col min="8" max="8" width="10" style="36" customWidth="1"/>
    <col min="9" max="9" width="9.44140625" style="36" customWidth="1"/>
    <col min="10" max="10" width="12.109375" style="36" customWidth="1"/>
    <col min="11" max="11" width="11.6640625" style="36" customWidth="1"/>
    <col min="12" max="12" width="11.33203125" style="36" customWidth="1"/>
    <col min="13" max="13" width="9.33203125" style="36" customWidth="1"/>
    <col min="14" max="14" width="13.5546875" style="36" customWidth="1"/>
    <col min="15" max="235" width="10" customWidth="1"/>
  </cols>
  <sheetData>
    <row r="1" spans="1:20" s="26" customFormat="1" ht="26.25" customHeight="1">
      <c r="A1" s="105" t="s">
        <v>80</v>
      </c>
      <c r="B1" s="105"/>
      <c r="C1" s="105"/>
      <c r="D1" s="105"/>
      <c r="E1" s="105"/>
      <c r="F1" s="105"/>
      <c r="G1" s="106"/>
      <c r="H1" s="106"/>
      <c r="I1" s="106"/>
      <c r="J1" s="106"/>
      <c r="K1" s="106"/>
      <c r="L1" s="106"/>
      <c r="M1" s="106"/>
      <c r="N1" s="106"/>
    </row>
    <row r="2" spans="1:20" s="26" customFormat="1" ht="26.25" customHeight="1">
      <c r="A2" s="3" t="s">
        <v>1</v>
      </c>
      <c r="B2" s="80" t="s">
        <v>2</v>
      </c>
      <c r="C2" s="4"/>
      <c r="D2" s="4"/>
      <c r="E2" s="4"/>
      <c r="F2" s="3"/>
      <c r="G2" s="5"/>
      <c r="H2" s="2"/>
      <c r="I2" s="2"/>
      <c r="J2" s="2"/>
      <c r="K2" s="2"/>
      <c r="L2" s="2"/>
      <c r="M2" s="2"/>
      <c r="N2" s="2"/>
    </row>
    <row r="3" spans="1:20" ht="24.6" customHeight="1">
      <c r="A3" s="3" t="s">
        <v>3</v>
      </c>
      <c r="B3" s="80" t="s">
        <v>4</v>
      </c>
      <c r="C3" s="6"/>
      <c r="D3" s="6"/>
      <c r="E3" s="6"/>
      <c r="F3" s="6"/>
      <c r="G3" s="7"/>
      <c r="H3" s="8"/>
      <c r="I3" s="8"/>
      <c r="J3" s="8"/>
      <c r="K3" s="8"/>
      <c r="L3" s="8"/>
      <c r="M3" s="8"/>
      <c r="N3" s="8"/>
    </row>
    <row r="4" spans="1:20">
      <c r="A4" s="88" t="s">
        <v>5</v>
      </c>
      <c r="B4" s="87" t="s">
        <v>62</v>
      </c>
      <c r="C4" s="92" t="s">
        <v>63</v>
      </c>
      <c r="D4" s="92" t="s">
        <v>64</v>
      </c>
      <c r="E4" s="92"/>
      <c r="F4" s="92"/>
      <c r="G4" s="92"/>
      <c r="H4" s="92"/>
      <c r="I4" s="92" t="s">
        <v>65</v>
      </c>
      <c r="J4" s="92" t="s">
        <v>10</v>
      </c>
      <c r="K4" s="92" t="s">
        <v>11</v>
      </c>
      <c r="L4" s="107" t="s">
        <v>66</v>
      </c>
      <c r="M4" s="89" t="s">
        <v>67</v>
      </c>
      <c r="N4" s="92" t="s">
        <v>68</v>
      </c>
    </row>
    <row r="5" spans="1:20" s="28" customFormat="1" ht="30.75" customHeight="1">
      <c r="A5" s="88"/>
      <c r="B5" s="87"/>
      <c r="C5" s="92"/>
      <c r="D5" s="100" t="s">
        <v>69</v>
      </c>
      <c r="E5" s="100" t="s">
        <v>16</v>
      </c>
      <c r="F5" s="100" t="s">
        <v>17</v>
      </c>
      <c r="G5" s="90" t="s">
        <v>70</v>
      </c>
      <c r="H5" s="91" t="s">
        <v>71</v>
      </c>
      <c r="I5" s="92"/>
      <c r="J5" s="102"/>
      <c r="K5" s="102"/>
      <c r="L5" s="108"/>
      <c r="M5" s="90"/>
      <c r="N5" s="92"/>
      <c r="R5" s="38">
        <f>(C8/976.1)*100</f>
        <v>19.329576887614</v>
      </c>
    </row>
    <row r="6" spans="1:20" s="28" customFormat="1" ht="85.5" customHeight="1">
      <c r="A6" s="88"/>
      <c r="B6" s="87"/>
      <c r="C6" s="92"/>
      <c r="D6" s="101"/>
      <c r="E6" s="101"/>
      <c r="F6" s="101"/>
      <c r="G6" s="91"/>
      <c r="H6" s="92"/>
      <c r="I6" s="92"/>
      <c r="J6" s="102"/>
      <c r="K6" s="102"/>
      <c r="L6" s="109"/>
      <c r="M6" s="91"/>
      <c r="N6" s="92"/>
      <c r="Q6" s="29" t="s">
        <v>20</v>
      </c>
    </row>
    <row r="7" spans="1:20" s="28" customFormat="1" ht="14.4" customHeight="1">
      <c r="A7" s="15">
        <v>1</v>
      </c>
      <c r="B7" s="16">
        <v>2</v>
      </c>
      <c r="C7" s="15">
        <v>3</v>
      </c>
      <c r="D7" s="15">
        <v>4</v>
      </c>
      <c r="E7" s="15">
        <v>5</v>
      </c>
      <c r="F7" s="15">
        <v>6</v>
      </c>
      <c r="G7" s="17">
        <v>7</v>
      </c>
      <c r="H7" s="17">
        <v>8</v>
      </c>
      <c r="I7" s="17">
        <v>9</v>
      </c>
      <c r="J7" s="17">
        <v>10</v>
      </c>
      <c r="K7" s="17">
        <v>11</v>
      </c>
      <c r="L7" s="17">
        <v>12</v>
      </c>
      <c r="M7" s="17">
        <v>13</v>
      </c>
      <c r="N7" s="17">
        <v>14</v>
      </c>
      <c r="Q7"/>
    </row>
    <row r="8" spans="1:20" s="28" customFormat="1" ht="30.75" customHeight="1">
      <c r="A8" s="18">
        <v>39600</v>
      </c>
      <c r="B8" s="19">
        <v>98.85</v>
      </c>
      <c r="C8" s="19">
        <v>188.67599999999999</v>
      </c>
      <c r="D8" s="20">
        <v>0</v>
      </c>
      <c r="E8" s="20">
        <v>55.506</v>
      </c>
      <c r="F8" s="20">
        <v>0</v>
      </c>
      <c r="G8" s="20">
        <v>0</v>
      </c>
      <c r="H8" s="96" t="s">
        <v>57</v>
      </c>
      <c r="I8" s="19">
        <v>55.506</v>
      </c>
      <c r="J8" s="19">
        <v>0.43</v>
      </c>
      <c r="K8" s="19">
        <v>0</v>
      </c>
      <c r="L8" s="19">
        <v>96.1</v>
      </c>
      <c r="M8" s="19">
        <v>160.07</v>
      </c>
      <c r="N8" s="19">
        <f>IF((M8-C8)+I8+J8+K8&gt;0,(M8-C8)+I8+J8+K8,0)</f>
        <v>27.33</v>
      </c>
      <c r="Q8" s="35">
        <f t="shared" ref="Q8:Q13" si="0">(15000000/(2725*0.9*L8))</f>
        <v>63.644203445060697</v>
      </c>
      <c r="R8" s="32">
        <f>E8+P8-L8</f>
        <v>-40.594000000000001</v>
      </c>
      <c r="S8" s="32" t="e">
        <f>R8-H8-K8</f>
        <v>#VALUE!</v>
      </c>
      <c r="T8" s="32">
        <f>R8-K8-976.1</f>
        <v>-1016.694</v>
      </c>
    </row>
    <row r="9" spans="1:20" s="28" customFormat="1" ht="30.75" customHeight="1">
      <c r="A9" s="18">
        <v>39630</v>
      </c>
      <c r="B9" s="19">
        <v>98.5</v>
      </c>
      <c r="C9" s="19">
        <v>184.93600000000001</v>
      </c>
      <c r="D9" s="20">
        <v>1.032</v>
      </c>
      <c r="E9" s="20">
        <v>3.5</v>
      </c>
      <c r="F9" s="20">
        <v>0</v>
      </c>
      <c r="G9" s="19">
        <v>0</v>
      </c>
      <c r="H9" s="97"/>
      <c r="I9" s="19">
        <f t="shared" ref="I9:I19" si="1">D9+E9+F9+G9+H9</f>
        <v>4.532</v>
      </c>
      <c r="J9" s="19">
        <v>0.23599999999999999</v>
      </c>
      <c r="K9" s="19">
        <v>0</v>
      </c>
      <c r="L9" s="19">
        <v>120.85</v>
      </c>
      <c r="M9" s="19">
        <v>497.14100000000002</v>
      </c>
      <c r="N9" s="19">
        <f t="shared" ref="N9:N19" si="2">IF((M9-C9)+I9+J9+K9&gt;0,(M9-C9)+I9+J9+K9,0)</f>
        <v>316.97300000000001</v>
      </c>
      <c r="Q9" s="35">
        <f t="shared" si="0"/>
        <v>50.609912710553097</v>
      </c>
    </row>
    <row r="10" spans="1:20" s="28" customFormat="1" ht="30.75" customHeight="1">
      <c r="A10" s="18">
        <v>39661</v>
      </c>
      <c r="B10" s="19">
        <v>121.25</v>
      </c>
      <c r="C10" s="19">
        <v>504.30700000000002</v>
      </c>
      <c r="D10" s="20">
        <f>4000/1000</f>
        <v>4</v>
      </c>
      <c r="E10" s="20">
        <v>0</v>
      </c>
      <c r="F10" s="20">
        <v>0</v>
      </c>
      <c r="G10" s="19">
        <v>0</v>
      </c>
      <c r="H10" s="97"/>
      <c r="I10" s="19">
        <f t="shared" si="1"/>
        <v>4</v>
      </c>
      <c r="J10" s="19">
        <v>1.1359999999999999</v>
      </c>
      <c r="K10" s="19">
        <v>0</v>
      </c>
      <c r="L10" s="19">
        <v>138.30000000000001</v>
      </c>
      <c r="M10" s="19">
        <v>875.19500000000005</v>
      </c>
      <c r="N10" s="19">
        <f t="shared" si="2"/>
        <v>376.024</v>
      </c>
      <c r="Q10" s="35">
        <f t="shared" si="0"/>
        <v>44.224207889156403</v>
      </c>
    </row>
    <row r="11" spans="1:20" s="28" customFormat="1" ht="30.75" customHeight="1">
      <c r="A11" s="18">
        <v>39692</v>
      </c>
      <c r="B11" s="19">
        <v>138.25</v>
      </c>
      <c r="C11" s="19">
        <v>873.91399999999999</v>
      </c>
      <c r="D11" s="20">
        <v>35.676000000000002</v>
      </c>
      <c r="E11" s="20">
        <v>0</v>
      </c>
      <c r="F11" s="20">
        <v>0</v>
      </c>
      <c r="G11" s="19">
        <v>161.44499999999999</v>
      </c>
      <c r="H11" s="97"/>
      <c r="I11" s="19">
        <f t="shared" si="1"/>
        <v>197.12100000000001</v>
      </c>
      <c r="J11" s="19">
        <v>1.8440000000000001</v>
      </c>
      <c r="K11" s="19">
        <v>0</v>
      </c>
      <c r="L11" s="19">
        <v>141.80000000000001</v>
      </c>
      <c r="M11" s="19">
        <v>970.22900000000004</v>
      </c>
      <c r="N11" s="19">
        <f t="shared" si="2"/>
        <v>295.27999999999997</v>
      </c>
      <c r="Q11" s="35">
        <f t="shared" si="0"/>
        <v>43.132637172569403</v>
      </c>
    </row>
    <row r="12" spans="1:20" s="28" customFormat="1" ht="30.75" customHeight="1">
      <c r="A12" s="18">
        <v>39722</v>
      </c>
      <c r="B12" s="19">
        <v>141.75</v>
      </c>
      <c r="C12" s="19">
        <v>968.76099999999997</v>
      </c>
      <c r="D12" s="20">
        <v>42.16</v>
      </c>
      <c r="E12" s="20">
        <v>0</v>
      </c>
      <c r="F12" s="20">
        <v>0</v>
      </c>
      <c r="G12" s="19">
        <v>0</v>
      </c>
      <c r="H12" s="97"/>
      <c r="I12" s="19">
        <f t="shared" si="1"/>
        <v>42.16</v>
      </c>
      <c r="J12" s="19">
        <v>3.95</v>
      </c>
      <c r="K12" s="19">
        <v>0</v>
      </c>
      <c r="L12" s="19">
        <v>140</v>
      </c>
      <c r="M12" s="19">
        <v>919.30700000000002</v>
      </c>
      <c r="N12" s="19">
        <f t="shared" si="2"/>
        <v>0</v>
      </c>
      <c r="Q12" s="35">
        <f t="shared" si="0"/>
        <v>43.6871996505024</v>
      </c>
    </row>
    <row r="13" spans="1:20" s="28" customFormat="1" ht="30.75" customHeight="1">
      <c r="A13" s="18">
        <v>39753</v>
      </c>
      <c r="B13" s="19">
        <v>139.9</v>
      </c>
      <c r="C13" s="19">
        <v>916.68899999999996</v>
      </c>
      <c r="D13" s="20">
        <v>50.21</v>
      </c>
      <c r="E13" s="20">
        <v>0</v>
      </c>
      <c r="F13" s="20">
        <v>0</v>
      </c>
      <c r="G13" s="19">
        <v>0</v>
      </c>
      <c r="H13" s="97"/>
      <c r="I13" s="19">
        <f t="shared" si="1"/>
        <v>50.21</v>
      </c>
      <c r="J13" s="19">
        <v>2.8370000000000002</v>
      </c>
      <c r="K13" s="19">
        <v>0</v>
      </c>
      <c r="L13" s="19">
        <v>137.30000000000001</v>
      </c>
      <c r="M13" s="19">
        <v>849.87199999999996</v>
      </c>
      <c r="N13" s="19">
        <f t="shared" si="2"/>
        <v>0</v>
      </c>
      <c r="Q13" s="35">
        <f t="shared" si="0"/>
        <v>44.546306999784001</v>
      </c>
    </row>
    <row r="14" spans="1:20" s="28" customFormat="1" ht="30.75" customHeight="1">
      <c r="A14" s="18">
        <v>39783</v>
      </c>
      <c r="B14" s="19">
        <v>137.19999999999999</v>
      </c>
      <c r="C14" s="19">
        <v>847.35199999999998</v>
      </c>
      <c r="D14" s="20">
        <v>61.703000000000003</v>
      </c>
      <c r="E14" s="20">
        <v>6.0289999999999999</v>
      </c>
      <c r="F14" s="20">
        <v>0</v>
      </c>
      <c r="G14" s="19">
        <v>0</v>
      </c>
      <c r="H14" s="97"/>
      <c r="I14" s="19">
        <f t="shared" si="1"/>
        <v>67.731999999999999</v>
      </c>
      <c r="J14" s="19">
        <v>2.8769999999999998</v>
      </c>
      <c r="K14" s="19">
        <v>0</v>
      </c>
      <c r="L14" s="19">
        <v>134.19999999999999</v>
      </c>
      <c r="M14" s="19">
        <v>774.11599999999999</v>
      </c>
      <c r="N14" s="19">
        <f t="shared" si="2"/>
        <v>0</v>
      </c>
      <c r="Q14" s="35">
        <f t="shared" ref="Q14:Q19" si="3">(15000000/(2725*0.9*L14))</f>
        <v>45.5753200526851</v>
      </c>
    </row>
    <row r="15" spans="1:20" s="28" customFormat="1" ht="30.75" customHeight="1">
      <c r="A15" s="18">
        <v>39814</v>
      </c>
      <c r="B15" s="19">
        <v>134.1</v>
      </c>
      <c r="C15" s="19">
        <v>771.70899999999995</v>
      </c>
      <c r="D15" s="20">
        <v>60.247999999999998</v>
      </c>
      <c r="E15" s="20">
        <v>5.3529999999999998</v>
      </c>
      <c r="F15" s="20">
        <v>11.257999999999999</v>
      </c>
      <c r="G15" s="19">
        <v>0</v>
      </c>
      <c r="H15" s="97"/>
      <c r="I15" s="19">
        <f t="shared" si="1"/>
        <v>76.858999999999995</v>
      </c>
      <c r="J15" s="19">
        <v>2.9</v>
      </c>
      <c r="K15" s="19">
        <v>0</v>
      </c>
      <c r="L15" s="19">
        <v>130.69999999999999</v>
      </c>
      <c r="M15" s="19">
        <v>693.76700000000005</v>
      </c>
      <c r="N15" s="19">
        <f t="shared" si="2"/>
        <v>1.8170000000001001</v>
      </c>
      <c r="Q15" s="35">
        <f t="shared" si="3"/>
        <v>46.795776213239002</v>
      </c>
    </row>
    <row r="16" spans="1:20" s="28" customFormat="1" ht="30.75" customHeight="1">
      <c r="A16" s="18">
        <v>39845</v>
      </c>
      <c r="B16" s="19">
        <v>130.6</v>
      </c>
      <c r="C16" s="19">
        <v>691.57</v>
      </c>
      <c r="D16" s="20">
        <v>51.959000000000003</v>
      </c>
      <c r="E16" s="20">
        <v>4.2300000000000004</v>
      </c>
      <c r="F16" s="20">
        <v>8.8059999999999992</v>
      </c>
      <c r="G16" s="19">
        <v>0</v>
      </c>
      <c r="H16" s="97"/>
      <c r="I16" s="19">
        <f t="shared" si="1"/>
        <v>64.995000000000005</v>
      </c>
      <c r="J16" s="19">
        <v>3.1619999999999999</v>
      </c>
      <c r="K16" s="19">
        <v>0</v>
      </c>
      <c r="L16" s="19">
        <v>127.5</v>
      </c>
      <c r="M16" s="19">
        <v>625.17499999999995</v>
      </c>
      <c r="N16" s="19">
        <f t="shared" si="2"/>
        <v>1.7619999999999101</v>
      </c>
      <c r="Q16" s="35">
        <f t="shared" si="3"/>
        <v>47.970258439767299</v>
      </c>
    </row>
    <row r="17" spans="1:17" ht="30.75" customHeight="1">
      <c r="A17" s="18">
        <v>39873</v>
      </c>
      <c r="B17" s="19">
        <v>127.35</v>
      </c>
      <c r="C17" s="19">
        <v>622.06899999999996</v>
      </c>
      <c r="D17" s="20">
        <v>58.914999999999999</v>
      </c>
      <c r="E17" s="20">
        <v>7.4359999999999999</v>
      </c>
      <c r="F17" s="20">
        <v>11.836</v>
      </c>
      <c r="G17" s="19">
        <v>0</v>
      </c>
      <c r="H17" s="97"/>
      <c r="I17" s="19">
        <f t="shared" si="1"/>
        <v>78.186999999999998</v>
      </c>
      <c r="J17" s="19">
        <v>3.58</v>
      </c>
      <c r="K17" s="19">
        <v>0</v>
      </c>
      <c r="L17" s="19">
        <v>123.35</v>
      </c>
      <c r="M17" s="19">
        <v>543.04700000000003</v>
      </c>
      <c r="N17" s="19">
        <f t="shared" si="2"/>
        <v>2.7450000000000601</v>
      </c>
      <c r="Q17" s="35">
        <f t="shared" si="3"/>
        <v>49.584174714798003</v>
      </c>
    </row>
    <row r="18" spans="1:17" ht="30.75" customHeight="1">
      <c r="A18" s="18">
        <v>39904</v>
      </c>
      <c r="B18" s="19">
        <v>123.2</v>
      </c>
      <c r="C18" s="19">
        <v>540.20399999999995</v>
      </c>
      <c r="D18" s="20">
        <v>56.960999999999999</v>
      </c>
      <c r="E18" s="20">
        <v>3.9350000000000001</v>
      </c>
      <c r="F18" s="20">
        <v>12.067</v>
      </c>
      <c r="G18" s="19">
        <v>0</v>
      </c>
      <c r="H18" s="97"/>
      <c r="I18" s="19">
        <f t="shared" si="1"/>
        <v>72.962999999999994</v>
      </c>
      <c r="J18" s="19">
        <v>3.25</v>
      </c>
      <c r="K18" s="19">
        <v>0</v>
      </c>
      <c r="L18" s="19">
        <v>119.1</v>
      </c>
      <c r="M18" s="19">
        <v>466.56400000000002</v>
      </c>
      <c r="N18" s="19">
        <f t="shared" si="2"/>
        <v>2.5730000000000599</v>
      </c>
      <c r="Q18" s="35">
        <f t="shared" si="3"/>
        <v>51.353551226451202</v>
      </c>
    </row>
    <row r="19" spans="1:17" ht="30.75" customHeight="1">
      <c r="A19" s="18">
        <v>39934</v>
      </c>
      <c r="B19" s="19">
        <v>118.95</v>
      </c>
      <c r="C19" s="19">
        <v>463.98399999999998</v>
      </c>
      <c r="D19" s="20">
        <v>60.201000000000001</v>
      </c>
      <c r="E19" s="20">
        <v>5.3170000000000002</v>
      </c>
      <c r="F19" s="20">
        <v>3.59</v>
      </c>
      <c r="G19" s="19">
        <v>0</v>
      </c>
      <c r="H19" s="98"/>
      <c r="I19" s="19">
        <f t="shared" si="1"/>
        <v>69.108000000000004</v>
      </c>
      <c r="J19" s="19">
        <v>3.01</v>
      </c>
      <c r="K19" s="19">
        <v>0</v>
      </c>
      <c r="L19" s="19">
        <v>114.65</v>
      </c>
      <c r="M19" s="19">
        <v>394.29899999999998</v>
      </c>
      <c r="N19" s="19">
        <f t="shared" si="2"/>
        <v>2.4329999999999998</v>
      </c>
      <c r="Q19" s="35">
        <f t="shared" si="3"/>
        <v>53.346776721067002</v>
      </c>
    </row>
    <row r="20" spans="1:17">
      <c r="A20" s="21" t="s">
        <v>72</v>
      </c>
      <c r="B20" s="110" t="s">
        <v>73</v>
      </c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</row>
    <row r="21" spans="1:17">
      <c r="A21" s="21"/>
      <c r="B21" s="23"/>
      <c r="C21" s="21"/>
      <c r="D21" s="21"/>
      <c r="E21" s="21"/>
      <c r="F21" s="21"/>
      <c r="G21" s="24"/>
      <c r="H21" s="21"/>
      <c r="I21" s="21"/>
      <c r="J21" s="21"/>
      <c r="K21" s="21"/>
      <c r="L21" s="21"/>
      <c r="M21" s="21"/>
      <c r="N21" s="21"/>
    </row>
    <row r="22" spans="1:17">
      <c r="A22" s="21"/>
      <c r="B22" s="23"/>
      <c r="C22" s="21"/>
      <c r="D22" s="21"/>
      <c r="E22" s="21"/>
      <c r="F22" s="21"/>
      <c r="G22" s="24"/>
      <c r="H22" s="21"/>
      <c r="I22" s="21"/>
      <c r="J22" s="21"/>
      <c r="K22" s="21"/>
      <c r="L22" s="21"/>
      <c r="M22" s="21"/>
      <c r="N22" s="21"/>
    </row>
    <row r="23" spans="1:17">
      <c r="A23" s="21"/>
      <c r="B23" s="23"/>
      <c r="C23" s="21"/>
      <c r="D23" s="21"/>
      <c r="E23" s="21"/>
      <c r="F23" s="21"/>
      <c r="G23" s="24"/>
      <c r="H23" s="21"/>
      <c r="I23" s="21"/>
      <c r="J23" s="21"/>
      <c r="K23" s="21"/>
      <c r="L23" s="21"/>
      <c r="M23" s="21"/>
      <c r="N23" s="21"/>
    </row>
    <row r="24" spans="1:17" ht="18" customHeight="1">
      <c r="A24" s="21"/>
      <c r="B24" s="23"/>
      <c r="C24" s="1" t="s">
        <v>29</v>
      </c>
      <c r="D24" s="21"/>
      <c r="E24" s="21"/>
      <c r="F24" s="1"/>
      <c r="G24" s="24"/>
      <c r="H24" s="25"/>
      <c r="I24" s="25"/>
      <c r="J24" s="1" t="s">
        <v>30</v>
      </c>
      <c r="K24" s="25"/>
      <c r="L24" s="25"/>
      <c r="M24" s="25"/>
      <c r="N24" s="25"/>
    </row>
    <row r="25" spans="1:17">
      <c r="A25" s="21"/>
      <c r="B25" s="23"/>
      <c r="C25" s="21" t="s">
        <v>74</v>
      </c>
      <c r="D25" s="21"/>
      <c r="E25" s="21"/>
      <c r="F25" s="21"/>
      <c r="G25" s="24"/>
      <c r="H25" s="25"/>
      <c r="I25" s="25"/>
      <c r="J25" s="21" t="s">
        <v>75</v>
      </c>
      <c r="K25" s="25"/>
      <c r="L25" s="25"/>
      <c r="M25" s="25"/>
      <c r="N25" s="25"/>
    </row>
    <row r="26" spans="1:17">
      <c r="A26" s="21"/>
      <c r="B26" s="23"/>
      <c r="C26" s="21" t="s">
        <v>33</v>
      </c>
      <c r="D26" s="21"/>
      <c r="E26" s="21"/>
      <c r="F26" s="21"/>
      <c r="G26" s="24"/>
      <c r="H26" s="25"/>
      <c r="I26" s="99" t="s">
        <v>33</v>
      </c>
      <c r="J26" s="99"/>
      <c r="K26" s="99"/>
      <c r="L26" s="25"/>
      <c r="M26" s="25"/>
      <c r="N26" s="25"/>
    </row>
  </sheetData>
  <mergeCells count="19">
    <mergeCell ref="N4:N6"/>
    <mergeCell ref="A1:N1"/>
    <mergeCell ref="D4:H4"/>
    <mergeCell ref="B20:N20"/>
    <mergeCell ref="I26:K26"/>
    <mergeCell ref="A4:A6"/>
    <mergeCell ref="B4:B6"/>
    <mergeCell ref="C4:C6"/>
    <mergeCell ref="D5:D6"/>
    <mergeCell ref="E5:E6"/>
    <mergeCell ref="F5:F6"/>
    <mergeCell ref="G5:G6"/>
    <mergeCell ref="H5:H6"/>
    <mergeCell ref="H8:H19"/>
    <mergeCell ref="I4:I6"/>
    <mergeCell ref="J4:J6"/>
    <mergeCell ref="K4:K6"/>
    <mergeCell ref="L4:L6"/>
    <mergeCell ref="M4:M6"/>
  </mergeCells>
  <printOptions horizontalCentered="1" verticalCentered="1"/>
  <pageMargins left="0.20866141699999999" right="0.20866141699999999" top="0.26" bottom="0.24803149599999999" header="0.31496062992126" footer="0.31496062992126"/>
  <pageSetup paperSize="9" scale="80" orientation="landscape" r:id="rId1"/>
  <colBreaks count="1" manualBreakCount="1">
    <brk id="15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S27"/>
  <sheetViews>
    <sheetView topLeftCell="F10" zoomScale="90" zoomScaleNormal="90" workbookViewId="0">
      <selection activeCell="N10" sqref="N10:N20"/>
    </sheetView>
  </sheetViews>
  <sheetFormatPr defaultColWidth="9" defaultRowHeight="14.4"/>
  <cols>
    <col min="1" max="1" width="12.5546875" style="36" customWidth="1"/>
    <col min="2" max="2" width="10" style="37" customWidth="1"/>
    <col min="3" max="3" width="9.6640625" style="36" customWidth="1"/>
    <col min="4" max="4" width="11.33203125" style="36" customWidth="1"/>
    <col min="5" max="5" width="9.6640625" style="36" customWidth="1"/>
    <col min="6" max="6" width="10.33203125" style="36" customWidth="1"/>
    <col min="7" max="7" width="10.109375" customWidth="1"/>
    <col min="8" max="8" width="10.109375" style="36" customWidth="1"/>
    <col min="9" max="9" width="9.44140625" style="36" customWidth="1"/>
    <col min="10" max="10" width="14.6640625" style="36" customWidth="1"/>
    <col min="11" max="11" width="11.33203125" style="36" customWidth="1"/>
    <col min="12" max="12" width="10.109375" style="36" customWidth="1"/>
    <col min="13" max="13" width="9.33203125" style="36" customWidth="1"/>
    <col min="14" max="14" width="11.33203125" style="36" customWidth="1"/>
    <col min="15" max="232" width="10" customWidth="1"/>
  </cols>
  <sheetData>
    <row r="1" spans="1:19" s="26" customFormat="1" ht="26.25" customHeight="1">
      <c r="A1" s="103"/>
      <c r="B1" s="103"/>
      <c r="C1" s="103"/>
      <c r="D1" s="103"/>
      <c r="E1" s="103"/>
      <c r="F1" s="103"/>
      <c r="G1" s="104"/>
      <c r="H1" s="104"/>
      <c r="I1" s="104"/>
      <c r="J1" s="104"/>
      <c r="K1" s="104"/>
      <c r="L1" s="104"/>
      <c r="M1" s="104"/>
      <c r="N1" s="104"/>
    </row>
    <row r="2" spans="1:19" s="26" customFormat="1" ht="26.25" customHeight="1">
      <c r="A2" s="105" t="s">
        <v>81</v>
      </c>
      <c r="B2" s="105"/>
      <c r="C2" s="105"/>
      <c r="D2" s="105"/>
      <c r="E2" s="105"/>
      <c r="F2" s="105"/>
      <c r="G2" s="106"/>
      <c r="H2" s="106"/>
      <c r="I2" s="106"/>
      <c r="J2" s="106"/>
      <c r="K2" s="106"/>
      <c r="L2" s="106"/>
      <c r="M2" s="106"/>
      <c r="N2" s="106"/>
    </row>
    <row r="3" spans="1:19" s="26" customFormat="1" ht="26.25" customHeight="1">
      <c r="A3" s="3" t="s">
        <v>1</v>
      </c>
      <c r="B3" s="80" t="s">
        <v>2</v>
      </c>
      <c r="C3" s="4"/>
      <c r="D3" s="4"/>
      <c r="E3" s="4"/>
      <c r="F3" s="3"/>
      <c r="G3" s="5"/>
      <c r="H3" s="2"/>
      <c r="I3" s="2"/>
      <c r="J3" s="2"/>
      <c r="K3" s="2"/>
      <c r="L3" s="2"/>
      <c r="M3" s="2"/>
      <c r="N3" s="2"/>
    </row>
    <row r="4" spans="1:19" s="26" customFormat="1" ht="26.25" customHeight="1">
      <c r="A4" s="3" t="s">
        <v>3</v>
      </c>
      <c r="B4" s="80" t="s">
        <v>4</v>
      </c>
      <c r="C4" s="6"/>
      <c r="D4" s="6"/>
      <c r="E4" s="6"/>
      <c r="F4" s="6"/>
      <c r="G4" s="7"/>
      <c r="H4" s="8"/>
      <c r="I4" s="8"/>
      <c r="J4" s="8"/>
      <c r="K4" s="8"/>
      <c r="L4" s="8"/>
      <c r="M4" s="8"/>
      <c r="N4" s="8"/>
    </row>
    <row r="5" spans="1:19" ht="14.4" customHeight="1">
      <c r="A5" s="111" t="s">
        <v>5</v>
      </c>
      <c r="B5" s="87" t="s">
        <v>62</v>
      </c>
      <c r="C5" s="92" t="s">
        <v>63</v>
      </c>
      <c r="D5" s="92" t="s">
        <v>64</v>
      </c>
      <c r="E5" s="92"/>
      <c r="F5" s="92"/>
      <c r="G5" s="92"/>
      <c r="H5" s="92"/>
      <c r="I5" s="92" t="s">
        <v>65</v>
      </c>
      <c r="J5" s="92" t="s">
        <v>10</v>
      </c>
      <c r="K5" s="92" t="s">
        <v>11</v>
      </c>
      <c r="L5" s="107" t="s">
        <v>66</v>
      </c>
      <c r="M5" s="89" t="s">
        <v>67</v>
      </c>
      <c r="N5" s="92" t="s">
        <v>68</v>
      </c>
    </row>
    <row r="6" spans="1:19" ht="43.2" customHeight="1">
      <c r="A6" s="111"/>
      <c r="B6" s="87"/>
      <c r="C6" s="92"/>
      <c r="D6" s="100" t="s">
        <v>69</v>
      </c>
      <c r="E6" s="100" t="s">
        <v>16</v>
      </c>
      <c r="F6" s="100" t="s">
        <v>17</v>
      </c>
      <c r="G6" s="90" t="s">
        <v>70</v>
      </c>
      <c r="H6" s="91" t="s">
        <v>71</v>
      </c>
      <c r="I6" s="92"/>
      <c r="J6" s="102"/>
      <c r="K6" s="102"/>
      <c r="L6" s="108"/>
      <c r="M6" s="90"/>
      <c r="N6" s="92"/>
    </row>
    <row r="7" spans="1:19" ht="70.95" customHeight="1">
      <c r="A7" s="111"/>
      <c r="B7" s="87"/>
      <c r="C7" s="92"/>
      <c r="D7" s="101"/>
      <c r="E7" s="101"/>
      <c r="F7" s="101"/>
      <c r="G7" s="91"/>
      <c r="H7" s="92"/>
      <c r="I7" s="92"/>
      <c r="J7" s="102"/>
      <c r="K7" s="102"/>
      <c r="L7" s="109"/>
      <c r="M7" s="91"/>
      <c r="N7" s="92"/>
      <c r="P7" s="29" t="s">
        <v>20</v>
      </c>
    </row>
    <row r="8" spans="1:19">
      <c r="A8" s="15">
        <v>1</v>
      </c>
      <c r="B8" s="16">
        <v>2</v>
      </c>
      <c r="C8" s="15">
        <v>3</v>
      </c>
      <c r="D8" s="15">
        <v>4</v>
      </c>
      <c r="E8" s="15">
        <v>5</v>
      </c>
      <c r="F8" s="15">
        <v>6</v>
      </c>
      <c r="G8" s="17">
        <v>7</v>
      </c>
      <c r="H8" s="17">
        <v>8</v>
      </c>
      <c r="I8" s="17">
        <v>9</v>
      </c>
      <c r="J8" s="17">
        <v>10</v>
      </c>
      <c r="K8" s="17">
        <v>11</v>
      </c>
      <c r="L8" s="17">
        <v>12</v>
      </c>
      <c r="M8" s="17">
        <v>12</v>
      </c>
      <c r="N8" s="17">
        <v>14</v>
      </c>
    </row>
    <row r="9" spans="1:19" s="28" customFormat="1" ht="30.75" customHeight="1">
      <c r="A9" s="18">
        <v>39234</v>
      </c>
      <c r="B9" s="19"/>
      <c r="C9" s="19"/>
      <c r="D9" s="20"/>
      <c r="E9" s="20"/>
      <c r="F9" s="20"/>
      <c r="G9" s="20"/>
      <c r="H9" s="20"/>
      <c r="I9" s="19"/>
      <c r="J9" s="19"/>
      <c r="K9" s="19"/>
      <c r="L9" s="19"/>
      <c r="M9" s="19"/>
      <c r="N9" s="19"/>
      <c r="P9" s="35" t="e">
        <f>(15000000/(2725*0.9*L9))</f>
        <v>#DIV/0!</v>
      </c>
    </row>
    <row r="10" spans="1:19" s="28" customFormat="1" ht="30.75" customHeight="1">
      <c r="A10" s="18">
        <v>39264</v>
      </c>
      <c r="B10" s="19">
        <v>109.6</v>
      </c>
      <c r="C10" s="19">
        <v>320.53199999999998</v>
      </c>
      <c r="D10" s="20">
        <v>44.454000000000001</v>
      </c>
      <c r="E10" s="20">
        <v>17.738</v>
      </c>
      <c r="F10" s="20">
        <v>0</v>
      </c>
      <c r="G10" s="19">
        <v>0</v>
      </c>
      <c r="H10" s="19">
        <v>0</v>
      </c>
      <c r="I10" s="19">
        <f t="shared" ref="I10:I20" si="0">D10+E10+F10+G10+0</f>
        <v>62.192</v>
      </c>
      <c r="J10" s="19">
        <v>0.25979999999999998</v>
      </c>
      <c r="K10" s="19">
        <v>0</v>
      </c>
      <c r="L10" s="19">
        <v>123.75</v>
      </c>
      <c r="M10" s="19">
        <v>550.625</v>
      </c>
      <c r="N10" s="19">
        <f t="shared" ref="N10:N20" si="1">IF((M10-C10)+I10+J10+K10&gt;0,(M10-C10)+I10+J10+K10,0)</f>
        <v>292.54480000000001</v>
      </c>
      <c r="Q10" s="32">
        <f>D10+O10-K10</f>
        <v>44.454000000000001</v>
      </c>
      <c r="R10" s="32">
        <f>Q10-G10-J10</f>
        <v>44.194200000000002</v>
      </c>
      <c r="S10" s="32">
        <f>Q10-J10-976.1</f>
        <v>-931.9058</v>
      </c>
    </row>
    <row r="11" spans="1:19" s="28" customFormat="1" ht="30.75" customHeight="1">
      <c r="A11" s="18">
        <v>39295</v>
      </c>
      <c r="B11" s="19">
        <v>123.95</v>
      </c>
      <c r="C11" s="19">
        <v>554.41800000000001</v>
      </c>
      <c r="D11" s="20">
        <v>16.09</v>
      </c>
      <c r="E11" s="20">
        <v>0</v>
      </c>
      <c r="F11" s="20">
        <v>0</v>
      </c>
      <c r="G11" s="19">
        <v>0</v>
      </c>
      <c r="H11" s="19">
        <v>0</v>
      </c>
      <c r="I11" s="19">
        <f t="shared" si="0"/>
        <v>16.09</v>
      </c>
      <c r="J11" s="19">
        <v>0.38290000000000002</v>
      </c>
      <c r="K11" s="19">
        <v>0</v>
      </c>
      <c r="L11" s="19">
        <v>140</v>
      </c>
      <c r="M11" s="19">
        <v>919.30700000000002</v>
      </c>
      <c r="N11" s="19">
        <f t="shared" si="1"/>
        <v>381.36189999999999</v>
      </c>
    </row>
    <row r="12" spans="1:19" s="28" customFormat="1" ht="30.75" customHeight="1">
      <c r="A12" s="18">
        <v>39326</v>
      </c>
      <c r="B12" s="19">
        <v>140.5</v>
      </c>
      <c r="C12" s="19">
        <v>933.02499999999998</v>
      </c>
      <c r="D12" s="20">
        <v>56.985999999999997</v>
      </c>
      <c r="E12" s="20">
        <v>0</v>
      </c>
      <c r="F12" s="20">
        <v>0</v>
      </c>
      <c r="G12" s="19">
        <v>0</v>
      </c>
      <c r="H12" s="19">
        <v>84.34</v>
      </c>
      <c r="I12" s="19">
        <f>D12+E12+F12+H12+0</f>
        <v>141.32599999999999</v>
      </c>
      <c r="J12" s="19">
        <v>1.6875</v>
      </c>
      <c r="K12" s="19">
        <v>0</v>
      </c>
      <c r="L12" s="19">
        <v>142.05000000000001</v>
      </c>
      <c r="M12" s="19">
        <v>976.1</v>
      </c>
      <c r="N12" s="19">
        <f t="shared" si="1"/>
        <v>186.08850000000001</v>
      </c>
    </row>
    <row r="13" spans="1:19" s="28" customFormat="1" ht="30.75" customHeight="1">
      <c r="A13" s="18">
        <v>39356</v>
      </c>
      <c r="B13" s="19">
        <v>142.05000000000001</v>
      </c>
      <c r="C13" s="19">
        <v>976.1</v>
      </c>
      <c r="D13" s="20">
        <v>52.276000000000003</v>
      </c>
      <c r="E13" s="20">
        <v>0</v>
      </c>
      <c r="F13" s="20">
        <v>0</v>
      </c>
      <c r="G13" s="19">
        <v>0</v>
      </c>
      <c r="H13" s="19">
        <v>0</v>
      </c>
      <c r="I13" s="19">
        <f t="shared" si="0"/>
        <v>52.276000000000003</v>
      </c>
      <c r="J13" s="19">
        <v>4.3005000000000004</v>
      </c>
      <c r="K13" s="19">
        <v>0</v>
      </c>
      <c r="L13" s="19">
        <v>140</v>
      </c>
      <c r="M13" s="19">
        <v>919.30700000000002</v>
      </c>
      <c r="N13" s="19">
        <f t="shared" si="1"/>
        <v>0</v>
      </c>
    </row>
    <row r="14" spans="1:19" s="28" customFormat="1" ht="30.75" customHeight="1">
      <c r="A14" s="18">
        <v>39387</v>
      </c>
      <c r="B14" s="19">
        <v>139.94999999999999</v>
      </c>
      <c r="C14" s="19">
        <v>917.99800000000005</v>
      </c>
      <c r="D14" s="20">
        <v>53.356999999999999</v>
      </c>
      <c r="E14" s="20">
        <v>1.8280000000000001</v>
      </c>
      <c r="F14" s="20">
        <v>0</v>
      </c>
      <c r="G14" s="19">
        <v>0</v>
      </c>
      <c r="H14" s="19">
        <v>0</v>
      </c>
      <c r="I14" s="19">
        <f t="shared" si="0"/>
        <v>55.185000000000002</v>
      </c>
      <c r="J14" s="19">
        <v>0</v>
      </c>
      <c r="K14" s="19">
        <v>0</v>
      </c>
      <c r="L14" s="19">
        <v>137.55000000000001</v>
      </c>
      <c r="M14" s="19">
        <v>856.17</v>
      </c>
      <c r="N14" s="19">
        <f t="shared" si="1"/>
        <v>0</v>
      </c>
    </row>
    <row r="15" spans="1:19" s="28" customFormat="1" ht="30.75" customHeight="1">
      <c r="A15" s="18">
        <v>39417</v>
      </c>
      <c r="B15" s="19">
        <v>137.30000000000001</v>
      </c>
      <c r="C15" s="19">
        <v>849.87199999999996</v>
      </c>
      <c r="D15" s="20">
        <v>57.920999999999999</v>
      </c>
      <c r="E15" s="20">
        <v>24.818999999999999</v>
      </c>
      <c r="F15" s="20">
        <v>8.5749999999999993</v>
      </c>
      <c r="G15" s="19">
        <v>0</v>
      </c>
      <c r="H15" s="19">
        <v>20.010000000000002</v>
      </c>
      <c r="I15" s="19">
        <f t="shared" si="0"/>
        <v>91.314999999999998</v>
      </c>
      <c r="J15" s="19">
        <v>3.5091999999999999</v>
      </c>
      <c r="K15" s="19">
        <v>0</v>
      </c>
      <c r="L15" s="19">
        <v>132.6</v>
      </c>
      <c r="M15" s="19">
        <v>736.67</v>
      </c>
      <c r="N15" s="19">
        <f t="shared" si="1"/>
        <v>0</v>
      </c>
    </row>
    <row r="16" spans="1:19" s="28" customFormat="1" ht="30.75" customHeight="1">
      <c r="A16" s="18">
        <v>39448</v>
      </c>
      <c r="B16" s="19">
        <v>132.4</v>
      </c>
      <c r="C16" s="19">
        <v>732.07299999999998</v>
      </c>
      <c r="D16" s="20">
        <v>65.784000000000006</v>
      </c>
      <c r="E16" s="20">
        <v>67.879000000000005</v>
      </c>
      <c r="F16" s="20">
        <v>11.025</v>
      </c>
      <c r="G16" s="19">
        <v>0</v>
      </c>
      <c r="H16" s="19">
        <v>0</v>
      </c>
      <c r="I16" s="19">
        <f t="shared" si="0"/>
        <v>144.68799999999999</v>
      </c>
      <c r="J16" s="19">
        <v>2.7122000000000002</v>
      </c>
      <c r="K16" s="19">
        <v>0</v>
      </c>
      <c r="L16" s="19">
        <v>125.7</v>
      </c>
      <c r="M16" s="19">
        <v>588.62</v>
      </c>
      <c r="N16" s="19">
        <f t="shared" si="1"/>
        <v>3.94720000000004</v>
      </c>
    </row>
    <row r="17" spans="1:14" s="28" customFormat="1" ht="30.75" customHeight="1">
      <c r="A17" s="18">
        <v>39479</v>
      </c>
      <c r="B17" s="19">
        <v>125.4</v>
      </c>
      <c r="C17" s="19">
        <v>582.68100000000004</v>
      </c>
      <c r="D17" s="20">
        <v>57.579000000000001</v>
      </c>
      <c r="E17" s="20">
        <v>64.641000000000005</v>
      </c>
      <c r="F17" s="20">
        <v>8.4619999999999997</v>
      </c>
      <c r="G17" s="19">
        <v>0</v>
      </c>
      <c r="H17" s="19">
        <v>0</v>
      </c>
      <c r="I17" s="19">
        <f t="shared" si="0"/>
        <v>130.68199999999999</v>
      </c>
      <c r="J17" s="19">
        <v>1.9781</v>
      </c>
      <c r="K17" s="19">
        <v>0</v>
      </c>
      <c r="L17" s="19">
        <v>118.2</v>
      </c>
      <c r="M17" s="19">
        <v>451.31799999999998</v>
      </c>
      <c r="N17" s="19">
        <f t="shared" si="1"/>
        <v>1.29709999999993</v>
      </c>
    </row>
    <row r="18" spans="1:14" s="28" customFormat="1" ht="30.75" customHeight="1">
      <c r="A18" s="18">
        <v>39508</v>
      </c>
      <c r="B18" s="19">
        <v>117.95</v>
      </c>
      <c r="C18" s="19">
        <v>447.11399999999998</v>
      </c>
      <c r="D18" s="20">
        <v>56</v>
      </c>
      <c r="E18" s="20">
        <v>45.44</v>
      </c>
      <c r="F18" s="20">
        <v>11.099</v>
      </c>
      <c r="G18" s="19">
        <v>0</v>
      </c>
      <c r="H18" s="19">
        <v>0</v>
      </c>
      <c r="I18" s="19">
        <f t="shared" si="0"/>
        <v>112.539</v>
      </c>
      <c r="J18" s="19">
        <v>2.0030000000000001</v>
      </c>
      <c r="K18" s="19">
        <v>0</v>
      </c>
      <c r="L18" s="19">
        <v>111.05</v>
      </c>
      <c r="M18" s="19">
        <v>340.74700000000001</v>
      </c>
      <c r="N18" s="19">
        <f t="shared" si="1"/>
        <v>8.1750000000000398</v>
      </c>
    </row>
    <row r="19" spans="1:14" s="28" customFormat="1" ht="30.75" customHeight="1">
      <c r="A19" s="18">
        <v>39539</v>
      </c>
      <c r="B19" s="19">
        <v>110.9</v>
      </c>
      <c r="C19" s="19">
        <v>338.63499999999999</v>
      </c>
      <c r="D19" s="20">
        <v>43.107999999999997</v>
      </c>
      <c r="E19" s="20">
        <v>18.57</v>
      </c>
      <c r="F19" s="20">
        <v>12.808999999999999</v>
      </c>
      <c r="G19" s="19">
        <v>0</v>
      </c>
      <c r="H19" s="19">
        <v>0</v>
      </c>
      <c r="I19" s="19">
        <f t="shared" si="0"/>
        <v>74.486999999999995</v>
      </c>
      <c r="J19" s="19">
        <v>2.0114999999999998</v>
      </c>
      <c r="K19" s="19">
        <v>0</v>
      </c>
      <c r="L19" s="19">
        <v>105.3</v>
      </c>
      <c r="M19" s="19">
        <v>264.09500000000003</v>
      </c>
      <c r="N19" s="19">
        <f t="shared" si="1"/>
        <v>1.9585000000000301</v>
      </c>
    </row>
    <row r="20" spans="1:14" s="28" customFormat="1" ht="30.75" customHeight="1">
      <c r="A20" s="18">
        <v>39569</v>
      </c>
      <c r="B20" s="19">
        <v>105.05</v>
      </c>
      <c r="C20" s="19">
        <v>260.94200000000001</v>
      </c>
      <c r="D20" s="20">
        <v>0</v>
      </c>
      <c r="E20" s="20">
        <v>65.233000000000004</v>
      </c>
      <c r="F20" s="20">
        <v>5.4379999999999997</v>
      </c>
      <c r="G20" s="19">
        <v>0</v>
      </c>
      <c r="H20" s="19">
        <v>0</v>
      </c>
      <c r="I20" s="19">
        <f t="shared" si="0"/>
        <v>70.671000000000006</v>
      </c>
      <c r="J20" s="19">
        <v>1.9396</v>
      </c>
      <c r="K20" s="19">
        <v>0</v>
      </c>
      <c r="L20" s="19">
        <v>99.1</v>
      </c>
      <c r="M20" s="19">
        <v>191.38200000000001</v>
      </c>
      <c r="N20" s="19">
        <f t="shared" si="1"/>
        <v>3.0506000000000002</v>
      </c>
    </row>
    <row r="21" spans="1:14">
      <c r="A21" s="21" t="s">
        <v>72</v>
      </c>
      <c r="B21" s="110" t="s">
        <v>82</v>
      </c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</row>
    <row r="22" spans="1:14">
      <c r="A22" s="21"/>
      <c r="B22" s="23"/>
      <c r="C22" s="21"/>
      <c r="D22" s="21"/>
      <c r="E22" s="21"/>
      <c r="F22" s="21"/>
      <c r="G22" s="24"/>
      <c r="H22" s="21"/>
      <c r="I22" s="21"/>
      <c r="J22" s="21"/>
      <c r="K22" s="21"/>
      <c r="L22" s="21"/>
      <c r="M22" s="21"/>
      <c r="N22" s="21"/>
    </row>
    <row r="23" spans="1:14">
      <c r="A23" s="21"/>
      <c r="B23" s="23"/>
      <c r="C23" s="21"/>
      <c r="D23" s="21"/>
      <c r="E23" s="21"/>
      <c r="F23" s="21"/>
      <c r="G23" s="24"/>
      <c r="H23" s="21"/>
      <c r="I23" s="21"/>
      <c r="J23" s="21"/>
      <c r="K23" s="21"/>
      <c r="L23" s="21"/>
      <c r="M23" s="21"/>
      <c r="N23" s="21"/>
    </row>
    <row r="24" spans="1:14">
      <c r="A24" s="21"/>
      <c r="B24" s="23"/>
      <c r="C24" s="21"/>
      <c r="D24" s="21"/>
      <c r="E24" s="21"/>
      <c r="F24" s="21"/>
      <c r="G24" s="24"/>
      <c r="H24" s="21"/>
      <c r="I24" s="21"/>
      <c r="J24" s="21"/>
      <c r="K24" s="21"/>
      <c r="L24" s="21"/>
      <c r="M24" s="21"/>
      <c r="N24" s="21"/>
    </row>
    <row r="25" spans="1:14" ht="18" customHeight="1">
      <c r="A25" s="21"/>
      <c r="B25" s="23"/>
      <c r="C25" s="1" t="s">
        <v>29</v>
      </c>
      <c r="D25" s="21"/>
      <c r="E25" s="21"/>
      <c r="F25" s="1"/>
      <c r="G25" s="24"/>
      <c r="H25" s="25"/>
      <c r="I25" s="25"/>
      <c r="J25" s="1" t="s">
        <v>30</v>
      </c>
      <c r="K25" s="25"/>
      <c r="L25" s="25"/>
      <c r="M25" s="25"/>
      <c r="N25" s="25"/>
    </row>
    <row r="26" spans="1:14">
      <c r="A26" s="21"/>
      <c r="B26" s="23"/>
      <c r="C26" s="21" t="s">
        <v>74</v>
      </c>
      <c r="D26" s="21"/>
      <c r="E26" s="21"/>
      <c r="F26" s="21"/>
      <c r="G26" s="24"/>
      <c r="H26" s="25"/>
      <c r="I26" s="25"/>
      <c r="J26" s="21" t="s">
        <v>75</v>
      </c>
      <c r="K26" s="25"/>
      <c r="L26" s="25"/>
      <c r="M26" s="25"/>
      <c r="N26" s="25"/>
    </row>
    <row r="27" spans="1:14">
      <c r="A27" s="21"/>
      <c r="B27" s="23"/>
      <c r="C27" s="21" t="s">
        <v>33</v>
      </c>
      <c r="D27" s="21"/>
      <c r="E27" s="21"/>
      <c r="F27" s="21"/>
      <c r="G27" s="24"/>
      <c r="H27" s="25"/>
      <c r="I27" s="99" t="s">
        <v>33</v>
      </c>
      <c r="J27" s="99"/>
      <c r="K27" s="99"/>
      <c r="L27" s="25"/>
      <c r="M27" s="25"/>
      <c r="N27" s="25"/>
    </row>
  </sheetData>
  <mergeCells count="19">
    <mergeCell ref="A1:N1"/>
    <mergeCell ref="A2:N2"/>
    <mergeCell ref="D5:H5"/>
    <mergeCell ref="B21:N21"/>
    <mergeCell ref="I27:K27"/>
    <mergeCell ref="A5:A7"/>
    <mergeCell ref="B5:B7"/>
    <mergeCell ref="C5:C7"/>
    <mergeCell ref="D6:D7"/>
    <mergeCell ref="E6:E7"/>
    <mergeCell ref="F6:F7"/>
    <mergeCell ref="G6:G7"/>
    <mergeCell ref="H6:H7"/>
    <mergeCell ref="I5:I7"/>
    <mergeCell ref="J5:J7"/>
    <mergeCell ref="K5:K7"/>
    <mergeCell ref="L5:L7"/>
    <mergeCell ref="M5:M7"/>
    <mergeCell ref="N5:N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N27"/>
  <sheetViews>
    <sheetView topLeftCell="A3" zoomScale="90" zoomScaleNormal="90" workbookViewId="0">
      <selection activeCell="Q9" sqref="Q9"/>
    </sheetView>
  </sheetViews>
  <sheetFormatPr defaultColWidth="9" defaultRowHeight="14.4"/>
  <cols>
    <col min="1" max="1" width="12.5546875" style="36" customWidth="1"/>
    <col min="2" max="2" width="10" style="37" customWidth="1"/>
    <col min="3" max="3" width="9.6640625" style="36" customWidth="1"/>
    <col min="4" max="4" width="11.33203125" style="36" customWidth="1"/>
    <col min="5" max="5" width="9.6640625" style="36" customWidth="1"/>
    <col min="6" max="6" width="10.33203125" style="36" customWidth="1"/>
    <col min="7" max="7" width="10.109375" customWidth="1"/>
    <col min="8" max="8" width="10.109375" style="36" customWidth="1"/>
    <col min="9" max="9" width="9.44140625" style="36" customWidth="1"/>
    <col min="10" max="10" width="14.6640625" style="36" customWidth="1"/>
    <col min="11" max="11" width="11.33203125" style="36" customWidth="1"/>
    <col min="12" max="12" width="10.109375" style="36" customWidth="1"/>
    <col min="13" max="13" width="9.33203125" style="36" customWidth="1"/>
    <col min="14" max="14" width="11.33203125" style="36" customWidth="1"/>
    <col min="15" max="232" width="10" customWidth="1"/>
  </cols>
  <sheetData>
    <row r="1" spans="1:14" s="26" customFormat="1" ht="26.25" customHeight="1">
      <c r="A1" s="103"/>
      <c r="B1" s="103"/>
      <c r="C1" s="103"/>
      <c r="D1" s="103"/>
      <c r="E1" s="103"/>
      <c r="F1" s="103"/>
      <c r="G1" s="104"/>
      <c r="H1" s="104"/>
      <c r="I1" s="104"/>
      <c r="J1" s="104"/>
      <c r="K1" s="104"/>
      <c r="L1" s="104"/>
      <c r="M1" s="104"/>
      <c r="N1" s="104"/>
    </row>
    <row r="2" spans="1:14" s="26" customFormat="1" ht="26.25" customHeight="1">
      <c r="A2" s="105" t="s">
        <v>83</v>
      </c>
      <c r="B2" s="105"/>
      <c r="C2" s="105"/>
      <c r="D2" s="105"/>
      <c r="E2" s="105"/>
      <c r="F2" s="105"/>
      <c r="G2" s="106"/>
      <c r="H2" s="106"/>
      <c r="I2" s="106"/>
      <c r="J2" s="106"/>
      <c r="K2" s="106"/>
      <c r="L2" s="106"/>
      <c r="M2" s="106"/>
      <c r="N2" s="106"/>
    </row>
    <row r="3" spans="1:14" s="26" customFormat="1" ht="26.25" customHeight="1">
      <c r="A3" s="3" t="s">
        <v>1</v>
      </c>
      <c r="B3" s="80" t="s">
        <v>2</v>
      </c>
      <c r="C3" s="4"/>
      <c r="D3" s="4"/>
      <c r="E3" s="4"/>
      <c r="F3" s="3"/>
      <c r="G3" s="5"/>
      <c r="H3" s="2"/>
      <c r="I3" s="2"/>
      <c r="J3" s="2"/>
      <c r="K3" s="2"/>
      <c r="L3" s="2"/>
      <c r="M3" s="2"/>
      <c r="N3" s="2"/>
    </row>
    <row r="4" spans="1:14" s="26" customFormat="1" ht="26.25" customHeight="1">
      <c r="A4" s="3" t="s">
        <v>3</v>
      </c>
      <c r="B4" s="80" t="s">
        <v>4</v>
      </c>
      <c r="C4" s="6"/>
      <c r="D4" s="6"/>
      <c r="E4" s="6"/>
      <c r="F4" s="6"/>
      <c r="G4" s="7"/>
      <c r="H4" s="8"/>
      <c r="I4" s="8"/>
      <c r="J4" s="8"/>
      <c r="K4" s="8"/>
      <c r="L4" s="8"/>
      <c r="M4" s="8"/>
      <c r="N4" s="8"/>
    </row>
    <row r="5" spans="1:14" ht="14.4" customHeight="1">
      <c r="A5" s="111" t="s">
        <v>5</v>
      </c>
      <c r="B5" s="87" t="s">
        <v>62</v>
      </c>
      <c r="C5" s="92" t="s">
        <v>63</v>
      </c>
      <c r="D5" s="92" t="s">
        <v>64</v>
      </c>
      <c r="E5" s="92"/>
      <c r="F5" s="92"/>
      <c r="G5" s="92"/>
      <c r="H5" s="92"/>
      <c r="I5" s="92" t="s">
        <v>65</v>
      </c>
      <c r="J5" s="92" t="s">
        <v>10</v>
      </c>
      <c r="K5" s="92" t="s">
        <v>11</v>
      </c>
      <c r="L5" s="107" t="s">
        <v>66</v>
      </c>
      <c r="M5" s="89" t="s">
        <v>67</v>
      </c>
      <c r="N5" s="92" t="s">
        <v>68</v>
      </c>
    </row>
    <row r="6" spans="1:14" ht="43.2" customHeight="1">
      <c r="A6" s="111"/>
      <c r="B6" s="87"/>
      <c r="C6" s="92"/>
      <c r="D6" s="100" t="s">
        <v>69</v>
      </c>
      <c r="E6" s="100" t="s">
        <v>16</v>
      </c>
      <c r="F6" s="100" t="s">
        <v>17</v>
      </c>
      <c r="G6" s="90" t="s">
        <v>70</v>
      </c>
      <c r="H6" s="91" t="s">
        <v>71</v>
      </c>
      <c r="I6" s="92"/>
      <c r="J6" s="102"/>
      <c r="K6" s="102"/>
      <c r="L6" s="108"/>
      <c r="M6" s="90"/>
      <c r="N6" s="92"/>
    </row>
    <row r="7" spans="1:14" ht="70.95" customHeight="1">
      <c r="A7" s="111"/>
      <c r="B7" s="87"/>
      <c r="C7" s="92"/>
      <c r="D7" s="101"/>
      <c r="E7" s="101"/>
      <c r="F7" s="101"/>
      <c r="G7" s="91"/>
      <c r="H7" s="92"/>
      <c r="I7" s="92"/>
      <c r="J7" s="102"/>
      <c r="K7" s="102"/>
      <c r="L7" s="109"/>
      <c r="M7" s="91"/>
      <c r="N7" s="92"/>
    </row>
    <row r="8" spans="1:14">
      <c r="A8" s="15">
        <v>1</v>
      </c>
      <c r="B8" s="16">
        <v>2</v>
      </c>
      <c r="C8" s="15">
        <v>3</v>
      </c>
      <c r="D8" s="15">
        <v>4</v>
      </c>
      <c r="E8" s="15">
        <v>5</v>
      </c>
      <c r="F8" s="15">
        <v>6</v>
      </c>
      <c r="G8" s="17">
        <v>7</v>
      </c>
      <c r="H8" s="17">
        <v>8</v>
      </c>
      <c r="I8" s="17">
        <v>9</v>
      </c>
      <c r="J8" s="17">
        <v>10</v>
      </c>
      <c r="K8" s="17">
        <v>11</v>
      </c>
      <c r="L8" s="17">
        <v>12</v>
      </c>
      <c r="M8" s="17">
        <v>12</v>
      </c>
      <c r="N8" s="17">
        <v>14</v>
      </c>
    </row>
    <row r="9" spans="1:14" s="28" customFormat="1" ht="30.75" customHeight="1">
      <c r="A9" s="18">
        <v>38869</v>
      </c>
      <c r="B9" s="19"/>
      <c r="C9" s="19"/>
      <c r="D9" s="20"/>
      <c r="E9" s="20"/>
      <c r="F9" s="20"/>
      <c r="G9" s="20"/>
      <c r="H9" s="20"/>
      <c r="I9" s="19"/>
      <c r="J9" s="19"/>
      <c r="K9" s="19"/>
      <c r="L9" s="19"/>
      <c r="M9" s="19"/>
      <c r="N9" s="19"/>
    </row>
    <row r="10" spans="1:14" s="28" customFormat="1" ht="30.75" customHeight="1">
      <c r="A10" s="18">
        <v>38899</v>
      </c>
      <c r="B10" s="19"/>
      <c r="C10" s="19"/>
      <c r="D10" s="20"/>
      <c r="E10" s="20"/>
      <c r="F10" s="20"/>
      <c r="G10" s="19"/>
      <c r="H10" s="19"/>
      <c r="I10" s="19"/>
      <c r="J10" s="19"/>
      <c r="K10" s="19"/>
      <c r="L10" s="19"/>
      <c r="M10" s="19"/>
      <c r="N10" s="19"/>
    </row>
    <row r="11" spans="1:14" s="28" customFormat="1" ht="30.75" customHeight="1">
      <c r="A11" s="18">
        <v>38930</v>
      </c>
      <c r="B11" s="19"/>
      <c r="C11" s="19"/>
      <c r="D11" s="20"/>
      <c r="E11" s="20"/>
      <c r="F11" s="20"/>
      <c r="G11" s="19"/>
      <c r="H11" s="19"/>
      <c r="I11" s="19"/>
      <c r="J11" s="19"/>
      <c r="K11" s="19"/>
      <c r="L11" s="19"/>
      <c r="M11" s="19"/>
      <c r="N11" s="19"/>
    </row>
    <row r="12" spans="1:14" s="28" customFormat="1" ht="30.75" customHeight="1">
      <c r="A12" s="18">
        <v>38961</v>
      </c>
      <c r="B12" s="19"/>
      <c r="C12" s="19"/>
      <c r="D12" s="20"/>
      <c r="E12" s="20"/>
      <c r="F12" s="20"/>
      <c r="G12" s="19"/>
      <c r="H12" s="19"/>
      <c r="I12" s="19"/>
      <c r="J12" s="19"/>
      <c r="K12" s="19"/>
      <c r="L12" s="19"/>
      <c r="M12" s="19"/>
      <c r="N12" s="19"/>
    </row>
    <row r="13" spans="1:14" s="28" customFormat="1" ht="30.75" customHeight="1">
      <c r="A13" s="18">
        <v>38991</v>
      </c>
      <c r="B13" s="19"/>
      <c r="C13" s="19"/>
      <c r="D13" s="20"/>
      <c r="E13" s="20"/>
      <c r="F13" s="20"/>
      <c r="G13" s="19"/>
      <c r="H13" s="19"/>
      <c r="I13" s="19"/>
      <c r="J13" s="19"/>
      <c r="K13" s="19"/>
      <c r="L13" s="19"/>
      <c r="M13" s="19"/>
      <c r="N13" s="19"/>
    </row>
    <row r="14" spans="1:14" s="28" customFormat="1" ht="30.75" customHeight="1">
      <c r="A14" s="18">
        <v>39022</v>
      </c>
      <c r="B14" s="19"/>
      <c r="C14" s="19"/>
      <c r="D14" s="20"/>
      <c r="E14" s="20"/>
      <c r="F14" s="20"/>
      <c r="G14" s="19"/>
      <c r="H14" s="19"/>
      <c r="I14" s="19"/>
      <c r="J14" s="19"/>
      <c r="K14" s="19"/>
      <c r="L14" s="19"/>
      <c r="M14" s="19"/>
      <c r="N14" s="19"/>
    </row>
    <row r="15" spans="1:14" s="28" customFormat="1" ht="30.75" customHeight="1">
      <c r="A15" s="18">
        <v>39052</v>
      </c>
      <c r="B15" s="19"/>
      <c r="C15" s="19"/>
      <c r="D15" s="20"/>
      <c r="E15" s="20"/>
      <c r="F15" s="20"/>
      <c r="G15" s="19"/>
      <c r="H15" s="19"/>
      <c r="I15" s="19"/>
      <c r="J15" s="19"/>
      <c r="K15" s="19"/>
      <c r="L15" s="19"/>
      <c r="M15" s="19"/>
      <c r="N15" s="19"/>
    </row>
    <row r="16" spans="1:14" s="28" customFormat="1" ht="30.75" customHeight="1">
      <c r="A16" s="18">
        <v>39083</v>
      </c>
      <c r="B16" s="19"/>
      <c r="C16" s="19"/>
      <c r="D16" s="20"/>
      <c r="E16" s="20"/>
      <c r="F16" s="20"/>
      <c r="G16" s="19"/>
      <c r="H16" s="19"/>
      <c r="I16" s="19"/>
      <c r="J16" s="19"/>
      <c r="K16" s="19"/>
      <c r="L16" s="19"/>
      <c r="M16" s="19"/>
      <c r="N16" s="19"/>
    </row>
    <row r="17" spans="1:14" s="28" customFormat="1" ht="30.75" customHeight="1">
      <c r="A17" s="18">
        <v>39114</v>
      </c>
      <c r="B17" s="19"/>
      <c r="C17" s="19"/>
      <c r="D17" s="20"/>
      <c r="E17" s="20"/>
      <c r="F17" s="20"/>
      <c r="G17" s="19"/>
      <c r="H17" s="19"/>
      <c r="I17" s="19"/>
      <c r="J17" s="19"/>
      <c r="K17" s="19"/>
      <c r="L17" s="19"/>
      <c r="M17" s="19"/>
      <c r="N17" s="19"/>
    </row>
    <row r="18" spans="1:14" s="28" customFormat="1" ht="30.75" customHeight="1">
      <c r="A18" s="18">
        <v>39142</v>
      </c>
      <c r="B18" s="19"/>
      <c r="C18" s="19"/>
      <c r="D18" s="20"/>
      <c r="E18" s="20"/>
      <c r="F18" s="20"/>
      <c r="G18" s="19"/>
      <c r="H18" s="19"/>
      <c r="I18" s="19"/>
      <c r="J18" s="19"/>
      <c r="K18" s="19"/>
      <c r="L18" s="19"/>
      <c r="M18" s="19"/>
      <c r="N18" s="19"/>
    </row>
    <row r="19" spans="1:14" s="28" customFormat="1" ht="30.75" customHeight="1">
      <c r="A19" s="18">
        <v>39173</v>
      </c>
      <c r="B19" s="19"/>
      <c r="C19" s="19"/>
      <c r="D19" s="20"/>
      <c r="E19" s="20"/>
      <c r="F19" s="20"/>
      <c r="G19" s="19"/>
      <c r="H19" s="19"/>
      <c r="I19" s="19"/>
      <c r="J19" s="19"/>
      <c r="K19" s="19"/>
      <c r="L19" s="19"/>
      <c r="M19" s="19"/>
      <c r="N19" s="19"/>
    </row>
    <row r="20" spans="1:14" s="28" customFormat="1" ht="30.75" customHeight="1">
      <c r="A20" s="18">
        <v>39203</v>
      </c>
      <c r="B20" s="19"/>
      <c r="C20" s="19"/>
      <c r="D20" s="20"/>
      <c r="E20" s="20"/>
      <c r="F20" s="20"/>
      <c r="G20" s="19"/>
      <c r="H20" s="19"/>
      <c r="I20" s="19"/>
      <c r="J20" s="19"/>
      <c r="K20" s="19"/>
      <c r="L20" s="19"/>
      <c r="M20" s="19"/>
      <c r="N20" s="19"/>
    </row>
    <row r="21" spans="1:14">
      <c r="A21" s="21" t="s">
        <v>72</v>
      </c>
      <c r="B21" s="110" t="s">
        <v>82</v>
      </c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</row>
    <row r="22" spans="1:14">
      <c r="A22" s="21"/>
      <c r="B22" s="23"/>
      <c r="C22" s="21"/>
      <c r="D22" s="21"/>
      <c r="E22" s="21"/>
      <c r="F22" s="21"/>
      <c r="G22" s="24"/>
      <c r="H22" s="21"/>
      <c r="I22" s="21"/>
      <c r="J22" s="21"/>
      <c r="K22" s="21"/>
      <c r="L22" s="21"/>
      <c r="M22" s="21"/>
      <c r="N22" s="21"/>
    </row>
    <row r="23" spans="1:14">
      <c r="A23" s="21"/>
      <c r="B23" s="23"/>
      <c r="C23" s="21"/>
      <c r="D23" s="21"/>
      <c r="E23" s="21"/>
      <c r="F23" s="21"/>
      <c r="G23" s="24"/>
      <c r="H23" s="21"/>
      <c r="I23" s="21"/>
      <c r="J23" s="21"/>
      <c r="K23" s="21"/>
      <c r="L23" s="21"/>
      <c r="M23" s="21"/>
      <c r="N23" s="21"/>
    </row>
    <row r="24" spans="1:14">
      <c r="A24" s="21"/>
      <c r="B24" s="23"/>
      <c r="C24" s="21"/>
      <c r="D24" s="21"/>
      <c r="E24" s="21"/>
      <c r="F24" s="21"/>
      <c r="G24" s="24"/>
      <c r="H24" s="21"/>
      <c r="I24" s="21"/>
      <c r="J24" s="21"/>
      <c r="K24" s="21"/>
      <c r="L24" s="21"/>
      <c r="M24" s="21"/>
      <c r="N24" s="21"/>
    </row>
    <row r="25" spans="1:14" ht="18" customHeight="1">
      <c r="A25" s="21"/>
      <c r="B25" s="23"/>
      <c r="C25" s="1" t="s">
        <v>29</v>
      </c>
      <c r="D25" s="21"/>
      <c r="E25" s="21"/>
      <c r="F25" s="1"/>
      <c r="G25" s="24"/>
      <c r="H25" s="25"/>
      <c r="I25" s="25"/>
      <c r="J25" s="1" t="s">
        <v>30</v>
      </c>
      <c r="K25" s="25"/>
      <c r="L25" s="25"/>
      <c r="M25" s="25"/>
      <c r="N25" s="25"/>
    </row>
    <row r="26" spans="1:14">
      <c r="A26" s="21"/>
      <c r="B26" s="23"/>
      <c r="C26" s="21" t="s">
        <v>74</v>
      </c>
      <c r="D26" s="21"/>
      <c r="E26" s="21"/>
      <c r="F26" s="21"/>
      <c r="G26" s="24"/>
      <c r="H26" s="25"/>
      <c r="I26" s="25"/>
      <c r="J26" s="21" t="s">
        <v>75</v>
      </c>
      <c r="K26" s="25"/>
      <c r="L26" s="25"/>
      <c r="M26" s="25"/>
      <c r="N26" s="25"/>
    </row>
    <row r="27" spans="1:14">
      <c r="A27" s="21"/>
      <c r="B27" s="23"/>
      <c r="C27" s="21" t="s">
        <v>33</v>
      </c>
      <c r="D27" s="21"/>
      <c r="E27" s="21"/>
      <c r="F27" s="21"/>
      <c r="G27" s="24"/>
      <c r="H27" s="25"/>
      <c r="I27" s="99" t="s">
        <v>33</v>
      </c>
      <c r="J27" s="99"/>
      <c r="K27" s="99"/>
      <c r="L27" s="25"/>
      <c r="M27" s="25"/>
      <c r="N27" s="25"/>
    </row>
  </sheetData>
  <mergeCells count="19">
    <mergeCell ref="A1:N1"/>
    <mergeCell ref="A2:N2"/>
    <mergeCell ref="D5:H5"/>
    <mergeCell ref="B21:N21"/>
    <mergeCell ref="I27:K27"/>
    <mergeCell ref="A5:A7"/>
    <mergeCell ref="B5:B7"/>
    <mergeCell ref="C5:C7"/>
    <mergeCell ref="D6:D7"/>
    <mergeCell ref="E6:E7"/>
    <mergeCell ref="F6:F7"/>
    <mergeCell ref="G6:G7"/>
    <mergeCell ref="H6:H7"/>
    <mergeCell ref="I5:I7"/>
    <mergeCell ref="J5:J7"/>
    <mergeCell ref="K5:K7"/>
    <mergeCell ref="L5:L7"/>
    <mergeCell ref="M5:M7"/>
    <mergeCell ref="N5:N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T26"/>
  <sheetViews>
    <sheetView topLeftCell="H7" workbookViewId="0">
      <selection activeCell="N8" sqref="N8:N18"/>
    </sheetView>
  </sheetViews>
  <sheetFormatPr defaultColWidth="9" defaultRowHeight="14.4"/>
  <cols>
    <col min="6" max="6" width="9.5546875" customWidth="1"/>
    <col min="7" max="7" width="12.5546875" customWidth="1"/>
    <col min="10" max="10" width="11.6640625" customWidth="1"/>
    <col min="11" max="11" width="9.6640625" customWidth="1"/>
    <col min="14" max="14" width="10.33203125" customWidth="1"/>
  </cols>
  <sheetData>
    <row r="1" spans="1:20" ht="18">
      <c r="A1" s="105" t="s">
        <v>84</v>
      </c>
      <c r="B1" s="105"/>
      <c r="C1" s="105"/>
      <c r="D1" s="105"/>
      <c r="E1" s="105"/>
      <c r="F1" s="105"/>
      <c r="G1" s="106"/>
      <c r="H1" s="106"/>
      <c r="I1" s="106"/>
      <c r="J1" s="106"/>
      <c r="K1" s="106"/>
      <c r="L1" s="106"/>
      <c r="M1" s="106"/>
      <c r="N1" s="106"/>
      <c r="O1" s="26"/>
    </row>
    <row r="2" spans="1:20" ht="18">
      <c r="A2" s="3" t="s">
        <v>1</v>
      </c>
      <c r="B2" s="80" t="s">
        <v>2</v>
      </c>
      <c r="C2" s="4"/>
      <c r="D2" s="4"/>
      <c r="E2" s="4"/>
      <c r="F2" s="3"/>
      <c r="G2" s="5"/>
      <c r="H2" s="2"/>
      <c r="I2" s="2"/>
      <c r="J2" s="2"/>
      <c r="K2" s="2"/>
      <c r="L2" s="2"/>
      <c r="M2" s="2"/>
      <c r="N2" s="2"/>
      <c r="O2" s="26"/>
    </row>
    <row r="3" spans="1:20" ht="18">
      <c r="A3" s="3" t="s">
        <v>3</v>
      </c>
      <c r="B3" s="80" t="s">
        <v>4</v>
      </c>
      <c r="C3" s="6"/>
      <c r="D3" s="6"/>
      <c r="E3" s="6"/>
      <c r="F3" s="6"/>
      <c r="G3" s="7"/>
      <c r="H3" s="8"/>
      <c r="I3" s="8"/>
      <c r="J3" s="8"/>
      <c r="K3" s="8"/>
      <c r="L3" s="8"/>
      <c r="M3" s="8"/>
      <c r="N3" s="8"/>
    </row>
    <row r="4" spans="1:20">
      <c r="A4" s="88" t="s">
        <v>5</v>
      </c>
      <c r="B4" s="87" t="s">
        <v>62</v>
      </c>
      <c r="C4" s="92" t="s">
        <v>63</v>
      </c>
      <c r="D4" s="92" t="s">
        <v>64</v>
      </c>
      <c r="E4" s="92"/>
      <c r="F4" s="92"/>
      <c r="G4" s="92"/>
      <c r="H4" s="92"/>
      <c r="I4" s="92" t="s">
        <v>65</v>
      </c>
      <c r="J4" s="92" t="s">
        <v>10</v>
      </c>
      <c r="K4" s="92" t="s">
        <v>11</v>
      </c>
      <c r="L4" s="107" t="s">
        <v>66</v>
      </c>
      <c r="M4" s="89" t="s">
        <v>67</v>
      </c>
      <c r="N4" s="92" t="s">
        <v>68</v>
      </c>
    </row>
    <row r="5" spans="1:20">
      <c r="A5" s="88"/>
      <c r="B5" s="87"/>
      <c r="C5" s="92"/>
      <c r="D5" s="100" t="s">
        <v>69</v>
      </c>
      <c r="E5" s="100" t="s">
        <v>16</v>
      </c>
      <c r="F5" s="100" t="s">
        <v>17</v>
      </c>
      <c r="G5" s="90" t="s">
        <v>70</v>
      </c>
      <c r="H5" s="91" t="s">
        <v>71</v>
      </c>
      <c r="I5" s="92"/>
      <c r="J5" s="102"/>
      <c r="K5" s="102"/>
      <c r="L5" s="108"/>
      <c r="M5" s="90"/>
      <c r="N5" s="92"/>
      <c r="O5" s="28"/>
    </row>
    <row r="6" spans="1:20" ht="93.75" customHeight="1">
      <c r="A6" s="88"/>
      <c r="B6" s="87"/>
      <c r="C6" s="92"/>
      <c r="D6" s="101"/>
      <c r="E6" s="101"/>
      <c r="F6" s="101"/>
      <c r="G6" s="91"/>
      <c r="H6" s="92"/>
      <c r="I6" s="92"/>
      <c r="J6" s="102"/>
      <c r="K6" s="102"/>
      <c r="L6" s="109"/>
      <c r="M6" s="91"/>
      <c r="N6" s="92"/>
      <c r="O6" s="28"/>
      <c r="Q6" s="29" t="s">
        <v>20</v>
      </c>
    </row>
    <row r="7" spans="1:20">
      <c r="A7" s="15">
        <v>1</v>
      </c>
      <c r="B7" s="16">
        <v>2</v>
      </c>
      <c r="C7" s="15">
        <v>3</v>
      </c>
      <c r="D7" s="15">
        <v>4</v>
      </c>
      <c r="E7" s="15">
        <v>5</v>
      </c>
      <c r="F7" s="15">
        <v>6</v>
      </c>
      <c r="G7" s="17">
        <v>7</v>
      </c>
      <c r="H7" s="17">
        <v>8</v>
      </c>
      <c r="I7" s="17">
        <v>9</v>
      </c>
      <c r="J7" s="17">
        <v>10</v>
      </c>
      <c r="K7" s="17">
        <v>11</v>
      </c>
      <c r="L7" s="17">
        <v>12</v>
      </c>
      <c r="M7" s="17">
        <v>13</v>
      </c>
      <c r="N7" s="17">
        <v>14</v>
      </c>
      <c r="O7" s="28"/>
    </row>
    <row r="8" spans="1:20" ht="30.75" customHeight="1">
      <c r="A8" s="18">
        <v>38504</v>
      </c>
      <c r="B8" s="19">
        <v>104.9</v>
      </c>
      <c r="C8" s="19">
        <v>259.06200000000001</v>
      </c>
      <c r="D8" s="20">
        <v>46.5</v>
      </c>
      <c r="E8" s="20">
        <v>0</v>
      </c>
      <c r="F8" s="20">
        <v>0</v>
      </c>
      <c r="G8" s="20">
        <v>0</v>
      </c>
      <c r="H8" s="96" t="s">
        <v>57</v>
      </c>
      <c r="I8" s="19">
        <f>D8+E8+F8+G8+0</f>
        <v>46.5</v>
      </c>
      <c r="J8" s="96" t="s">
        <v>57</v>
      </c>
      <c r="K8" s="19">
        <v>0</v>
      </c>
      <c r="L8" s="19">
        <v>121</v>
      </c>
      <c r="M8" s="19">
        <v>499.78100000000001</v>
      </c>
      <c r="N8" s="19">
        <v>287.21899999999999</v>
      </c>
      <c r="O8" s="28"/>
      <c r="Q8" s="35">
        <f t="shared" ref="Q8:Q19" si="0">(15000000/(2725*0.9*L8))</f>
        <v>50.547173149341603</v>
      </c>
      <c r="R8" s="32">
        <f>E8+P8-L8</f>
        <v>-121</v>
      </c>
      <c r="S8" s="32" t="e">
        <f>R8-H8-K8</f>
        <v>#VALUE!</v>
      </c>
      <c r="T8" s="32">
        <f>R8-K8-976.1</f>
        <v>-1097.0999999999999</v>
      </c>
    </row>
    <row r="9" spans="1:20" ht="30.75" customHeight="1">
      <c r="A9" s="18">
        <v>38534</v>
      </c>
      <c r="B9" s="19">
        <v>122.55</v>
      </c>
      <c r="C9" s="19">
        <v>528.07600000000002</v>
      </c>
      <c r="D9" s="20">
        <f>112.41-1.301</f>
        <v>111.10899999999999</v>
      </c>
      <c r="E9" s="20">
        <v>0</v>
      </c>
      <c r="F9" s="20">
        <v>0</v>
      </c>
      <c r="G9" s="19">
        <v>1.3009999999999999</v>
      </c>
      <c r="H9" s="97"/>
      <c r="I9" s="19">
        <f t="shared" ref="I9:I19" si="1">D9+E9+F9+G9+H9</f>
        <v>112.41</v>
      </c>
      <c r="J9" s="97"/>
      <c r="K9" s="19">
        <v>0</v>
      </c>
      <c r="L9" s="19">
        <v>135.9</v>
      </c>
      <c r="M9" s="19">
        <v>815.125</v>
      </c>
      <c r="N9" s="19">
        <f t="shared" ref="N9:N19" si="2">IF((M9-C9)+I9+J9+K9&gt;0,(M9-C9)+I9+J9+K9,0)</f>
        <v>399.459</v>
      </c>
      <c r="O9" s="28"/>
      <c r="Q9" s="35">
        <f t="shared" si="0"/>
        <v>45.005209352982597</v>
      </c>
    </row>
    <row r="10" spans="1:20" ht="30.75" customHeight="1">
      <c r="A10" s="18">
        <v>38565</v>
      </c>
      <c r="B10" s="19">
        <v>136.30000000000001</v>
      </c>
      <c r="C10" s="19">
        <v>824.97299999999996</v>
      </c>
      <c r="D10" s="20">
        <f>148.43-4.8</f>
        <v>143.63</v>
      </c>
      <c r="E10" s="20">
        <v>0</v>
      </c>
      <c r="F10" s="20">
        <v>0</v>
      </c>
      <c r="G10" s="19">
        <v>4.8</v>
      </c>
      <c r="H10" s="97"/>
      <c r="I10" s="19">
        <f t="shared" si="1"/>
        <v>148.43</v>
      </c>
      <c r="J10" s="97"/>
      <c r="K10" s="19">
        <v>0</v>
      </c>
      <c r="L10" s="19">
        <v>140.69999999999999</v>
      </c>
      <c r="M10" s="19">
        <v>938.51199999999994</v>
      </c>
      <c r="N10" s="19">
        <f t="shared" si="2"/>
        <v>261.96899999999999</v>
      </c>
      <c r="O10" s="28"/>
      <c r="Q10" s="35">
        <f t="shared" si="0"/>
        <v>43.469850398509898</v>
      </c>
    </row>
    <row r="11" spans="1:20" ht="30.75" customHeight="1">
      <c r="A11" s="18">
        <v>38596</v>
      </c>
      <c r="B11" s="19">
        <v>140.68</v>
      </c>
      <c r="C11" s="19">
        <v>937.96299999999997</v>
      </c>
      <c r="D11" s="20">
        <f>189.61-54.695</f>
        <v>134.91499999999999</v>
      </c>
      <c r="E11" s="20">
        <v>0</v>
      </c>
      <c r="F11" s="20">
        <v>0</v>
      </c>
      <c r="G11" s="19">
        <v>54.695</v>
      </c>
      <c r="H11" s="97"/>
      <c r="I11" s="19">
        <f t="shared" si="1"/>
        <v>189.61</v>
      </c>
      <c r="J11" s="97"/>
      <c r="K11" s="19">
        <v>0</v>
      </c>
      <c r="L11" s="19">
        <v>141.75</v>
      </c>
      <c r="M11" s="19">
        <v>968.76099999999997</v>
      </c>
      <c r="N11" s="19">
        <f t="shared" si="2"/>
        <v>220.40799999999999</v>
      </c>
      <c r="O11" s="28"/>
      <c r="Q11" s="35">
        <f t="shared" si="0"/>
        <v>43.147851506668999</v>
      </c>
    </row>
    <row r="12" spans="1:20" ht="30.75" customHeight="1">
      <c r="A12" s="18">
        <v>38626</v>
      </c>
      <c r="B12" s="19">
        <v>141.75</v>
      </c>
      <c r="C12" s="19">
        <v>968.76099999999997</v>
      </c>
      <c r="D12" s="20">
        <v>29.4</v>
      </c>
      <c r="E12" s="20">
        <v>0</v>
      </c>
      <c r="F12" s="20">
        <v>0</v>
      </c>
      <c r="G12" s="19">
        <v>2.88</v>
      </c>
      <c r="H12" s="97"/>
      <c r="I12" s="19">
        <f t="shared" si="1"/>
        <v>32.28</v>
      </c>
      <c r="J12" s="97"/>
      <c r="K12" s="19">
        <v>0</v>
      </c>
      <c r="L12" s="19">
        <v>141.5</v>
      </c>
      <c r="M12" s="19">
        <v>961.42200000000003</v>
      </c>
      <c r="N12" s="19">
        <f t="shared" si="2"/>
        <v>24.941000000000098</v>
      </c>
      <c r="O12" s="28"/>
      <c r="Q12" s="35">
        <f t="shared" si="0"/>
        <v>43.224084459860997</v>
      </c>
    </row>
    <row r="13" spans="1:20" ht="30.75" customHeight="1">
      <c r="A13" s="18">
        <v>38657</v>
      </c>
      <c r="B13" s="19">
        <v>141.44999999999999</v>
      </c>
      <c r="C13" s="19">
        <v>959.95399999999995</v>
      </c>
      <c r="D13" s="20">
        <v>48.6</v>
      </c>
      <c r="E13" s="20">
        <v>0</v>
      </c>
      <c r="F13" s="20">
        <v>0</v>
      </c>
      <c r="G13" s="19">
        <v>0</v>
      </c>
      <c r="H13" s="97"/>
      <c r="I13" s="19">
        <f t="shared" si="1"/>
        <v>48.6</v>
      </c>
      <c r="J13" s="97"/>
      <c r="K13" s="19">
        <v>0</v>
      </c>
      <c r="L13" s="19">
        <v>139.30000000000001</v>
      </c>
      <c r="M13" s="19">
        <v>900.98400000000004</v>
      </c>
      <c r="N13" s="19">
        <f t="shared" si="2"/>
        <v>0</v>
      </c>
      <c r="O13" s="32">
        <f t="shared" ref="O13:O19" si="3">(I13+J13+K13)+(M13-C13)</f>
        <v>-10.3699999999999</v>
      </c>
      <c r="Q13" s="35">
        <f t="shared" si="0"/>
        <v>43.906733317087799</v>
      </c>
    </row>
    <row r="14" spans="1:20" ht="30.75" customHeight="1">
      <c r="A14" s="18">
        <v>38687</v>
      </c>
      <c r="B14" s="19">
        <v>139.25</v>
      </c>
      <c r="C14" s="19">
        <v>899.97500000000002</v>
      </c>
      <c r="D14" s="20">
        <v>48.7</v>
      </c>
      <c r="E14" s="20">
        <v>0</v>
      </c>
      <c r="F14" s="20">
        <v>7.3579999999999997</v>
      </c>
      <c r="G14" s="19">
        <v>0</v>
      </c>
      <c r="H14" s="97"/>
      <c r="I14" s="19">
        <f t="shared" si="1"/>
        <v>56.058</v>
      </c>
      <c r="J14" s="97"/>
      <c r="K14" s="19">
        <v>0</v>
      </c>
      <c r="L14" s="19">
        <v>136.6</v>
      </c>
      <c r="M14" s="19">
        <v>832.40499999999997</v>
      </c>
      <c r="N14" s="19">
        <f t="shared" si="2"/>
        <v>0</v>
      </c>
      <c r="O14" s="32">
        <f t="shared" si="3"/>
        <v>-11.5120000000001</v>
      </c>
      <c r="Q14" s="35">
        <f t="shared" si="0"/>
        <v>44.774582365082999</v>
      </c>
    </row>
    <row r="15" spans="1:20" ht="30.75" customHeight="1">
      <c r="A15" s="18">
        <v>38718</v>
      </c>
      <c r="B15" s="19">
        <v>136.5</v>
      </c>
      <c r="C15" s="19">
        <v>829.92899999999997</v>
      </c>
      <c r="D15" s="20">
        <v>44.2</v>
      </c>
      <c r="E15" s="20">
        <v>0</v>
      </c>
      <c r="F15" s="20">
        <v>12.282999999999999</v>
      </c>
      <c r="G15" s="19">
        <v>0</v>
      </c>
      <c r="H15" s="97"/>
      <c r="I15" s="19">
        <f t="shared" si="1"/>
        <v>56.482999999999997</v>
      </c>
      <c r="J15" s="97"/>
      <c r="K15" s="19">
        <v>0</v>
      </c>
      <c r="L15" s="19">
        <v>133.69999999999999</v>
      </c>
      <c r="M15" s="19">
        <v>762.27</v>
      </c>
      <c r="N15" s="19">
        <f t="shared" si="2"/>
        <v>0</v>
      </c>
      <c r="O15" s="32">
        <f t="shared" si="3"/>
        <v>-11.176</v>
      </c>
      <c r="Q15" s="35">
        <f t="shared" si="0"/>
        <v>45.745758796337597</v>
      </c>
    </row>
    <row r="16" spans="1:20" ht="30.75" customHeight="1">
      <c r="A16" s="18">
        <v>38749</v>
      </c>
      <c r="B16" s="19">
        <v>133.6</v>
      </c>
      <c r="C16" s="19">
        <v>759.92600000000004</v>
      </c>
      <c r="D16" s="20">
        <v>41.1</v>
      </c>
      <c r="E16" s="20">
        <v>0</v>
      </c>
      <c r="F16" s="20">
        <v>11.907</v>
      </c>
      <c r="G16" s="19">
        <v>0</v>
      </c>
      <c r="H16" s="97"/>
      <c r="I16" s="19">
        <f t="shared" si="1"/>
        <v>53.006999999999998</v>
      </c>
      <c r="J16" s="97"/>
      <c r="K16" s="19">
        <v>0</v>
      </c>
      <c r="L16" s="19">
        <v>130.85</v>
      </c>
      <c r="M16" s="19">
        <v>697.06399999999996</v>
      </c>
      <c r="N16" s="19">
        <f t="shared" si="2"/>
        <v>0</v>
      </c>
      <c r="O16" s="32">
        <f t="shared" si="3"/>
        <v>-9.8550000000000804</v>
      </c>
      <c r="Q16" s="35">
        <f t="shared" si="0"/>
        <v>46.742131838520002</v>
      </c>
    </row>
    <row r="17" spans="1:17" ht="30.75" customHeight="1">
      <c r="A17" s="18">
        <v>38777</v>
      </c>
      <c r="B17" s="19">
        <v>130.75</v>
      </c>
      <c r="C17" s="19">
        <v>694.86599999999999</v>
      </c>
      <c r="D17" s="20">
        <v>42.6</v>
      </c>
      <c r="E17" s="20">
        <v>0</v>
      </c>
      <c r="F17" s="20">
        <v>11.641</v>
      </c>
      <c r="G17" s="19">
        <v>0</v>
      </c>
      <c r="H17" s="97"/>
      <c r="I17" s="19">
        <f t="shared" si="1"/>
        <v>54.241</v>
      </c>
      <c r="J17" s="97"/>
      <c r="K17" s="19">
        <v>0</v>
      </c>
      <c r="L17" s="19">
        <v>127.5</v>
      </c>
      <c r="M17" s="19">
        <v>625.17499999999995</v>
      </c>
      <c r="N17" s="19">
        <f t="shared" si="2"/>
        <v>0</v>
      </c>
      <c r="O17" s="32">
        <f t="shared" si="3"/>
        <v>-15.45</v>
      </c>
      <c r="Q17" s="35">
        <f t="shared" si="0"/>
        <v>47.970258439767299</v>
      </c>
    </row>
    <row r="18" spans="1:17" ht="30.75" customHeight="1">
      <c r="A18" s="18">
        <v>38808</v>
      </c>
      <c r="B18" s="19">
        <v>127.35</v>
      </c>
      <c r="C18" s="19">
        <v>622.06899999999996</v>
      </c>
      <c r="D18" s="20">
        <v>44</v>
      </c>
      <c r="E18" s="20">
        <v>0</v>
      </c>
      <c r="F18" s="20">
        <v>10.641999999999999</v>
      </c>
      <c r="G18" s="19">
        <v>0</v>
      </c>
      <c r="H18" s="97"/>
      <c r="I18" s="19">
        <f t="shared" si="1"/>
        <v>54.642000000000003</v>
      </c>
      <c r="J18" s="97"/>
      <c r="K18" s="19">
        <v>0</v>
      </c>
      <c r="L18" s="19">
        <v>123.2</v>
      </c>
      <c r="M18" s="19">
        <v>540.20399999999995</v>
      </c>
      <c r="N18" s="19">
        <f t="shared" si="2"/>
        <v>0</v>
      </c>
      <c r="O18" s="32">
        <f t="shared" si="3"/>
        <v>-27.222999999999999</v>
      </c>
      <c r="Q18" s="35">
        <f t="shared" si="0"/>
        <v>49.644545057389102</v>
      </c>
    </row>
    <row r="19" spans="1:17" ht="30.75" customHeight="1">
      <c r="A19" s="18">
        <v>38838</v>
      </c>
      <c r="B19" s="19">
        <v>123.05</v>
      </c>
      <c r="C19" s="19">
        <v>537.36199999999997</v>
      </c>
      <c r="D19" s="20">
        <v>49.6</v>
      </c>
      <c r="E19" s="20">
        <v>0</v>
      </c>
      <c r="F19" s="20">
        <v>0.54</v>
      </c>
      <c r="G19" s="19">
        <v>0</v>
      </c>
      <c r="H19" s="98"/>
      <c r="I19" s="19">
        <f t="shared" si="1"/>
        <v>50.14</v>
      </c>
      <c r="J19" s="98"/>
      <c r="K19" s="19">
        <v>0</v>
      </c>
      <c r="L19" s="19">
        <v>119.2</v>
      </c>
      <c r="M19" s="19">
        <v>468.29899999999998</v>
      </c>
      <c r="N19" s="19">
        <f t="shared" si="2"/>
        <v>0</v>
      </c>
      <c r="O19" s="32">
        <f t="shared" si="3"/>
        <v>-18.922999999999998</v>
      </c>
      <c r="Q19" s="35">
        <f t="shared" si="0"/>
        <v>51.310469388173999</v>
      </c>
    </row>
    <row r="20" spans="1:17">
      <c r="A20" s="21" t="s">
        <v>72</v>
      </c>
      <c r="B20" s="110" t="s">
        <v>73</v>
      </c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</row>
    <row r="21" spans="1:17">
      <c r="A21" s="21"/>
      <c r="B21" s="23"/>
      <c r="C21" s="21"/>
      <c r="D21" s="21"/>
      <c r="E21" s="21"/>
      <c r="F21" s="21"/>
      <c r="G21" s="24"/>
      <c r="H21" s="21"/>
      <c r="I21" s="21"/>
      <c r="J21" s="21"/>
      <c r="K21" s="21"/>
      <c r="L21" s="21"/>
      <c r="M21" s="21"/>
      <c r="N21" s="21"/>
    </row>
    <row r="22" spans="1:17">
      <c r="A22" s="21"/>
      <c r="B22" s="23"/>
      <c r="C22" s="21"/>
      <c r="D22" s="21"/>
      <c r="E22" s="21"/>
      <c r="F22" s="21"/>
      <c r="G22" s="24"/>
      <c r="H22" s="21"/>
      <c r="I22" s="21"/>
      <c r="J22" s="21"/>
      <c r="K22" s="21"/>
      <c r="L22" s="21"/>
      <c r="M22" s="21"/>
      <c r="N22" s="21"/>
    </row>
    <row r="23" spans="1:17">
      <c r="A23" s="21"/>
      <c r="B23" s="23"/>
      <c r="C23" s="21"/>
      <c r="D23" s="21"/>
      <c r="E23" s="21"/>
      <c r="F23" s="21"/>
      <c r="G23" s="24"/>
      <c r="H23" s="21"/>
      <c r="I23" s="21"/>
      <c r="J23" s="21"/>
      <c r="K23" s="21"/>
      <c r="L23" s="21"/>
      <c r="M23" s="21"/>
      <c r="N23" s="21"/>
    </row>
    <row r="24" spans="1:17" ht="18">
      <c r="A24" s="21"/>
      <c r="B24" s="23"/>
      <c r="C24" s="1" t="s">
        <v>29</v>
      </c>
      <c r="D24" s="21"/>
      <c r="E24" s="21"/>
      <c r="F24" s="1"/>
      <c r="G24" s="24"/>
      <c r="H24" s="25"/>
      <c r="I24" s="25"/>
      <c r="J24" s="1" t="s">
        <v>30</v>
      </c>
      <c r="K24" s="25"/>
      <c r="L24" s="25"/>
      <c r="M24" s="25"/>
      <c r="N24" s="25"/>
    </row>
    <row r="25" spans="1:17">
      <c r="A25" s="21"/>
      <c r="B25" s="23"/>
      <c r="C25" s="21" t="s">
        <v>74</v>
      </c>
      <c r="D25" s="21"/>
      <c r="E25" s="21"/>
      <c r="F25" s="21"/>
      <c r="G25" s="24"/>
      <c r="H25" s="25"/>
      <c r="I25" s="25"/>
      <c r="J25" s="21" t="s">
        <v>75</v>
      </c>
      <c r="K25" s="25"/>
      <c r="L25" s="25"/>
      <c r="M25" s="25"/>
      <c r="N25" s="25"/>
    </row>
    <row r="26" spans="1:17">
      <c r="A26" s="21"/>
      <c r="B26" s="23"/>
      <c r="C26" s="21" t="s">
        <v>33</v>
      </c>
      <c r="D26" s="21"/>
      <c r="E26" s="21"/>
      <c r="F26" s="21"/>
      <c r="G26" s="24"/>
      <c r="H26" s="25"/>
      <c r="I26" s="99" t="s">
        <v>33</v>
      </c>
      <c r="J26" s="99"/>
      <c r="K26" s="99"/>
      <c r="L26" s="25"/>
      <c r="M26" s="25"/>
      <c r="N26" s="25"/>
    </row>
  </sheetData>
  <mergeCells count="20">
    <mergeCell ref="M4:M6"/>
    <mergeCell ref="N4:N6"/>
    <mergeCell ref="A1:N1"/>
    <mergeCell ref="D4:H4"/>
    <mergeCell ref="B20:N20"/>
    <mergeCell ref="I26:K26"/>
    <mergeCell ref="A4:A6"/>
    <mergeCell ref="B4:B6"/>
    <mergeCell ref="C4:C6"/>
    <mergeCell ref="D5:D6"/>
    <mergeCell ref="E5:E6"/>
    <mergeCell ref="F5:F6"/>
    <mergeCell ref="G5:G6"/>
    <mergeCell ref="H5:H6"/>
    <mergeCell ref="H8:H19"/>
    <mergeCell ref="I4:I6"/>
    <mergeCell ref="J4:J6"/>
    <mergeCell ref="J8:J19"/>
    <mergeCell ref="K4:K6"/>
    <mergeCell ref="L4:L6"/>
  </mergeCells>
  <printOptions horizontalCentered="1" verticalCentered="1"/>
  <pageMargins left="0.2" right="0.2" top="0.25" bottom="0.25" header="0.3" footer="0.3"/>
  <pageSetup scale="80"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T26"/>
  <sheetViews>
    <sheetView topLeftCell="G7" workbookViewId="0">
      <selection activeCell="N9" sqref="N9"/>
    </sheetView>
  </sheetViews>
  <sheetFormatPr defaultColWidth="9" defaultRowHeight="14.4"/>
  <cols>
    <col min="6" max="6" width="9.5546875" customWidth="1"/>
    <col min="7" max="7" width="12.5546875" customWidth="1"/>
    <col min="10" max="10" width="12" customWidth="1"/>
    <col min="11" max="11" width="9.5546875" customWidth="1"/>
    <col min="14" max="14" width="10.33203125" customWidth="1"/>
  </cols>
  <sheetData>
    <row r="1" spans="1:20" ht="18">
      <c r="A1" s="105" t="s">
        <v>85</v>
      </c>
      <c r="B1" s="105"/>
      <c r="C1" s="105"/>
      <c r="D1" s="105"/>
      <c r="E1" s="105"/>
      <c r="F1" s="105"/>
      <c r="G1" s="106"/>
      <c r="H1" s="106"/>
      <c r="I1" s="106"/>
      <c r="J1" s="106"/>
      <c r="K1" s="106"/>
      <c r="L1" s="106"/>
      <c r="M1" s="106"/>
      <c r="N1" s="106"/>
      <c r="O1" s="26"/>
    </row>
    <row r="2" spans="1:20" ht="18">
      <c r="A2" s="3" t="s">
        <v>1</v>
      </c>
      <c r="B2" s="80" t="s">
        <v>2</v>
      </c>
      <c r="C2" s="4"/>
      <c r="D2" s="4"/>
      <c r="E2" s="4"/>
      <c r="F2" s="3"/>
      <c r="G2" s="5"/>
      <c r="H2" s="2"/>
      <c r="I2" s="2"/>
      <c r="J2" s="2"/>
      <c r="K2" s="2"/>
      <c r="L2" s="2"/>
      <c r="M2" s="2"/>
      <c r="N2" s="2"/>
      <c r="O2" s="26"/>
    </row>
    <row r="3" spans="1:20" ht="18">
      <c r="A3" s="3" t="s">
        <v>3</v>
      </c>
      <c r="B3" s="80" t="s">
        <v>4</v>
      </c>
      <c r="C3" s="6"/>
      <c r="D3" s="6"/>
      <c r="E3" s="6"/>
      <c r="F3" s="6"/>
      <c r="G3" s="7"/>
      <c r="H3" s="8"/>
      <c r="I3" s="8"/>
      <c r="J3" s="8"/>
      <c r="K3" s="8"/>
      <c r="L3" s="8"/>
      <c r="M3" s="8"/>
      <c r="N3" s="8"/>
    </row>
    <row r="4" spans="1:20">
      <c r="A4" s="88" t="s">
        <v>5</v>
      </c>
      <c r="B4" s="87" t="s">
        <v>62</v>
      </c>
      <c r="C4" s="92" t="s">
        <v>63</v>
      </c>
      <c r="D4" s="92" t="s">
        <v>64</v>
      </c>
      <c r="E4" s="92"/>
      <c r="F4" s="92"/>
      <c r="G4" s="92"/>
      <c r="H4" s="92"/>
      <c r="I4" s="92" t="s">
        <v>65</v>
      </c>
      <c r="J4" s="92" t="s">
        <v>10</v>
      </c>
      <c r="K4" s="92" t="s">
        <v>11</v>
      </c>
      <c r="L4" s="107" t="s">
        <v>66</v>
      </c>
      <c r="M4" s="89" t="s">
        <v>67</v>
      </c>
      <c r="N4" s="92" t="s">
        <v>68</v>
      </c>
    </row>
    <row r="5" spans="1:20">
      <c r="A5" s="88"/>
      <c r="B5" s="87"/>
      <c r="C5" s="92"/>
      <c r="D5" s="100" t="s">
        <v>69</v>
      </c>
      <c r="E5" s="100" t="s">
        <v>16</v>
      </c>
      <c r="F5" s="100" t="s">
        <v>17</v>
      </c>
      <c r="G5" s="90" t="s">
        <v>70</v>
      </c>
      <c r="H5" s="91" t="s">
        <v>71</v>
      </c>
      <c r="I5" s="92"/>
      <c r="J5" s="102"/>
      <c r="K5" s="102"/>
      <c r="L5" s="108"/>
      <c r="M5" s="90"/>
      <c r="N5" s="92"/>
      <c r="O5" s="28"/>
    </row>
    <row r="6" spans="1:20" ht="89.25" customHeight="1">
      <c r="A6" s="88"/>
      <c r="B6" s="87"/>
      <c r="C6" s="92"/>
      <c r="D6" s="101"/>
      <c r="E6" s="101"/>
      <c r="F6" s="101"/>
      <c r="G6" s="91"/>
      <c r="H6" s="92"/>
      <c r="I6" s="92"/>
      <c r="J6" s="102"/>
      <c r="K6" s="102"/>
      <c r="L6" s="109"/>
      <c r="M6" s="91"/>
      <c r="N6" s="92"/>
      <c r="O6" s="28"/>
      <c r="Q6" s="29" t="s">
        <v>20</v>
      </c>
    </row>
    <row r="7" spans="1:20">
      <c r="A7" s="15">
        <v>1</v>
      </c>
      <c r="B7" s="16">
        <v>2</v>
      </c>
      <c r="C7" s="15">
        <v>3</v>
      </c>
      <c r="D7" s="15">
        <v>4</v>
      </c>
      <c r="E7" s="15">
        <v>5</v>
      </c>
      <c r="F7" s="15">
        <v>6</v>
      </c>
      <c r="G7" s="17">
        <v>7</v>
      </c>
      <c r="H7" s="17">
        <v>8</v>
      </c>
      <c r="I7" s="17">
        <v>9</v>
      </c>
      <c r="J7" s="17">
        <v>10</v>
      </c>
      <c r="K7" s="17">
        <v>11</v>
      </c>
      <c r="L7" s="17">
        <v>12</v>
      </c>
      <c r="M7" s="17">
        <v>13</v>
      </c>
      <c r="N7" s="17">
        <v>14</v>
      </c>
      <c r="O7" s="28"/>
    </row>
    <row r="8" spans="1:20" ht="30.75" customHeight="1">
      <c r="A8" s="18">
        <v>38139</v>
      </c>
      <c r="B8" s="19">
        <v>105.02</v>
      </c>
      <c r="C8" s="19">
        <v>260.55900000000003</v>
      </c>
      <c r="D8" s="20">
        <v>51.33</v>
      </c>
      <c r="E8" s="20">
        <v>0</v>
      </c>
      <c r="F8" s="20">
        <v>0</v>
      </c>
      <c r="G8" s="20">
        <v>0</v>
      </c>
      <c r="H8" s="96" t="s">
        <v>57</v>
      </c>
      <c r="I8" s="19">
        <f>D8+E8+F8+G8+0</f>
        <v>51.33</v>
      </c>
      <c r="J8" s="96" t="s">
        <v>57</v>
      </c>
      <c r="K8" s="19">
        <v>0</v>
      </c>
      <c r="L8" s="19">
        <v>105.56</v>
      </c>
      <c r="M8" s="19">
        <v>267.22800000000001</v>
      </c>
      <c r="N8" s="19">
        <v>57.999000000000002</v>
      </c>
      <c r="O8" s="28"/>
      <c r="Q8" s="35">
        <f t="shared" ref="Q8:Q19" si="0">(15000000/(2725*0.9*L8))</f>
        <v>57.940583090852002</v>
      </c>
      <c r="R8" s="32">
        <f>E8+P8-L8</f>
        <v>-105.56</v>
      </c>
      <c r="S8" s="32" t="e">
        <f>R8-H8-K8</f>
        <v>#VALUE!</v>
      </c>
      <c r="T8" s="32">
        <f>R8-K8-976.1</f>
        <v>-1081.6600000000001</v>
      </c>
    </row>
    <row r="9" spans="1:20" ht="30.75" customHeight="1">
      <c r="A9" s="18">
        <v>38169</v>
      </c>
      <c r="B9" s="19">
        <v>106</v>
      </c>
      <c r="C9" s="19">
        <v>272.66300000000001</v>
      </c>
      <c r="D9" s="20">
        <v>7.6</v>
      </c>
      <c r="E9" s="20">
        <v>0</v>
      </c>
      <c r="F9" s="20">
        <v>0</v>
      </c>
      <c r="G9" s="19">
        <v>0</v>
      </c>
      <c r="H9" s="97"/>
      <c r="I9" s="19">
        <f t="shared" ref="I9:I19" si="1">D9+E9+F9+G9+H9</f>
        <v>7.6</v>
      </c>
      <c r="J9" s="97"/>
      <c r="K9" s="19">
        <v>0</v>
      </c>
      <c r="L9" s="19">
        <v>119.3</v>
      </c>
      <c r="M9" s="19">
        <v>470.03399999999999</v>
      </c>
      <c r="N9" s="19">
        <f t="shared" ref="N9:N19" si="2">IF((M9-C9)+I9+J9+K9&gt;0,(M9-C9)+I9+J9+K9,0)</f>
        <v>204.971</v>
      </c>
      <c r="O9" s="28"/>
      <c r="Q9" s="35">
        <f t="shared" si="0"/>
        <v>51.267459774269398</v>
      </c>
    </row>
    <row r="10" spans="1:20" ht="30.75" customHeight="1">
      <c r="A10" s="18">
        <v>38200</v>
      </c>
      <c r="B10" s="19">
        <v>120.6</v>
      </c>
      <c r="C10" s="19">
        <v>492.74200000000002</v>
      </c>
      <c r="D10" s="20">
        <v>0</v>
      </c>
      <c r="E10" s="20">
        <v>0</v>
      </c>
      <c r="F10" s="20">
        <v>0</v>
      </c>
      <c r="G10" s="19">
        <v>0</v>
      </c>
      <c r="H10" s="97"/>
      <c r="I10" s="19">
        <f t="shared" si="1"/>
        <v>0</v>
      </c>
      <c r="J10" s="97"/>
      <c r="K10" s="19">
        <v>0</v>
      </c>
      <c r="L10" s="19">
        <v>133.35</v>
      </c>
      <c r="M10" s="19">
        <v>754.06500000000005</v>
      </c>
      <c r="N10" s="19">
        <f t="shared" si="2"/>
        <v>261.32299999999998</v>
      </c>
      <c r="O10" s="28"/>
      <c r="Q10" s="35">
        <f t="shared" si="0"/>
        <v>45.865826404726903</v>
      </c>
    </row>
    <row r="11" spans="1:20" ht="30.75" customHeight="1">
      <c r="A11" s="18">
        <v>38231</v>
      </c>
      <c r="B11" s="19">
        <v>133.25</v>
      </c>
      <c r="C11" s="19">
        <v>751.721</v>
      </c>
      <c r="D11" s="20">
        <v>5.32</v>
      </c>
      <c r="E11" s="20">
        <v>0</v>
      </c>
      <c r="F11" s="20">
        <v>0</v>
      </c>
      <c r="G11" s="19">
        <v>81.736999999999995</v>
      </c>
      <c r="H11" s="97"/>
      <c r="I11" s="19">
        <f t="shared" si="1"/>
        <v>87.057000000000002</v>
      </c>
      <c r="J11" s="97"/>
      <c r="K11" s="19">
        <v>0</v>
      </c>
      <c r="L11" s="19">
        <v>133.25</v>
      </c>
      <c r="M11" s="19">
        <v>751.721</v>
      </c>
      <c r="N11" s="19">
        <f t="shared" si="2"/>
        <v>87.057000000000002</v>
      </c>
      <c r="O11" s="28"/>
      <c r="Q11" s="35">
        <f t="shared" si="0"/>
        <v>45.900247287582303</v>
      </c>
    </row>
    <row r="12" spans="1:20" ht="30.75" customHeight="1">
      <c r="A12" s="18">
        <v>38261</v>
      </c>
      <c r="B12" s="19">
        <v>133.5</v>
      </c>
      <c r="C12" s="19">
        <v>757.58100000000002</v>
      </c>
      <c r="D12" s="20">
        <v>25.8</v>
      </c>
      <c r="E12" s="20">
        <v>0</v>
      </c>
      <c r="F12" s="20">
        <v>0</v>
      </c>
      <c r="G12" s="19">
        <v>13.416</v>
      </c>
      <c r="H12" s="97"/>
      <c r="I12" s="19">
        <f t="shared" si="1"/>
        <v>39.216000000000001</v>
      </c>
      <c r="J12" s="97"/>
      <c r="K12" s="19">
        <v>0</v>
      </c>
      <c r="L12" s="19">
        <v>131.80000000000001</v>
      </c>
      <c r="M12" s="19">
        <v>718.37599999999998</v>
      </c>
      <c r="N12" s="19">
        <f t="shared" si="2"/>
        <v>1.09999999999602E-2</v>
      </c>
      <c r="O12" s="28"/>
      <c r="Q12" s="35">
        <f t="shared" si="0"/>
        <v>46.405219659107303</v>
      </c>
    </row>
    <row r="13" spans="1:20" ht="30.75" customHeight="1">
      <c r="A13" s="18">
        <v>38292</v>
      </c>
      <c r="B13" s="19">
        <v>131.65</v>
      </c>
      <c r="C13" s="19">
        <v>714.99800000000005</v>
      </c>
      <c r="D13" s="20">
        <v>46.15</v>
      </c>
      <c r="E13" s="20">
        <v>0</v>
      </c>
      <c r="F13" s="20">
        <v>0</v>
      </c>
      <c r="G13" s="19">
        <v>0</v>
      </c>
      <c r="H13" s="97"/>
      <c r="I13" s="19">
        <f t="shared" si="1"/>
        <v>46.15</v>
      </c>
      <c r="J13" s="97"/>
      <c r="K13" s="19">
        <v>0</v>
      </c>
      <c r="L13" s="19">
        <v>128.80000000000001</v>
      </c>
      <c r="M13" s="19">
        <v>652.45799999999997</v>
      </c>
      <c r="N13" s="19">
        <f t="shared" si="2"/>
        <v>0</v>
      </c>
      <c r="O13" s="28"/>
      <c r="Q13" s="35">
        <f t="shared" si="0"/>
        <v>47.486086576632999</v>
      </c>
    </row>
    <row r="14" spans="1:20" ht="30.75" customHeight="1">
      <c r="A14" s="18">
        <v>38322</v>
      </c>
      <c r="B14" s="19">
        <v>128.69999999999999</v>
      </c>
      <c r="C14" s="19">
        <v>650.34199999999998</v>
      </c>
      <c r="D14" s="20">
        <v>52.1</v>
      </c>
      <c r="E14" s="20">
        <v>0</v>
      </c>
      <c r="F14" s="20">
        <v>5.2130000000000001</v>
      </c>
      <c r="G14" s="19">
        <v>0</v>
      </c>
      <c r="H14" s="97"/>
      <c r="I14" s="19">
        <f t="shared" si="1"/>
        <v>57.313000000000002</v>
      </c>
      <c r="J14" s="97"/>
      <c r="K14" s="19">
        <v>0</v>
      </c>
      <c r="L14" s="19">
        <v>125.45</v>
      </c>
      <c r="M14" s="19">
        <v>583.66999999999996</v>
      </c>
      <c r="N14" s="19">
        <f t="shared" si="2"/>
        <v>0</v>
      </c>
      <c r="O14" s="28"/>
      <c r="Q14" s="35">
        <f t="shared" si="0"/>
        <v>48.754148673338698</v>
      </c>
    </row>
    <row r="15" spans="1:20" ht="30.75" customHeight="1">
      <c r="A15" s="18">
        <v>38353</v>
      </c>
      <c r="B15" s="19">
        <v>125.35</v>
      </c>
      <c r="C15" s="19">
        <v>581.69000000000005</v>
      </c>
      <c r="D15" s="20">
        <v>49.3</v>
      </c>
      <c r="E15" s="20">
        <v>0</v>
      </c>
      <c r="F15" s="20">
        <v>9.2040000000000006</v>
      </c>
      <c r="G15" s="19">
        <v>0</v>
      </c>
      <c r="H15" s="97"/>
      <c r="I15" s="19">
        <f t="shared" si="1"/>
        <v>58.503999999999998</v>
      </c>
      <c r="J15" s="97"/>
      <c r="K15" s="19">
        <v>0</v>
      </c>
      <c r="L15" s="19">
        <v>121.9</v>
      </c>
      <c r="M15" s="19">
        <v>516.07399999999996</v>
      </c>
      <c r="N15" s="19">
        <f t="shared" si="2"/>
        <v>0</v>
      </c>
      <c r="O15" s="28"/>
      <c r="Q15" s="35">
        <f t="shared" si="0"/>
        <v>50.17397826965</v>
      </c>
    </row>
    <row r="16" spans="1:20" ht="30.75" customHeight="1">
      <c r="A16" s="18">
        <v>38384</v>
      </c>
      <c r="B16" s="19">
        <v>121.75</v>
      </c>
      <c r="C16" s="19">
        <v>513.35900000000004</v>
      </c>
      <c r="D16" s="20">
        <v>42.45</v>
      </c>
      <c r="E16" s="20">
        <v>0</v>
      </c>
      <c r="F16" s="20">
        <v>13.965</v>
      </c>
      <c r="G16" s="19">
        <v>0</v>
      </c>
      <c r="H16" s="97"/>
      <c r="I16" s="19">
        <f t="shared" si="1"/>
        <v>56.414999999999999</v>
      </c>
      <c r="J16" s="97"/>
      <c r="K16" s="19">
        <v>0</v>
      </c>
      <c r="L16" s="19">
        <v>118.4</v>
      </c>
      <c r="M16" s="19">
        <v>454.69499999999999</v>
      </c>
      <c r="N16" s="19">
        <f t="shared" si="2"/>
        <v>0</v>
      </c>
      <c r="O16" s="28"/>
      <c r="Q16" s="35">
        <f t="shared" si="0"/>
        <v>51.657161748904898</v>
      </c>
    </row>
    <row r="17" spans="1:17" ht="30.75" customHeight="1">
      <c r="A17" s="18">
        <v>38412</v>
      </c>
      <c r="B17" s="19">
        <v>118.25</v>
      </c>
      <c r="C17" s="19">
        <v>452.16199999999998</v>
      </c>
      <c r="D17" s="20">
        <v>45.5</v>
      </c>
      <c r="E17" s="20">
        <v>0</v>
      </c>
      <c r="F17" s="20">
        <v>13.907</v>
      </c>
      <c r="G17" s="19">
        <v>0</v>
      </c>
      <c r="H17" s="97"/>
      <c r="I17" s="19">
        <f t="shared" si="1"/>
        <v>59.406999999999996</v>
      </c>
      <c r="J17" s="97"/>
      <c r="K17" s="19">
        <v>0</v>
      </c>
      <c r="L17" s="19">
        <v>114.35</v>
      </c>
      <c r="M17" s="19">
        <v>389.64499999999998</v>
      </c>
      <c r="N17" s="19">
        <f t="shared" si="2"/>
        <v>0</v>
      </c>
      <c r="Q17" s="35">
        <f t="shared" si="0"/>
        <v>53.486733284392997</v>
      </c>
    </row>
    <row r="18" spans="1:17" ht="30.75" customHeight="1">
      <c r="A18" s="18">
        <v>38443</v>
      </c>
      <c r="B18" s="19">
        <v>114.2</v>
      </c>
      <c r="C18" s="19">
        <v>387.31799999999998</v>
      </c>
      <c r="D18" s="20">
        <v>43.7</v>
      </c>
      <c r="E18" s="20">
        <v>0</v>
      </c>
      <c r="F18" s="20">
        <v>15.683</v>
      </c>
      <c r="G18" s="19">
        <v>0</v>
      </c>
      <c r="H18" s="97"/>
      <c r="I18" s="19">
        <f t="shared" si="1"/>
        <v>59.383000000000003</v>
      </c>
      <c r="J18" s="97"/>
      <c r="K18" s="19">
        <v>0</v>
      </c>
      <c r="L18" s="19">
        <v>109.95</v>
      </c>
      <c r="M18" s="19">
        <v>325.411</v>
      </c>
      <c r="N18" s="19">
        <f t="shared" si="2"/>
        <v>0</v>
      </c>
      <c r="Q18" s="35">
        <f t="shared" si="0"/>
        <v>55.6271755440685</v>
      </c>
    </row>
    <row r="19" spans="1:17" ht="30.75" customHeight="1">
      <c r="A19" s="18">
        <v>38473</v>
      </c>
      <c r="B19" s="19">
        <v>109.8</v>
      </c>
      <c r="C19" s="19">
        <v>323.32</v>
      </c>
      <c r="D19" s="20">
        <v>49.5</v>
      </c>
      <c r="E19" s="20">
        <v>0</v>
      </c>
      <c r="F19" s="20">
        <v>2.78</v>
      </c>
      <c r="G19" s="19">
        <v>0</v>
      </c>
      <c r="H19" s="98"/>
      <c r="I19" s="19">
        <f t="shared" si="1"/>
        <v>52.28</v>
      </c>
      <c r="J19" s="98"/>
      <c r="K19" s="19">
        <v>0</v>
      </c>
      <c r="L19" s="19">
        <v>105.1</v>
      </c>
      <c r="M19" s="19">
        <v>261.54700000000003</v>
      </c>
      <c r="N19" s="19">
        <f t="shared" si="2"/>
        <v>0</v>
      </c>
      <c r="Q19" s="35">
        <f t="shared" si="0"/>
        <v>58.194176508756797</v>
      </c>
    </row>
    <row r="20" spans="1:17">
      <c r="A20" s="21" t="s">
        <v>72</v>
      </c>
      <c r="B20" s="110" t="s">
        <v>73</v>
      </c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</row>
    <row r="21" spans="1:17">
      <c r="A21" s="21"/>
      <c r="B21" s="23"/>
      <c r="C21" s="21"/>
      <c r="D21" s="21"/>
      <c r="E21" s="21"/>
      <c r="F21" s="21"/>
      <c r="G21" s="24"/>
      <c r="H21" s="21"/>
      <c r="I21" s="21"/>
      <c r="J21" s="21"/>
      <c r="K21" s="21"/>
      <c r="L21" s="21"/>
      <c r="M21" s="21"/>
      <c r="N21" s="21"/>
    </row>
    <row r="22" spans="1:17">
      <c r="A22" s="21"/>
      <c r="B22" s="23"/>
      <c r="C22" s="21"/>
      <c r="D22" s="21"/>
      <c r="E22" s="21"/>
      <c r="F22" s="21"/>
      <c r="G22" s="24"/>
      <c r="H22" s="21"/>
      <c r="I22" s="21"/>
      <c r="J22" s="21"/>
      <c r="K22" s="21"/>
      <c r="L22" s="21"/>
      <c r="M22" s="21"/>
      <c r="N22" s="21"/>
    </row>
    <row r="23" spans="1:17">
      <c r="A23" s="21"/>
      <c r="B23" s="23"/>
      <c r="C23" s="21"/>
      <c r="D23" s="21"/>
      <c r="E23" s="21"/>
      <c r="F23" s="21"/>
      <c r="G23" s="24"/>
      <c r="H23" s="21"/>
      <c r="I23" s="21"/>
      <c r="J23" s="21"/>
      <c r="K23" s="21"/>
      <c r="L23" s="21"/>
      <c r="M23" s="21"/>
      <c r="N23" s="21"/>
    </row>
    <row r="24" spans="1:17" ht="18">
      <c r="A24" s="21"/>
      <c r="B24" s="23"/>
      <c r="C24" s="1" t="s">
        <v>29</v>
      </c>
      <c r="D24" s="21"/>
      <c r="E24" s="21"/>
      <c r="F24" s="1"/>
      <c r="G24" s="24"/>
      <c r="H24" s="25"/>
      <c r="I24" s="25"/>
      <c r="J24" s="1" t="s">
        <v>30</v>
      </c>
      <c r="K24" s="25"/>
      <c r="L24" s="25"/>
      <c r="M24" s="25"/>
      <c r="N24" s="25"/>
    </row>
    <row r="25" spans="1:17">
      <c r="A25" s="21"/>
      <c r="B25" s="23"/>
      <c r="C25" s="21" t="s">
        <v>74</v>
      </c>
      <c r="D25" s="21"/>
      <c r="E25" s="21"/>
      <c r="F25" s="21"/>
      <c r="G25" s="24"/>
      <c r="H25" s="25"/>
      <c r="I25" s="25"/>
      <c r="J25" s="21" t="s">
        <v>75</v>
      </c>
      <c r="K25" s="25"/>
      <c r="L25" s="25"/>
      <c r="M25" s="25"/>
      <c r="N25" s="25"/>
    </row>
    <row r="26" spans="1:17">
      <c r="A26" s="21"/>
      <c r="B26" s="23"/>
      <c r="C26" s="21" t="s">
        <v>33</v>
      </c>
      <c r="D26" s="21"/>
      <c r="E26" s="21"/>
      <c r="F26" s="21"/>
      <c r="G26" s="24"/>
      <c r="H26" s="25"/>
      <c r="I26" s="99" t="s">
        <v>33</v>
      </c>
      <c r="J26" s="99"/>
      <c r="K26" s="99"/>
      <c r="L26" s="25"/>
      <c r="M26" s="25"/>
      <c r="N26" s="25"/>
    </row>
  </sheetData>
  <mergeCells count="20">
    <mergeCell ref="M4:M6"/>
    <mergeCell ref="N4:N6"/>
    <mergeCell ref="A1:N1"/>
    <mergeCell ref="D4:H4"/>
    <mergeCell ref="B20:N20"/>
    <mergeCell ref="I26:K26"/>
    <mergeCell ref="A4:A6"/>
    <mergeCell ref="B4:B6"/>
    <mergeCell ref="C4:C6"/>
    <mergeCell ref="D5:D6"/>
    <mergeCell ref="E5:E6"/>
    <mergeCell ref="F5:F6"/>
    <mergeCell ref="G5:G6"/>
    <mergeCell ref="H5:H6"/>
    <mergeCell ref="H8:H19"/>
    <mergeCell ref="I4:I6"/>
    <mergeCell ref="J4:J6"/>
    <mergeCell ref="J8:J19"/>
    <mergeCell ref="K4:K6"/>
    <mergeCell ref="L4:L6"/>
  </mergeCells>
  <printOptions horizontalCentered="1" verticalCentered="1"/>
  <pageMargins left="0.2" right="0.2" top="0.25" bottom="0.25" header="0.3" footer="0.3"/>
  <pageSetup scale="8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Y25"/>
  <sheetViews>
    <sheetView view="pageBreakPreview" topLeftCell="A7" zoomScaleNormal="100" zoomScaleSheetLayoutView="100" workbookViewId="0">
      <selection activeCell="T8" sqref="T8:T19"/>
    </sheetView>
  </sheetViews>
  <sheetFormatPr defaultColWidth="9" defaultRowHeight="14.4"/>
  <cols>
    <col min="4" max="5" width="9.5546875" customWidth="1"/>
    <col min="6" max="6" width="10.6640625" customWidth="1"/>
    <col min="15" max="15" width="10" customWidth="1"/>
    <col min="18" max="19" width="10.109375" customWidth="1"/>
  </cols>
  <sheetData>
    <row r="1" spans="1:25" ht="15.6">
      <c r="A1" s="81" t="s">
        <v>34</v>
      </c>
      <c r="B1" s="82"/>
      <c r="C1" s="81"/>
      <c r="D1" s="81"/>
      <c r="E1" s="81"/>
      <c r="F1" s="81"/>
      <c r="G1" s="81"/>
      <c r="H1" s="81"/>
      <c r="I1" s="81"/>
      <c r="J1" s="82"/>
      <c r="K1" s="82"/>
      <c r="L1" s="82"/>
      <c r="M1" s="82"/>
      <c r="N1" s="82"/>
      <c r="O1" s="81"/>
      <c r="P1" s="82"/>
      <c r="Q1" s="82"/>
      <c r="R1" s="82"/>
      <c r="S1" s="82"/>
    </row>
    <row r="2" spans="1:25" ht="15.6">
      <c r="A2" s="3" t="s">
        <v>1</v>
      </c>
      <c r="B2" s="80" t="s">
        <v>2</v>
      </c>
      <c r="C2" s="4"/>
      <c r="D2" s="4"/>
      <c r="E2" s="4"/>
      <c r="F2" s="4"/>
      <c r="G2" s="4"/>
      <c r="H2" s="3"/>
      <c r="I2" s="3"/>
      <c r="J2" s="5"/>
      <c r="K2" s="5"/>
      <c r="L2" s="5"/>
      <c r="M2" s="5"/>
      <c r="N2" s="5"/>
      <c r="O2" s="3"/>
      <c r="P2" s="5"/>
      <c r="Q2" s="5"/>
      <c r="R2" s="5"/>
      <c r="S2" s="5"/>
    </row>
    <row r="3" spans="1:25" ht="15.6">
      <c r="A3" s="3" t="s">
        <v>3</v>
      </c>
      <c r="B3" s="80" t="s">
        <v>4</v>
      </c>
      <c r="C3" s="6"/>
      <c r="D3" s="6"/>
      <c r="E3" s="6"/>
      <c r="F3" s="6"/>
      <c r="G3" s="6"/>
      <c r="H3" s="6"/>
      <c r="I3" s="6"/>
      <c r="J3" s="7"/>
      <c r="K3" s="7"/>
      <c r="L3" s="7"/>
      <c r="M3" s="7"/>
      <c r="N3" s="7"/>
      <c r="O3" s="6"/>
      <c r="P3" s="7"/>
      <c r="Q3" s="7"/>
      <c r="R3" s="7"/>
      <c r="S3" s="7"/>
    </row>
    <row r="4" spans="1:25">
      <c r="A4" s="88" t="s">
        <v>5</v>
      </c>
      <c r="B4" s="89" t="s">
        <v>6</v>
      </c>
      <c r="C4" s="87" t="s">
        <v>7</v>
      </c>
      <c r="D4" s="43"/>
      <c r="E4" s="83" t="s">
        <v>8</v>
      </c>
      <c r="F4" s="84"/>
      <c r="G4" s="84"/>
      <c r="H4" s="84"/>
      <c r="I4" s="84"/>
      <c r="J4" s="84"/>
      <c r="K4" s="84"/>
      <c r="L4" s="85"/>
      <c r="M4" s="92" t="s">
        <v>9</v>
      </c>
      <c r="N4" s="92" t="s">
        <v>10</v>
      </c>
      <c r="O4" s="92" t="s">
        <v>11</v>
      </c>
      <c r="P4" s="89" t="s">
        <v>12</v>
      </c>
      <c r="Q4" s="87" t="s">
        <v>13</v>
      </c>
      <c r="R4" s="9"/>
      <c r="S4" s="87" t="s">
        <v>14</v>
      </c>
    </row>
    <row r="5" spans="1:25">
      <c r="A5" s="88"/>
      <c r="B5" s="90"/>
      <c r="C5" s="87"/>
      <c r="D5" s="27"/>
      <c r="E5" s="89" t="s">
        <v>15</v>
      </c>
      <c r="F5" s="27"/>
      <c r="G5" s="89" t="s">
        <v>16</v>
      </c>
      <c r="H5" s="27"/>
      <c r="I5" s="89" t="s">
        <v>17</v>
      </c>
      <c r="J5" s="27"/>
      <c r="K5" s="92" t="s">
        <v>18</v>
      </c>
      <c r="L5" s="92" t="s">
        <v>19</v>
      </c>
      <c r="M5" s="92"/>
      <c r="N5" s="92"/>
      <c r="O5" s="92"/>
      <c r="P5" s="90"/>
      <c r="Q5" s="87"/>
      <c r="R5" s="9"/>
      <c r="S5" s="87"/>
    </row>
    <row r="6" spans="1:25" ht="91.05" customHeight="1">
      <c r="A6" s="88"/>
      <c r="B6" s="91"/>
      <c r="C6" s="87"/>
      <c r="D6" s="13" t="s">
        <v>35</v>
      </c>
      <c r="E6" s="91"/>
      <c r="F6" s="13"/>
      <c r="G6" s="91"/>
      <c r="H6" s="13"/>
      <c r="I6" s="91"/>
      <c r="J6" s="13"/>
      <c r="K6" s="92"/>
      <c r="L6" s="92"/>
      <c r="M6" s="92"/>
      <c r="N6" s="92"/>
      <c r="O6" s="92"/>
      <c r="P6" s="91"/>
      <c r="Q6" s="87"/>
      <c r="R6" s="9"/>
      <c r="S6" s="87"/>
      <c r="U6" s="29" t="s">
        <v>20</v>
      </c>
      <c r="W6" t="s">
        <v>36</v>
      </c>
      <c r="Y6" t="s">
        <v>37</v>
      </c>
    </row>
    <row r="7" spans="1:25">
      <c r="A7" s="15">
        <v>1</v>
      </c>
      <c r="B7" s="17">
        <v>2</v>
      </c>
      <c r="C7" s="16">
        <v>3</v>
      </c>
      <c r="D7" s="15"/>
      <c r="E7" s="15">
        <v>4</v>
      </c>
      <c r="F7" s="15"/>
      <c r="G7" s="15">
        <v>5</v>
      </c>
      <c r="H7" s="15"/>
      <c r="I7" s="15">
        <v>6</v>
      </c>
      <c r="J7" s="17"/>
      <c r="K7" s="17">
        <v>7</v>
      </c>
      <c r="L7" s="17">
        <v>8</v>
      </c>
      <c r="M7" s="17">
        <v>9</v>
      </c>
      <c r="N7" s="17">
        <v>10</v>
      </c>
      <c r="O7" s="15">
        <v>11</v>
      </c>
      <c r="P7" s="59">
        <v>12</v>
      </c>
      <c r="Q7" s="17">
        <v>13</v>
      </c>
      <c r="R7" s="17"/>
      <c r="S7" s="17">
        <v>14</v>
      </c>
    </row>
    <row r="8" spans="1:25" ht="30.75" customHeight="1">
      <c r="A8" s="18">
        <v>44348</v>
      </c>
      <c r="B8" s="66">
        <v>112.7</v>
      </c>
      <c r="C8" s="63">
        <v>364.745</v>
      </c>
      <c r="D8" s="39">
        <f t="shared" ref="D8:D19" si="0">(C8/976.1)*100</f>
        <v>37.367585288392597</v>
      </c>
      <c r="E8" s="19">
        <v>28.709</v>
      </c>
      <c r="F8" s="39">
        <f t="shared" ref="F8:F19" si="1">(E8/M8)*100</f>
        <v>86.686998007125993</v>
      </c>
      <c r="G8" s="15">
        <v>4.4089999999999998</v>
      </c>
      <c r="H8" s="39">
        <f t="shared" ref="H8:H13" si="2">(G8/M8)*100</f>
        <v>13.313001992874</v>
      </c>
      <c r="I8" s="56">
        <v>0</v>
      </c>
      <c r="J8" s="39">
        <f>(I8/M8)*100</f>
        <v>0</v>
      </c>
      <c r="K8" s="19">
        <v>0</v>
      </c>
      <c r="L8" s="19">
        <v>0</v>
      </c>
      <c r="M8" s="20">
        <f>E8+G8+I8+K8+L8</f>
        <v>33.118000000000002</v>
      </c>
      <c r="N8" s="15">
        <v>0</v>
      </c>
      <c r="O8" s="19">
        <v>3.008</v>
      </c>
      <c r="P8" s="64">
        <v>113.2</v>
      </c>
      <c r="Q8" s="65">
        <v>372.17500000000001</v>
      </c>
      <c r="R8" s="39">
        <f>(Q8/976.1)*100</f>
        <v>38.1287777891609</v>
      </c>
      <c r="S8" s="20">
        <f>IF(M8+N8+O8+(Q8-C8)&gt;0,M8+N8+O8+(Q8-C8),0)</f>
        <v>43.555999999999997</v>
      </c>
      <c r="T8" s="32">
        <f t="shared" ref="T8:T19" si="3">(M8+N8+O8)+(Q8-C8)</f>
        <v>43.555999999999997</v>
      </c>
      <c r="U8" s="35">
        <f t="shared" ref="U8:U19" si="4">(15000000/(2725*0.9*P8))</f>
        <v>54.030105574826301</v>
      </c>
      <c r="W8" s="32">
        <f t="shared" ref="W8:W19" si="5">C8+S8-N8</f>
        <v>408.30099999999999</v>
      </c>
      <c r="X8" s="32">
        <f>W8-M8-O8</f>
        <v>372.17500000000001</v>
      </c>
      <c r="Y8" s="32">
        <f>W8-M8-976.1-O8</f>
        <v>-603.92499999999995</v>
      </c>
    </row>
    <row r="9" spans="1:25" ht="30.75" customHeight="1">
      <c r="A9" s="18">
        <v>44378</v>
      </c>
      <c r="B9" s="66">
        <v>113.7</v>
      </c>
      <c r="C9" s="63">
        <v>396.625</v>
      </c>
      <c r="D9" s="39">
        <f t="shared" si="0"/>
        <v>40.633644093842797</v>
      </c>
      <c r="E9" s="19">
        <v>2.6440000000000001</v>
      </c>
      <c r="F9" s="39">
        <f t="shared" si="1"/>
        <v>91.329879101899806</v>
      </c>
      <c r="G9" s="15">
        <v>0.251</v>
      </c>
      <c r="H9" s="39">
        <f t="shared" si="2"/>
        <v>8.6701208981001692</v>
      </c>
      <c r="I9" s="56">
        <v>0</v>
      </c>
      <c r="J9" s="39">
        <f>(I9/M9)*100</f>
        <v>0</v>
      </c>
      <c r="K9" s="19">
        <v>0</v>
      </c>
      <c r="L9" s="19">
        <v>0</v>
      </c>
      <c r="M9" s="20">
        <f>E9+G9+I9+K9+L9</f>
        <v>2.895</v>
      </c>
      <c r="N9" s="15">
        <v>0</v>
      </c>
      <c r="O9" s="19">
        <v>0</v>
      </c>
      <c r="P9" s="64">
        <v>133.80000000000001</v>
      </c>
      <c r="Q9" s="65">
        <v>764.61400000000003</v>
      </c>
      <c r="R9" s="39">
        <f t="shared" ref="R9:R20" si="6">(Q9/976.1)*100</f>
        <v>78.333572379879101</v>
      </c>
      <c r="S9" s="20">
        <f t="shared" ref="S9:S11" si="7">IF(M9+N9+O9+(Q9-C9)&gt;0,M9+N9+O9+(Q9-C9),0)</f>
        <v>370.88400000000001</v>
      </c>
      <c r="T9" s="32">
        <f t="shared" si="3"/>
        <v>370.88400000000001</v>
      </c>
      <c r="U9" s="35">
        <f t="shared" si="4"/>
        <v>45.711569141033898</v>
      </c>
      <c r="W9" s="32">
        <f t="shared" si="5"/>
        <v>767.50900000000001</v>
      </c>
      <c r="X9" s="32">
        <f>W9-M9</f>
        <v>764.61400000000003</v>
      </c>
      <c r="Y9" s="32">
        <f t="shared" ref="Y9:Y19" si="8">W9-M9-976.1</f>
        <v>-211.48599999999999</v>
      </c>
    </row>
    <row r="10" spans="1:25" ht="30.75" customHeight="1">
      <c r="A10" s="18">
        <v>44409</v>
      </c>
      <c r="B10" s="66">
        <v>134</v>
      </c>
      <c r="C10" s="63">
        <v>769.30200000000002</v>
      </c>
      <c r="D10" s="39">
        <f t="shared" si="0"/>
        <v>78.813851039852494</v>
      </c>
      <c r="E10" s="19">
        <v>0.40400000000000003</v>
      </c>
      <c r="F10" s="39">
        <f t="shared" si="1"/>
        <v>90.990990990990994</v>
      </c>
      <c r="G10" s="15">
        <v>0.04</v>
      </c>
      <c r="H10" s="39">
        <f t="shared" si="2"/>
        <v>9.0090090090090094</v>
      </c>
      <c r="I10" s="56">
        <v>0</v>
      </c>
      <c r="J10" s="39">
        <f>(I10/M10)*100</f>
        <v>0</v>
      </c>
      <c r="K10" s="19">
        <v>0</v>
      </c>
      <c r="L10" s="19">
        <v>0</v>
      </c>
      <c r="M10" s="20">
        <f t="shared" ref="M10:M19" si="9">E10+G10+I10+K10+L10</f>
        <v>0.44400000000000001</v>
      </c>
      <c r="N10" s="15">
        <v>0</v>
      </c>
      <c r="O10" s="19">
        <v>0</v>
      </c>
      <c r="P10" s="64">
        <v>139.13</v>
      </c>
      <c r="Q10" s="65">
        <v>896.53399999999999</v>
      </c>
      <c r="R10" s="39">
        <f t="shared" si="6"/>
        <v>91.8485810880033</v>
      </c>
      <c r="S10" s="20">
        <f t="shared" si="7"/>
        <v>127.676</v>
      </c>
      <c r="T10" s="32">
        <f t="shared" si="3"/>
        <v>127.676</v>
      </c>
      <c r="U10" s="35">
        <f t="shared" si="4"/>
        <v>43.960382024511901</v>
      </c>
      <c r="W10" s="32">
        <f t="shared" si="5"/>
        <v>896.97799999999995</v>
      </c>
      <c r="X10" s="32">
        <f t="shared" ref="X10:X19" si="10">W10-M10</f>
        <v>896.53399999999999</v>
      </c>
      <c r="Y10" s="32">
        <f t="shared" si="8"/>
        <v>-79.565999999999903</v>
      </c>
    </row>
    <row r="11" spans="1:25" ht="30.75" customHeight="1">
      <c r="A11" s="18">
        <v>44440</v>
      </c>
      <c r="B11" s="66">
        <v>139.35</v>
      </c>
      <c r="C11" s="63">
        <v>902.29300000000001</v>
      </c>
      <c r="D11" s="39">
        <f t="shared" si="0"/>
        <v>92.438582112488504</v>
      </c>
      <c r="E11" s="19">
        <v>0</v>
      </c>
      <c r="F11" s="39" t="e">
        <f>(E11/M11)*100</f>
        <v>#DIV/0!</v>
      </c>
      <c r="G11" s="19">
        <v>0</v>
      </c>
      <c r="H11" s="39" t="e">
        <f>(G11/M11)*100</f>
        <v>#DIV/0!</v>
      </c>
      <c r="I11" s="19">
        <v>0</v>
      </c>
      <c r="J11" s="39" t="e">
        <f>(I11/M11)*100</f>
        <v>#DIV/0!</v>
      </c>
      <c r="K11" s="19">
        <v>0</v>
      </c>
      <c r="L11" s="19">
        <v>0</v>
      </c>
      <c r="M11" s="20">
        <f t="shared" si="9"/>
        <v>0</v>
      </c>
      <c r="N11" s="15">
        <v>0</v>
      </c>
      <c r="O11" s="19">
        <v>0</v>
      </c>
      <c r="P11" s="64">
        <v>141.88</v>
      </c>
      <c r="Q11" s="65">
        <v>972.577</v>
      </c>
      <c r="R11" s="39">
        <f t="shared" si="6"/>
        <v>99.639073865382599</v>
      </c>
      <c r="S11" s="20">
        <f t="shared" si="7"/>
        <v>70.284000000000006</v>
      </c>
      <c r="T11" s="32">
        <f t="shared" si="3"/>
        <v>70.284000000000006</v>
      </c>
      <c r="U11" s="35">
        <f t="shared" si="4"/>
        <v>43.108316542643998</v>
      </c>
      <c r="W11" s="32">
        <f t="shared" si="5"/>
        <v>972.577</v>
      </c>
      <c r="X11" s="32">
        <f t="shared" si="10"/>
        <v>972.577</v>
      </c>
      <c r="Y11" s="32">
        <f t="shared" si="8"/>
        <v>-3.5230000000000201</v>
      </c>
    </row>
    <row r="12" spans="1:25" ht="30.75" customHeight="1">
      <c r="A12" s="18">
        <v>44470</v>
      </c>
      <c r="B12" s="44">
        <v>139.91</v>
      </c>
      <c r="C12" s="19">
        <v>916.95100000000002</v>
      </c>
      <c r="D12" s="39">
        <f t="shared" si="0"/>
        <v>93.940272513062197</v>
      </c>
      <c r="E12" s="19">
        <v>0</v>
      </c>
      <c r="F12" s="39" t="e">
        <f t="shared" si="1"/>
        <v>#DIV/0!</v>
      </c>
      <c r="G12" s="19">
        <v>0</v>
      </c>
      <c r="H12" s="39" t="e">
        <f>(G12/M12)*100</f>
        <v>#DIV/0!</v>
      </c>
      <c r="I12" s="19">
        <v>0</v>
      </c>
      <c r="J12" s="39" t="e">
        <f>(I12/M12)*100</f>
        <v>#DIV/0!</v>
      </c>
      <c r="K12" s="19">
        <v>0</v>
      </c>
      <c r="L12" s="19">
        <v>0</v>
      </c>
      <c r="M12" s="20">
        <f t="shared" si="9"/>
        <v>0</v>
      </c>
      <c r="N12" s="15">
        <v>0</v>
      </c>
      <c r="O12" s="19">
        <v>0</v>
      </c>
      <c r="P12" s="15">
        <v>137.04</v>
      </c>
      <c r="Q12" s="60">
        <v>843.32100000000003</v>
      </c>
      <c r="R12" s="39">
        <f t="shared" si="6"/>
        <v>86.396988013523199</v>
      </c>
      <c r="S12" s="20">
        <f t="shared" ref="S12:S19" si="11">IF(M12+N12+O12+(Q12-C12)&gt;0,M12+N12+O12+(Q12-C12),0)</f>
        <v>0</v>
      </c>
      <c r="T12" s="32">
        <f t="shared" si="3"/>
        <v>-73.63</v>
      </c>
      <c r="U12" s="35">
        <f t="shared" si="4"/>
        <v>44.630822760291402</v>
      </c>
      <c r="W12" s="32">
        <f t="shared" si="5"/>
        <v>916.95100000000002</v>
      </c>
      <c r="X12" s="32">
        <f t="shared" si="10"/>
        <v>916.95100000000002</v>
      </c>
      <c r="Y12" s="32">
        <f t="shared" si="8"/>
        <v>-59.149000000000001</v>
      </c>
    </row>
    <row r="13" spans="1:25" ht="30.75" customHeight="1">
      <c r="A13" s="18">
        <v>44501</v>
      </c>
      <c r="B13" s="44">
        <v>136.94</v>
      </c>
      <c r="C13" s="19">
        <v>840.827</v>
      </c>
      <c r="D13" s="39">
        <f t="shared" si="0"/>
        <v>86.141481405593694</v>
      </c>
      <c r="E13" s="19">
        <v>0</v>
      </c>
      <c r="F13" s="39" t="e">
        <f t="shared" si="1"/>
        <v>#DIV/0!</v>
      </c>
      <c r="G13" s="19">
        <v>0</v>
      </c>
      <c r="H13" s="39" t="e">
        <f t="shared" si="2"/>
        <v>#DIV/0!</v>
      </c>
      <c r="I13" s="19">
        <v>0</v>
      </c>
      <c r="J13" s="39" t="e">
        <f t="shared" ref="J13:J19" si="12">(I13/M13)*100</f>
        <v>#DIV/0!</v>
      </c>
      <c r="K13" s="19">
        <v>0</v>
      </c>
      <c r="L13" s="19">
        <v>0</v>
      </c>
      <c r="M13" s="20">
        <f t="shared" si="9"/>
        <v>0</v>
      </c>
      <c r="N13" s="15">
        <v>0</v>
      </c>
      <c r="O13" s="19">
        <v>0</v>
      </c>
      <c r="P13" s="15">
        <v>133.91999999999999</v>
      </c>
      <c r="Q13" s="60">
        <v>767.42700000000002</v>
      </c>
      <c r="R13" s="39">
        <f t="shared" si="6"/>
        <v>78.621760065567003</v>
      </c>
      <c r="S13" s="20">
        <f t="shared" si="11"/>
        <v>0</v>
      </c>
      <c r="T13" s="32">
        <f t="shared" si="3"/>
        <v>-73.400000000000006</v>
      </c>
      <c r="U13" s="35">
        <f t="shared" si="4"/>
        <v>45.670608953631501</v>
      </c>
      <c r="W13" s="32">
        <f t="shared" si="5"/>
        <v>840.827</v>
      </c>
      <c r="X13" s="32">
        <f t="shared" si="10"/>
        <v>840.827</v>
      </c>
      <c r="Y13" s="32">
        <f t="shared" si="8"/>
        <v>-135.273</v>
      </c>
    </row>
    <row r="14" spans="1:25" ht="30.75" customHeight="1">
      <c r="A14" s="18">
        <v>44531</v>
      </c>
      <c r="B14" s="44">
        <v>133.82</v>
      </c>
      <c r="C14" s="19">
        <v>765.08299999999997</v>
      </c>
      <c r="D14" s="39">
        <f t="shared" si="0"/>
        <v>78.381620735580398</v>
      </c>
      <c r="E14" s="19">
        <v>0</v>
      </c>
      <c r="F14" s="39" t="e">
        <f t="shared" si="1"/>
        <v>#DIV/0!</v>
      </c>
      <c r="G14" s="19">
        <v>0</v>
      </c>
      <c r="H14" s="39" t="e">
        <f t="shared" ref="H14:H19" si="13">(G14/M14)*100</f>
        <v>#DIV/0!</v>
      </c>
      <c r="I14" s="19">
        <v>0</v>
      </c>
      <c r="J14" s="39" t="e">
        <f t="shared" si="12"/>
        <v>#DIV/0!</v>
      </c>
      <c r="K14" s="19">
        <v>0</v>
      </c>
      <c r="L14" s="19">
        <v>0</v>
      </c>
      <c r="M14" s="20">
        <f t="shared" si="9"/>
        <v>0</v>
      </c>
      <c r="N14" s="15">
        <v>0</v>
      </c>
      <c r="O14" s="19">
        <v>0</v>
      </c>
      <c r="P14" s="15">
        <v>130.55000000000001</v>
      </c>
      <c r="Q14" s="60">
        <v>690.471</v>
      </c>
      <c r="R14" s="39">
        <f t="shared" si="6"/>
        <v>70.737731789775594</v>
      </c>
      <c r="S14" s="20">
        <f t="shared" si="11"/>
        <v>0</v>
      </c>
      <c r="T14" s="32">
        <f t="shared" si="3"/>
        <v>-74.611999999999995</v>
      </c>
      <c r="U14" s="35">
        <f t="shared" si="4"/>
        <v>46.849543861128602</v>
      </c>
      <c r="W14" s="32">
        <f t="shared" si="5"/>
        <v>765.08299999999997</v>
      </c>
      <c r="X14" s="32">
        <f t="shared" si="10"/>
        <v>765.08299999999997</v>
      </c>
      <c r="Y14" s="32">
        <f t="shared" si="8"/>
        <v>-211.017</v>
      </c>
    </row>
    <row r="15" spans="1:25" ht="30.75" customHeight="1">
      <c r="A15" s="18">
        <v>44562</v>
      </c>
      <c r="B15" s="74">
        <v>135.4</v>
      </c>
      <c r="C15" s="75">
        <v>803.04</v>
      </c>
      <c r="D15" s="39">
        <f t="shared" si="0"/>
        <v>82.270259194754601</v>
      </c>
      <c r="E15" s="19">
        <v>0.7</v>
      </c>
      <c r="F15" s="39">
        <f t="shared" si="1"/>
        <v>4.3021326286030401</v>
      </c>
      <c r="G15" s="15">
        <v>0.05</v>
      </c>
      <c r="H15" s="39">
        <f t="shared" si="13"/>
        <v>0.30729518775735998</v>
      </c>
      <c r="I15" s="56">
        <v>15.521000000000001</v>
      </c>
      <c r="J15" s="39">
        <f t="shared" si="12"/>
        <v>95.390572183639605</v>
      </c>
      <c r="K15" s="19">
        <v>0</v>
      </c>
      <c r="L15" s="19">
        <v>0</v>
      </c>
      <c r="M15" s="20">
        <f t="shared" si="9"/>
        <v>16.271000000000001</v>
      </c>
      <c r="N15" s="15">
        <v>0</v>
      </c>
      <c r="O15" s="19">
        <v>0</v>
      </c>
      <c r="P15" s="77">
        <v>131.80000000000001</v>
      </c>
      <c r="Q15" s="78">
        <v>718.37199999999996</v>
      </c>
      <c r="R15" s="39">
        <f t="shared" si="6"/>
        <v>73.596147935662302</v>
      </c>
      <c r="S15" s="20">
        <f t="shared" si="11"/>
        <v>0</v>
      </c>
      <c r="T15" s="32">
        <f t="shared" si="3"/>
        <v>-68.397000000000006</v>
      </c>
      <c r="U15" s="35">
        <f t="shared" si="4"/>
        <v>46.405219659107303</v>
      </c>
      <c r="W15" s="32">
        <f t="shared" si="5"/>
        <v>803.04</v>
      </c>
      <c r="X15" s="32">
        <f t="shared" si="10"/>
        <v>786.76900000000001</v>
      </c>
      <c r="Y15" s="32">
        <f t="shared" si="8"/>
        <v>-189.33099999999999</v>
      </c>
    </row>
    <row r="16" spans="1:25" ht="30.75" customHeight="1">
      <c r="A16" s="18">
        <v>44593</v>
      </c>
      <c r="B16" s="76">
        <v>131.69999999999999</v>
      </c>
      <c r="C16" s="75">
        <v>716.125</v>
      </c>
      <c r="D16" s="39">
        <f t="shared" si="0"/>
        <v>73.365946112078703</v>
      </c>
      <c r="E16" s="19">
        <v>0.57799999999999996</v>
      </c>
      <c r="F16" s="39">
        <f t="shared" si="1"/>
        <v>4.4417018941783697</v>
      </c>
      <c r="G16" s="20">
        <f>0.0533+0.03873</f>
        <v>9.2030000000000001E-2</v>
      </c>
      <c r="H16" s="39">
        <f t="shared" si="13"/>
        <v>0.707214230659577</v>
      </c>
      <c r="I16" s="56">
        <v>12.343</v>
      </c>
      <c r="J16" s="39">
        <f t="shared" si="12"/>
        <v>94.851083875162004</v>
      </c>
      <c r="K16" s="19">
        <v>0</v>
      </c>
      <c r="L16" s="19">
        <v>0</v>
      </c>
      <c r="M16" s="20">
        <f t="shared" si="9"/>
        <v>13.013030000000001</v>
      </c>
      <c r="N16" s="15">
        <v>0</v>
      </c>
      <c r="O16" s="19">
        <v>0</v>
      </c>
      <c r="P16" s="77">
        <v>128.1</v>
      </c>
      <c r="Q16" s="78">
        <v>637.64599999999996</v>
      </c>
      <c r="R16" s="39">
        <f t="shared" si="6"/>
        <v>65.3258887409077</v>
      </c>
      <c r="S16" s="20">
        <f t="shared" si="11"/>
        <v>0</v>
      </c>
      <c r="T16" s="32">
        <f t="shared" si="3"/>
        <v>-65.465969999999999</v>
      </c>
      <c r="U16" s="35">
        <f t="shared" si="4"/>
        <v>47.745573388527198</v>
      </c>
      <c r="W16" s="32">
        <f t="shared" si="5"/>
        <v>716.125</v>
      </c>
      <c r="X16" s="32">
        <f t="shared" si="10"/>
        <v>703.11197000000004</v>
      </c>
      <c r="Y16" s="32">
        <f t="shared" si="8"/>
        <v>-272.98802999999998</v>
      </c>
    </row>
    <row r="17" spans="1:25" ht="30.75" customHeight="1">
      <c r="A17" s="18">
        <v>44621</v>
      </c>
      <c r="B17" s="76">
        <v>128.1</v>
      </c>
      <c r="C17" s="75">
        <v>635.053</v>
      </c>
      <c r="D17" s="39">
        <f t="shared" si="0"/>
        <v>65.060239729535894</v>
      </c>
      <c r="E17" s="19">
        <v>0</v>
      </c>
      <c r="F17" s="39">
        <f t="shared" si="1"/>
        <v>0</v>
      </c>
      <c r="G17" s="20">
        <v>0.69699999999999995</v>
      </c>
      <c r="H17" s="39">
        <f t="shared" si="13"/>
        <v>5.8507512801141601</v>
      </c>
      <c r="I17" s="56">
        <v>11.215999999999999</v>
      </c>
      <c r="J17" s="39">
        <f t="shared" si="12"/>
        <v>94.149248719885804</v>
      </c>
      <c r="K17" s="19">
        <v>0</v>
      </c>
      <c r="L17" s="19">
        <v>0</v>
      </c>
      <c r="M17" s="20">
        <f t="shared" si="9"/>
        <v>11.913</v>
      </c>
      <c r="N17" s="15">
        <v>0</v>
      </c>
      <c r="O17" s="19">
        <v>0</v>
      </c>
      <c r="P17" s="77">
        <v>124</v>
      </c>
      <c r="Q17" s="78">
        <v>555.36599999999999</v>
      </c>
      <c r="R17" s="39">
        <f t="shared" si="6"/>
        <v>56.896424546665301</v>
      </c>
      <c r="S17" s="20">
        <f t="shared" si="11"/>
        <v>0</v>
      </c>
      <c r="T17" s="32">
        <f t="shared" si="3"/>
        <v>-67.774000000000001</v>
      </c>
      <c r="U17" s="35">
        <f t="shared" si="4"/>
        <v>49.324257669922098</v>
      </c>
      <c r="W17" s="32">
        <f t="shared" si="5"/>
        <v>635.053</v>
      </c>
      <c r="X17" s="32">
        <f t="shared" si="10"/>
        <v>623.14</v>
      </c>
      <c r="Y17" s="32">
        <f t="shared" si="8"/>
        <v>-352.96</v>
      </c>
    </row>
    <row r="18" spans="1:25" ht="30.75" customHeight="1">
      <c r="A18" s="18">
        <v>44652</v>
      </c>
      <c r="B18" s="76">
        <v>123.85</v>
      </c>
      <c r="C18" s="75">
        <v>552.52300000000002</v>
      </c>
      <c r="D18" s="39">
        <f t="shared" si="0"/>
        <v>56.605163405388801</v>
      </c>
      <c r="E18" s="19">
        <v>0</v>
      </c>
      <c r="F18" s="39">
        <f t="shared" si="1"/>
        <v>0</v>
      </c>
      <c r="G18" s="20">
        <v>0.72</v>
      </c>
      <c r="H18" s="39">
        <f t="shared" si="13"/>
        <v>5.26469727990641</v>
      </c>
      <c r="I18" s="56">
        <v>12.956</v>
      </c>
      <c r="J18" s="39">
        <f t="shared" si="12"/>
        <v>94.7353027200936</v>
      </c>
      <c r="K18" s="19">
        <v>0</v>
      </c>
      <c r="L18" s="19">
        <v>0</v>
      </c>
      <c r="M18" s="20">
        <f t="shared" si="9"/>
        <v>13.676</v>
      </c>
      <c r="N18" s="15">
        <v>0</v>
      </c>
      <c r="O18" s="19">
        <v>0</v>
      </c>
      <c r="P18" s="77">
        <v>119.4</v>
      </c>
      <c r="Q18" s="78">
        <v>471.77</v>
      </c>
      <c r="R18" s="39">
        <f t="shared" si="6"/>
        <v>48.332138100604404</v>
      </c>
      <c r="S18" s="20">
        <f t="shared" si="11"/>
        <v>0</v>
      </c>
      <c r="T18" s="32">
        <f t="shared" si="3"/>
        <v>-67.076999999999998</v>
      </c>
      <c r="U18" s="35">
        <f t="shared" si="4"/>
        <v>51.224522203269103</v>
      </c>
      <c r="W18" s="32">
        <f t="shared" si="5"/>
        <v>552.52300000000002</v>
      </c>
      <c r="X18" s="32">
        <f t="shared" si="10"/>
        <v>538.84699999999998</v>
      </c>
      <c r="Y18" s="32">
        <f t="shared" si="8"/>
        <v>-437.25299999999999</v>
      </c>
    </row>
    <row r="19" spans="1:25" ht="30.75" customHeight="1">
      <c r="A19" s="18">
        <v>44682</v>
      </c>
      <c r="B19" s="76">
        <v>119.2</v>
      </c>
      <c r="C19" s="75">
        <v>468.29899999999998</v>
      </c>
      <c r="D19" s="39">
        <f t="shared" si="0"/>
        <v>47.976539289007299</v>
      </c>
      <c r="E19" s="19">
        <v>0</v>
      </c>
      <c r="F19" s="39">
        <f t="shared" si="1"/>
        <v>0</v>
      </c>
      <c r="G19" s="20">
        <v>0.92</v>
      </c>
      <c r="H19" s="39">
        <f t="shared" si="13"/>
        <v>20.056681927185501</v>
      </c>
      <c r="I19" s="56">
        <v>3.6669999999999998</v>
      </c>
      <c r="J19" s="39">
        <f t="shared" si="12"/>
        <v>79.943318072814506</v>
      </c>
      <c r="K19" s="19">
        <v>0</v>
      </c>
      <c r="L19" s="19">
        <v>0</v>
      </c>
      <c r="M19" s="20">
        <f t="shared" si="9"/>
        <v>4.5869999999999997</v>
      </c>
      <c r="N19" s="15">
        <v>0</v>
      </c>
      <c r="O19" s="19">
        <v>0</v>
      </c>
      <c r="P19" s="77">
        <v>114.2</v>
      </c>
      <c r="Q19" s="78">
        <v>387.31900000000002</v>
      </c>
      <c r="R19" s="39">
        <f t="shared" si="6"/>
        <v>39.680258170269397</v>
      </c>
      <c r="S19" s="20">
        <f t="shared" si="11"/>
        <v>0</v>
      </c>
      <c r="T19" s="32">
        <f t="shared" si="3"/>
        <v>-76.393000000000001</v>
      </c>
      <c r="U19" s="35">
        <f t="shared" si="4"/>
        <v>53.556987312349698</v>
      </c>
      <c r="W19" s="32">
        <f t="shared" si="5"/>
        <v>468.29899999999998</v>
      </c>
      <c r="X19" s="32">
        <f t="shared" si="10"/>
        <v>463.71199999999999</v>
      </c>
      <c r="Y19" s="32">
        <f t="shared" si="8"/>
        <v>-512.38800000000003</v>
      </c>
    </row>
    <row r="20" spans="1:25">
      <c r="A20" s="46" t="s">
        <v>28</v>
      </c>
      <c r="B20" s="28"/>
      <c r="C20" s="47"/>
      <c r="D20" s="47"/>
      <c r="E20" s="47"/>
      <c r="F20" s="48"/>
      <c r="G20" s="48"/>
      <c r="H20" s="50"/>
      <c r="I20" s="50"/>
      <c r="J20" s="47"/>
      <c r="K20" s="47"/>
      <c r="L20" s="47"/>
      <c r="M20" s="48"/>
      <c r="N20" s="57"/>
      <c r="O20" s="47"/>
      <c r="P20" s="57"/>
      <c r="Q20" s="57"/>
      <c r="R20" s="39">
        <f t="shared" si="6"/>
        <v>0</v>
      </c>
      <c r="S20" s="48"/>
    </row>
    <row r="21" spans="1:25">
      <c r="A21" s="49"/>
      <c r="B21" s="28"/>
      <c r="C21" s="47"/>
      <c r="D21" s="47"/>
      <c r="E21" s="47"/>
      <c r="F21" s="48"/>
      <c r="G21" s="48"/>
      <c r="H21" s="50"/>
      <c r="I21" s="50"/>
      <c r="J21" s="47"/>
      <c r="K21" s="47"/>
      <c r="L21" s="47"/>
      <c r="M21" s="48"/>
      <c r="N21" s="57"/>
      <c r="O21" s="47"/>
      <c r="P21" s="57"/>
      <c r="Q21" s="57"/>
      <c r="R21" s="48"/>
      <c r="S21" s="48"/>
    </row>
    <row r="22" spans="1:25">
      <c r="A22" s="49"/>
      <c r="B22" s="28"/>
      <c r="C22" s="47"/>
      <c r="D22" s="47"/>
      <c r="E22" s="47"/>
      <c r="F22" s="48"/>
      <c r="G22" s="48"/>
      <c r="H22" s="50"/>
      <c r="I22" s="50"/>
      <c r="J22" s="47"/>
      <c r="K22" s="47"/>
      <c r="L22" s="47"/>
      <c r="M22" s="48"/>
      <c r="N22" s="57"/>
      <c r="O22" s="47"/>
      <c r="P22" s="57"/>
      <c r="Q22" s="57"/>
      <c r="R22" s="48"/>
      <c r="S22" s="48"/>
    </row>
    <row r="23" spans="1:25">
      <c r="A23" s="49"/>
      <c r="B23" s="86" t="s">
        <v>29</v>
      </c>
      <c r="C23" s="86"/>
      <c r="D23" s="86"/>
      <c r="E23" s="86"/>
      <c r="F23" s="48"/>
      <c r="G23" s="48"/>
      <c r="H23" s="50"/>
      <c r="I23" s="50"/>
      <c r="J23" s="47"/>
      <c r="K23" s="47"/>
      <c r="L23" s="47"/>
      <c r="M23" s="48"/>
      <c r="N23" s="54"/>
      <c r="O23" s="86" t="s">
        <v>30</v>
      </c>
      <c r="P23" s="86"/>
      <c r="Q23" s="86"/>
      <c r="R23" s="52"/>
      <c r="S23" s="52"/>
    </row>
    <row r="24" spans="1:25">
      <c r="A24" s="49"/>
      <c r="B24" s="86" t="s">
        <v>31</v>
      </c>
      <c r="C24" s="86"/>
      <c r="D24" s="86"/>
      <c r="E24" s="86"/>
      <c r="F24" s="48"/>
      <c r="G24" s="48"/>
      <c r="H24" s="50"/>
      <c r="I24" s="50"/>
      <c r="J24" s="47"/>
      <c r="K24" s="47"/>
      <c r="L24" s="47"/>
      <c r="M24" s="48"/>
      <c r="N24" s="86" t="s">
        <v>32</v>
      </c>
      <c r="O24" s="86"/>
      <c r="P24" s="86"/>
      <c r="Q24" s="86"/>
      <c r="R24" s="86"/>
      <c r="S24" s="86"/>
    </row>
    <row r="25" spans="1:25">
      <c r="A25" s="49"/>
      <c r="B25" s="86" t="s">
        <v>33</v>
      </c>
      <c r="C25" s="86"/>
      <c r="D25" s="86"/>
      <c r="E25" s="86"/>
      <c r="F25" s="48"/>
      <c r="G25" s="48"/>
      <c r="H25" s="50"/>
      <c r="I25" s="50"/>
      <c r="J25" s="47"/>
      <c r="K25" s="47"/>
      <c r="L25" s="47"/>
      <c r="M25" s="48"/>
      <c r="N25" s="54"/>
      <c r="O25" s="86" t="s">
        <v>33</v>
      </c>
      <c r="P25" s="86"/>
      <c r="Q25" s="86"/>
      <c r="R25" s="52"/>
      <c r="S25" s="52"/>
    </row>
  </sheetData>
  <mergeCells count="22">
    <mergeCell ref="B25:E25"/>
    <mergeCell ref="O25:Q25"/>
    <mergeCell ref="A4:A6"/>
    <mergeCell ref="B4:B6"/>
    <mergeCell ref="C4:C6"/>
    <mergeCell ref="E5:E6"/>
    <mergeCell ref="G5:G6"/>
    <mergeCell ref="I5:I6"/>
    <mergeCell ref="K5:K6"/>
    <mergeCell ref="L5:L6"/>
    <mergeCell ref="M4:M6"/>
    <mergeCell ref="N4:N6"/>
    <mergeCell ref="O4:O6"/>
    <mergeCell ref="P4:P6"/>
    <mergeCell ref="Q4:Q6"/>
    <mergeCell ref="A1:S1"/>
    <mergeCell ref="E4:L4"/>
    <mergeCell ref="B23:E23"/>
    <mergeCell ref="O23:Q23"/>
    <mergeCell ref="B24:E24"/>
    <mergeCell ref="N24:S24"/>
    <mergeCell ref="S4:S6"/>
  </mergeCells>
  <printOptions horizontalCentered="1" verticalCentered="1"/>
  <pageMargins left="0.45" right="0.45" top="0.5" bottom="0.5" header="0.3" footer="0.3"/>
  <pageSetup scale="66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T26"/>
  <sheetViews>
    <sheetView topLeftCell="H8" workbookViewId="0">
      <selection activeCell="N8" sqref="N8:N19"/>
    </sheetView>
  </sheetViews>
  <sheetFormatPr defaultColWidth="9" defaultRowHeight="14.4"/>
  <cols>
    <col min="6" max="6" width="9.5546875" customWidth="1"/>
    <col min="7" max="7" width="12.5546875" customWidth="1"/>
    <col min="14" max="14" width="10.33203125" customWidth="1"/>
  </cols>
  <sheetData>
    <row r="1" spans="1:20" ht="18">
      <c r="A1" s="105" t="s">
        <v>86</v>
      </c>
      <c r="B1" s="105"/>
      <c r="C1" s="105"/>
      <c r="D1" s="105"/>
      <c r="E1" s="105"/>
      <c r="F1" s="105"/>
      <c r="G1" s="106"/>
      <c r="H1" s="106"/>
      <c r="I1" s="106"/>
      <c r="J1" s="106"/>
      <c r="K1" s="106"/>
      <c r="L1" s="106"/>
      <c r="M1" s="106"/>
      <c r="N1" s="106"/>
      <c r="O1" s="26"/>
    </row>
    <row r="2" spans="1:20" ht="18">
      <c r="A2" s="3" t="s">
        <v>1</v>
      </c>
      <c r="B2" s="80" t="s">
        <v>2</v>
      </c>
      <c r="C2" s="4"/>
      <c r="D2" s="4"/>
      <c r="E2" s="4"/>
      <c r="F2" s="3"/>
      <c r="G2" s="5"/>
      <c r="H2" s="2"/>
      <c r="I2" s="2"/>
      <c r="J2" s="2"/>
      <c r="K2" s="2"/>
      <c r="L2" s="2"/>
      <c r="M2" s="2"/>
      <c r="N2" s="2"/>
      <c r="O2" s="26"/>
    </row>
    <row r="3" spans="1:20" ht="18">
      <c r="A3" s="3" t="s">
        <v>3</v>
      </c>
      <c r="B3" s="80" t="s">
        <v>4</v>
      </c>
      <c r="C3" s="6"/>
      <c r="D3" s="6"/>
      <c r="E3" s="6"/>
      <c r="F3" s="6"/>
      <c r="G3" s="7"/>
      <c r="H3" s="8"/>
      <c r="I3" s="8"/>
      <c r="J3" s="8"/>
      <c r="K3" s="8"/>
      <c r="L3" s="8"/>
      <c r="M3" s="8"/>
      <c r="N3" s="8"/>
    </row>
    <row r="4" spans="1:20">
      <c r="A4" s="88" t="s">
        <v>5</v>
      </c>
      <c r="B4" s="87" t="s">
        <v>62</v>
      </c>
      <c r="C4" s="92" t="s">
        <v>63</v>
      </c>
      <c r="D4" s="113" t="s">
        <v>64</v>
      </c>
      <c r="E4" s="113"/>
      <c r="F4" s="113"/>
      <c r="G4" s="113"/>
      <c r="H4" s="113"/>
      <c r="I4" s="92" t="s">
        <v>65</v>
      </c>
      <c r="J4" s="92" t="s">
        <v>10</v>
      </c>
      <c r="K4" s="92" t="s">
        <v>11</v>
      </c>
      <c r="L4" s="107" t="s">
        <v>66</v>
      </c>
      <c r="M4" s="89" t="s">
        <v>67</v>
      </c>
      <c r="N4" s="92" t="s">
        <v>68</v>
      </c>
    </row>
    <row r="5" spans="1:20">
      <c r="A5" s="88"/>
      <c r="B5" s="87"/>
      <c r="C5" s="92"/>
      <c r="D5" s="114" t="s">
        <v>69</v>
      </c>
      <c r="E5" s="114" t="s">
        <v>16</v>
      </c>
      <c r="F5" s="114" t="s">
        <v>17</v>
      </c>
      <c r="G5" s="90" t="s">
        <v>70</v>
      </c>
      <c r="H5" s="91" t="s">
        <v>71</v>
      </c>
      <c r="I5" s="92"/>
      <c r="J5" s="102"/>
      <c r="K5" s="102"/>
      <c r="L5" s="108"/>
      <c r="M5" s="90"/>
      <c r="N5" s="92"/>
      <c r="O5" s="28"/>
    </row>
    <row r="6" spans="1:20" ht="90.75" customHeight="1">
      <c r="A6" s="88"/>
      <c r="B6" s="87"/>
      <c r="C6" s="92"/>
      <c r="D6" s="115"/>
      <c r="E6" s="115"/>
      <c r="F6" s="115"/>
      <c r="G6" s="91"/>
      <c r="H6" s="92"/>
      <c r="I6" s="92"/>
      <c r="J6" s="102"/>
      <c r="K6" s="102"/>
      <c r="L6" s="109"/>
      <c r="M6" s="91"/>
      <c r="N6" s="92"/>
      <c r="O6" s="28"/>
      <c r="Q6" s="29" t="s">
        <v>20</v>
      </c>
    </row>
    <row r="7" spans="1:20">
      <c r="A7" s="15">
        <v>1</v>
      </c>
      <c r="B7" s="16">
        <v>2</v>
      </c>
      <c r="C7" s="15">
        <v>3</v>
      </c>
      <c r="D7" s="15">
        <v>4</v>
      </c>
      <c r="E7" s="15">
        <v>5</v>
      </c>
      <c r="F7" s="15">
        <v>6</v>
      </c>
      <c r="G7" s="17">
        <v>7</v>
      </c>
      <c r="H7" s="17">
        <v>8</v>
      </c>
      <c r="I7" s="17">
        <v>9</v>
      </c>
      <c r="J7" s="17">
        <v>10</v>
      </c>
      <c r="K7" s="17">
        <v>11</v>
      </c>
      <c r="L7" s="17">
        <v>12</v>
      </c>
      <c r="M7" s="17">
        <v>13</v>
      </c>
      <c r="N7" s="17">
        <v>14</v>
      </c>
      <c r="O7" s="28"/>
    </row>
    <row r="8" spans="1:20" ht="30.75" customHeight="1">
      <c r="A8" s="18">
        <v>37773</v>
      </c>
      <c r="B8" s="19">
        <v>104.18</v>
      </c>
      <c r="C8" s="19">
        <v>250.06399999999999</v>
      </c>
      <c r="D8" s="20">
        <v>25.6</v>
      </c>
      <c r="E8" s="20">
        <v>0</v>
      </c>
      <c r="F8" s="20">
        <v>0</v>
      </c>
      <c r="G8" s="20">
        <v>0</v>
      </c>
      <c r="H8" s="96" t="s">
        <v>57</v>
      </c>
      <c r="I8" s="19">
        <f>D8+E8+F8+G8+0</f>
        <v>25.6</v>
      </c>
      <c r="J8" s="96" t="s">
        <v>57</v>
      </c>
      <c r="K8" s="19">
        <v>0</v>
      </c>
      <c r="L8" s="19">
        <v>106.85</v>
      </c>
      <c r="M8" s="19">
        <v>283.59899999999999</v>
      </c>
      <c r="N8" s="19">
        <v>59.134999999999998</v>
      </c>
      <c r="O8" s="28"/>
      <c r="Q8" s="35">
        <f t="shared" ref="Q8:Q19" si="0">(15000000/(2725*0.9*L8))</f>
        <v>57.241066458309199</v>
      </c>
      <c r="R8" s="32">
        <f>E8+P8-L8</f>
        <v>-106.85</v>
      </c>
      <c r="S8" s="32" t="e">
        <f>R8-H8-K8</f>
        <v>#VALUE!</v>
      </c>
      <c r="T8" s="32">
        <f>R8-K8-976.1</f>
        <v>-1082.95</v>
      </c>
    </row>
    <row r="9" spans="1:20" ht="30.75" customHeight="1">
      <c r="A9" s="18">
        <v>37803</v>
      </c>
      <c r="B9" s="19">
        <v>107.45</v>
      </c>
      <c r="C9" s="19">
        <v>291.45499999999998</v>
      </c>
      <c r="D9" s="20">
        <v>0</v>
      </c>
      <c r="E9" s="20">
        <v>0</v>
      </c>
      <c r="F9" s="20">
        <v>0</v>
      </c>
      <c r="G9" s="19">
        <v>0</v>
      </c>
      <c r="H9" s="97"/>
      <c r="I9" s="19">
        <f t="shared" ref="I9:I19" si="1">D9+E9+F9+G9+H9</f>
        <v>0</v>
      </c>
      <c r="J9" s="97"/>
      <c r="K9" s="19">
        <v>0</v>
      </c>
      <c r="L9" s="19">
        <v>127.6</v>
      </c>
      <c r="M9" s="19">
        <v>627.72400000000005</v>
      </c>
      <c r="N9" s="19">
        <f t="shared" ref="N9:N19" si="2">IF((M9-C9)+I9+J9+K9&gt;0,(M9-C9)+I9+J9+K9,0)</f>
        <v>336.26900000000001</v>
      </c>
      <c r="O9" s="28"/>
      <c r="Q9" s="35">
        <f t="shared" si="0"/>
        <v>47.932664193341203</v>
      </c>
    </row>
    <row r="10" spans="1:20" ht="30.75" customHeight="1">
      <c r="A10" s="18">
        <v>37834</v>
      </c>
      <c r="B10" s="19">
        <v>127.8</v>
      </c>
      <c r="C10" s="19">
        <v>631.38800000000003</v>
      </c>
      <c r="D10" s="20">
        <v>13.1</v>
      </c>
      <c r="E10" s="20">
        <v>0</v>
      </c>
      <c r="F10" s="20">
        <v>0</v>
      </c>
      <c r="G10" s="19">
        <v>49.262</v>
      </c>
      <c r="H10" s="97"/>
      <c r="I10" s="19">
        <f t="shared" si="1"/>
        <v>62.362000000000002</v>
      </c>
      <c r="J10" s="97"/>
      <c r="K10" s="19">
        <v>0</v>
      </c>
      <c r="L10" s="19">
        <v>134.1</v>
      </c>
      <c r="M10" s="19">
        <v>771.70699999999999</v>
      </c>
      <c r="N10" s="19">
        <f t="shared" si="2"/>
        <v>202.68100000000001</v>
      </c>
      <c r="O10" s="28"/>
      <c r="Q10" s="35">
        <f t="shared" si="0"/>
        <v>45.609306122821302</v>
      </c>
    </row>
    <row r="11" spans="1:20" ht="30.75" customHeight="1">
      <c r="A11" s="18">
        <v>37865</v>
      </c>
      <c r="B11" s="19">
        <v>134</v>
      </c>
      <c r="C11" s="19">
        <v>769.30100000000004</v>
      </c>
      <c r="D11" s="20">
        <v>42</v>
      </c>
      <c r="E11" s="20">
        <v>0</v>
      </c>
      <c r="F11" s="20">
        <v>0</v>
      </c>
      <c r="G11" s="19">
        <v>172.34</v>
      </c>
      <c r="H11" s="97"/>
      <c r="I11" s="19">
        <f t="shared" si="1"/>
        <v>214.34</v>
      </c>
      <c r="J11" s="97"/>
      <c r="K11" s="19">
        <v>0</v>
      </c>
      <c r="L11" s="19">
        <v>134</v>
      </c>
      <c r="M11" s="19">
        <v>769.30100000000004</v>
      </c>
      <c r="N11" s="19">
        <f t="shared" si="2"/>
        <v>214.34</v>
      </c>
      <c r="O11" s="28"/>
      <c r="Q11" s="35">
        <f t="shared" si="0"/>
        <v>45.643342918435302</v>
      </c>
    </row>
    <row r="12" spans="1:20" ht="30.75" customHeight="1">
      <c r="A12" s="18">
        <v>37895</v>
      </c>
      <c r="B12" s="19">
        <v>134</v>
      </c>
      <c r="C12" s="19">
        <v>769.30100000000004</v>
      </c>
      <c r="D12" s="20">
        <v>34.85</v>
      </c>
      <c r="E12" s="20">
        <v>0</v>
      </c>
      <c r="F12" s="20">
        <v>0</v>
      </c>
      <c r="G12" s="19">
        <v>39.488</v>
      </c>
      <c r="H12" s="97"/>
      <c r="I12" s="19">
        <f t="shared" si="1"/>
        <v>74.337999999999994</v>
      </c>
      <c r="J12" s="97"/>
      <c r="K12" s="19">
        <v>0</v>
      </c>
      <c r="L12" s="19">
        <v>131.85</v>
      </c>
      <c r="M12" s="19">
        <v>719.50199999999995</v>
      </c>
      <c r="N12" s="19">
        <f t="shared" si="2"/>
        <v>24.538999999999898</v>
      </c>
      <c r="O12" s="28"/>
      <c r="Q12" s="35">
        <f t="shared" si="0"/>
        <v>46.387621926964997</v>
      </c>
    </row>
    <row r="13" spans="1:20" ht="30.75" customHeight="1">
      <c r="A13" s="18">
        <v>37926</v>
      </c>
      <c r="B13" s="19">
        <v>131.75</v>
      </c>
      <c r="C13" s="19">
        <v>717.25</v>
      </c>
      <c r="D13" s="20">
        <v>45</v>
      </c>
      <c r="E13" s="20">
        <v>0</v>
      </c>
      <c r="F13" s="20">
        <v>0</v>
      </c>
      <c r="G13" s="19">
        <v>0</v>
      </c>
      <c r="H13" s="97"/>
      <c r="I13" s="19">
        <f t="shared" si="1"/>
        <v>45</v>
      </c>
      <c r="J13" s="97"/>
      <c r="K13" s="19">
        <v>0</v>
      </c>
      <c r="L13" s="19">
        <v>129.15</v>
      </c>
      <c r="M13" s="19">
        <v>659.94399999999996</v>
      </c>
      <c r="N13" s="19">
        <f t="shared" si="2"/>
        <v>0</v>
      </c>
      <c r="O13" s="28"/>
      <c r="Q13" s="35">
        <f t="shared" si="0"/>
        <v>47.3573979951246</v>
      </c>
    </row>
    <row r="14" spans="1:20" ht="30.75" customHeight="1">
      <c r="A14" s="18">
        <v>37956</v>
      </c>
      <c r="B14" s="19">
        <v>129.05000000000001</v>
      </c>
      <c r="C14" s="19">
        <v>657.774</v>
      </c>
      <c r="D14" s="20">
        <f>27.9+49.1</f>
        <v>77</v>
      </c>
      <c r="E14" s="20">
        <v>0</v>
      </c>
      <c r="F14" s="20">
        <v>8</v>
      </c>
      <c r="G14" s="19">
        <v>0</v>
      </c>
      <c r="H14" s="97"/>
      <c r="I14" s="19">
        <f t="shared" si="1"/>
        <v>85</v>
      </c>
      <c r="J14" s="97"/>
      <c r="K14" s="19">
        <v>0</v>
      </c>
      <c r="L14" s="19">
        <v>125.85</v>
      </c>
      <c r="M14" s="19">
        <v>591.58699999999999</v>
      </c>
      <c r="N14" s="19">
        <f t="shared" si="2"/>
        <v>18.812999999999999</v>
      </c>
      <c r="O14" s="28"/>
      <c r="Q14" s="35">
        <f t="shared" si="0"/>
        <v>48.599189122529502</v>
      </c>
    </row>
    <row r="15" spans="1:20" ht="30.75" customHeight="1">
      <c r="A15" s="18">
        <v>37987</v>
      </c>
      <c r="B15" s="19">
        <v>125.7</v>
      </c>
      <c r="C15" s="19">
        <v>588.61800000000005</v>
      </c>
      <c r="D15" s="20">
        <v>51.7</v>
      </c>
      <c r="E15" s="20">
        <v>0</v>
      </c>
      <c r="F15" s="20">
        <v>15.468999999999999</v>
      </c>
      <c r="G15" s="19">
        <v>0</v>
      </c>
      <c r="H15" s="97"/>
      <c r="I15" s="19">
        <f t="shared" si="1"/>
        <v>67.168999999999997</v>
      </c>
      <c r="J15" s="97"/>
      <c r="K15" s="19">
        <v>0</v>
      </c>
      <c r="L15" s="19">
        <v>122.21</v>
      </c>
      <c r="M15" s="19">
        <v>521.68600000000004</v>
      </c>
      <c r="N15" s="19">
        <f t="shared" si="2"/>
        <v>0.236999999999981</v>
      </c>
      <c r="O15" s="28"/>
      <c r="Q15" s="35">
        <f t="shared" si="0"/>
        <v>50.0467060884571</v>
      </c>
    </row>
    <row r="16" spans="1:20" ht="30.75" customHeight="1">
      <c r="A16" s="18">
        <v>38018</v>
      </c>
      <c r="B16" s="19">
        <v>122.09</v>
      </c>
      <c r="C16" s="19">
        <v>519.51400000000001</v>
      </c>
      <c r="D16" s="20">
        <v>42.9</v>
      </c>
      <c r="E16" s="20">
        <v>0</v>
      </c>
      <c r="F16" s="20">
        <v>15.97</v>
      </c>
      <c r="G16" s="19">
        <v>0</v>
      </c>
      <c r="H16" s="97"/>
      <c r="I16" s="19">
        <f t="shared" si="1"/>
        <v>58.87</v>
      </c>
      <c r="J16" s="97"/>
      <c r="K16" s="19">
        <v>0</v>
      </c>
      <c r="L16" s="19">
        <v>118.8</v>
      </c>
      <c r="M16" s="19">
        <v>461.45</v>
      </c>
      <c r="N16" s="19">
        <f t="shared" si="2"/>
        <v>0.80599999999997596</v>
      </c>
      <c r="O16" s="28"/>
      <c r="Q16" s="35">
        <f t="shared" si="0"/>
        <v>51.483231911366502</v>
      </c>
    </row>
    <row r="17" spans="1:17" ht="30.75" customHeight="1">
      <c r="A17" s="18">
        <v>38047</v>
      </c>
      <c r="B17" s="19">
        <v>118.68</v>
      </c>
      <c r="C17" s="19">
        <v>459.423</v>
      </c>
      <c r="D17" s="20">
        <v>44.7</v>
      </c>
      <c r="E17" s="20">
        <v>0</v>
      </c>
      <c r="F17" s="20">
        <v>14.82</v>
      </c>
      <c r="G17" s="19">
        <v>0</v>
      </c>
      <c r="H17" s="97"/>
      <c r="I17" s="19">
        <f t="shared" si="1"/>
        <v>59.52</v>
      </c>
      <c r="J17" s="97"/>
      <c r="K17" s="19">
        <v>0</v>
      </c>
      <c r="L17" s="19">
        <v>114.62</v>
      </c>
      <c r="M17" s="19">
        <v>393.83199999999999</v>
      </c>
      <c r="N17" s="19">
        <f t="shared" si="2"/>
        <v>0</v>
      </c>
      <c r="Q17" s="35">
        <f t="shared" si="0"/>
        <v>53.360739409093803</v>
      </c>
    </row>
    <row r="18" spans="1:17" ht="30.75" customHeight="1">
      <c r="A18" s="18">
        <v>38078</v>
      </c>
      <c r="B18" s="19">
        <v>114.48</v>
      </c>
      <c r="C18" s="19">
        <v>391.661</v>
      </c>
      <c r="D18" s="20">
        <v>44.4</v>
      </c>
      <c r="E18" s="20">
        <v>0</v>
      </c>
      <c r="F18" s="20">
        <v>15.63</v>
      </c>
      <c r="G18" s="19">
        <v>0</v>
      </c>
      <c r="H18" s="97"/>
      <c r="I18" s="19">
        <f t="shared" si="1"/>
        <v>60.03</v>
      </c>
      <c r="J18" s="97"/>
      <c r="K18" s="19">
        <v>0</v>
      </c>
      <c r="L18" s="19">
        <v>110.3</v>
      </c>
      <c r="M18" s="19">
        <v>330.28300000000002</v>
      </c>
      <c r="N18" s="19">
        <f t="shared" si="2"/>
        <v>0</v>
      </c>
      <c r="Q18" s="35">
        <f t="shared" si="0"/>
        <v>55.450661387763702</v>
      </c>
    </row>
    <row r="19" spans="1:17" ht="30.75" customHeight="1">
      <c r="A19" s="18">
        <v>38108</v>
      </c>
      <c r="B19" s="19">
        <v>110.15</v>
      </c>
      <c r="C19" s="19">
        <v>328.19499999999999</v>
      </c>
      <c r="D19" s="20">
        <v>50.39</v>
      </c>
      <c r="E19" s="20">
        <v>0</v>
      </c>
      <c r="F19" s="20">
        <v>10.6</v>
      </c>
      <c r="G19" s="19">
        <v>0</v>
      </c>
      <c r="H19" s="98"/>
      <c r="I19" s="19">
        <f t="shared" si="1"/>
        <v>60.99</v>
      </c>
      <c r="J19" s="98"/>
      <c r="K19" s="19">
        <v>0</v>
      </c>
      <c r="L19" s="19">
        <v>105.22</v>
      </c>
      <c r="M19" s="19">
        <v>263.029</v>
      </c>
      <c r="N19" s="19">
        <f t="shared" si="2"/>
        <v>0</v>
      </c>
      <c r="Q19" s="35">
        <f t="shared" si="0"/>
        <v>58.127807936422101</v>
      </c>
    </row>
    <row r="20" spans="1:17">
      <c r="A20" s="21" t="s">
        <v>72</v>
      </c>
      <c r="B20" s="110" t="s">
        <v>73</v>
      </c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</row>
    <row r="21" spans="1:17">
      <c r="A21" s="21"/>
      <c r="B21" s="23"/>
      <c r="C21" s="21"/>
      <c r="D21" s="21"/>
      <c r="E21" s="21"/>
      <c r="F21" s="21"/>
      <c r="G21" s="24"/>
      <c r="H21" s="21"/>
      <c r="I21" s="21"/>
      <c r="J21" s="21"/>
      <c r="K21" s="21"/>
      <c r="L21" s="21"/>
      <c r="M21" s="21"/>
      <c r="N21" s="21"/>
    </row>
    <row r="22" spans="1:17">
      <c r="A22" s="21"/>
      <c r="B22" s="23"/>
      <c r="C22" s="21"/>
      <c r="D22" s="21"/>
      <c r="E22" s="21"/>
      <c r="F22" s="21"/>
      <c r="G22" s="24"/>
      <c r="H22" s="21"/>
      <c r="I22" s="21"/>
      <c r="J22" s="21"/>
      <c r="K22" s="21"/>
      <c r="L22" s="21"/>
      <c r="M22" s="21"/>
      <c r="N22" s="21"/>
    </row>
    <row r="23" spans="1:17">
      <c r="A23" s="21"/>
      <c r="B23" s="23"/>
      <c r="C23" s="21"/>
      <c r="D23" s="21"/>
      <c r="E23" s="21"/>
      <c r="F23" s="21"/>
      <c r="G23" s="24"/>
      <c r="H23" s="21"/>
      <c r="I23" s="21"/>
      <c r="J23" s="21"/>
      <c r="K23" s="21"/>
      <c r="L23" s="21"/>
      <c r="M23" s="21"/>
      <c r="N23" s="21"/>
    </row>
    <row r="24" spans="1:17" ht="18">
      <c r="A24" s="21"/>
      <c r="B24" s="23"/>
      <c r="C24" s="1" t="s">
        <v>29</v>
      </c>
      <c r="D24" s="21"/>
      <c r="E24" s="21"/>
      <c r="F24" s="1"/>
      <c r="G24" s="24"/>
      <c r="H24" s="25"/>
      <c r="I24" s="25"/>
      <c r="J24" s="1" t="s">
        <v>30</v>
      </c>
      <c r="K24" s="25"/>
      <c r="L24" s="25"/>
      <c r="M24" s="25"/>
      <c r="N24" s="25"/>
    </row>
    <row r="25" spans="1:17">
      <c r="A25" s="21"/>
      <c r="B25" s="23"/>
      <c r="C25" s="21" t="s">
        <v>74</v>
      </c>
      <c r="D25" s="21"/>
      <c r="E25" s="21"/>
      <c r="F25" s="21"/>
      <c r="G25" s="24"/>
      <c r="H25" s="25"/>
      <c r="I25" s="25"/>
      <c r="J25" s="21" t="s">
        <v>75</v>
      </c>
      <c r="K25" s="25"/>
      <c r="L25" s="25"/>
      <c r="M25" s="25"/>
      <c r="N25" s="25"/>
    </row>
    <row r="26" spans="1:17">
      <c r="A26" s="21"/>
      <c r="B26" s="23"/>
      <c r="C26" s="21" t="s">
        <v>33</v>
      </c>
      <c r="D26" s="21"/>
      <c r="E26" s="21"/>
      <c r="F26" s="21"/>
      <c r="G26" s="24"/>
      <c r="H26" s="25"/>
      <c r="I26" s="99" t="s">
        <v>33</v>
      </c>
      <c r="J26" s="99"/>
      <c r="K26" s="99"/>
      <c r="L26" s="25"/>
      <c r="M26" s="25"/>
      <c r="N26" s="25"/>
    </row>
  </sheetData>
  <mergeCells count="20">
    <mergeCell ref="M4:M6"/>
    <mergeCell ref="N4:N6"/>
    <mergeCell ref="A1:N1"/>
    <mergeCell ref="D4:H4"/>
    <mergeCell ref="B20:N20"/>
    <mergeCell ref="I26:K26"/>
    <mergeCell ref="A4:A6"/>
    <mergeCell ref="B4:B6"/>
    <mergeCell ref="C4:C6"/>
    <mergeCell ref="D5:D6"/>
    <mergeCell ref="E5:E6"/>
    <mergeCell ref="F5:F6"/>
    <mergeCell ref="G5:G6"/>
    <mergeCell ref="H5:H6"/>
    <mergeCell ref="H8:H19"/>
    <mergeCell ref="I4:I6"/>
    <mergeCell ref="J4:J6"/>
    <mergeCell ref="J8:J19"/>
    <mergeCell ref="K4:K6"/>
    <mergeCell ref="L4:L6"/>
  </mergeCells>
  <printOptions horizontalCentered="1" verticalCentered="1"/>
  <pageMargins left="0.2" right="0.2" top="0.25" bottom="0.25" header="0.3" footer="0.3"/>
  <pageSetup scale="85"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T26"/>
  <sheetViews>
    <sheetView tabSelected="1" topLeftCell="G7" workbookViewId="0">
      <selection activeCell="P7" sqref="P7"/>
    </sheetView>
  </sheetViews>
  <sheetFormatPr defaultColWidth="9" defaultRowHeight="14.4"/>
  <cols>
    <col min="6" max="6" width="9.5546875" customWidth="1"/>
    <col min="7" max="7" width="12.5546875" customWidth="1"/>
    <col min="14" max="14" width="10.33203125" customWidth="1"/>
  </cols>
  <sheetData>
    <row r="1" spans="1:20" ht="18">
      <c r="A1" s="105" t="s">
        <v>87</v>
      </c>
      <c r="B1" s="105"/>
      <c r="C1" s="105"/>
      <c r="D1" s="105"/>
      <c r="E1" s="105"/>
      <c r="F1" s="105"/>
      <c r="G1" s="106"/>
      <c r="H1" s="106"/>
      <c r="I1" s="106"/>
      <c r="J1" s="106"/>
      <c r="K1" s="106"/>
      <c r="L1" s="106"/>
      <c r="M1" s="106"/>
      <c r="N1" s="106"/>
      <c r="O1" s="26"/>
    </row>
    <row r="2" spans="1:20" ht="18">
      <c r="A2" s="3" t="s">
        <v>1</v>
      </c>
      <c r="B2" s="80" t="s">
        <v>2</v>
      </c>
      <c r="C2" s="4"/>
      <c r="D2" s="4"/>
      <c r="E2" s="4"/>
      <c r="F2" s="3"/>
      <c r="G2" s="5"/>
      <c r="H2" s="2"/>
      <c r="I2" s="2"/>
      <c r="J2" s="2"/>
      <c r="K2" s="2"/>
      <c r="L2" s="2"/>
      <c r="M2" s="2"/>
      <c r="N2" s="2"/>
      <c r="O2" s="26"/>
    </row>
    <row r="3" spans="1:20" ht="18">
      <c r="A3" s="3" t="s">
        <v>3</v>
      </c>
      <c r="B3" s="80" t="s">
        <v>4</v>
      </c>
      <c r="C3" s="6"/>
      <c r="D3" s="6"/>
      <c r="E3" s="6"/>
      <c r="F3" s="6"/>
      <c r="G3" s="7"/>
      <c r="H3" s="8"/>
      <c r="I3" s="8"/>
      <c r="J3" s="8"/>
      <c r="K3" s="8"/>
      <c r="L3" s="8"/>
      <c r="M3" s="8"/>
      <c r="N3" s="8"/>
    </row>
    <row r="4" spans="1:20">
      <c r="A4" s="88" t="s">
        <v>5</v>
      </c>
      <c r="B4" s="87" t="s">
        <v>62</v>
      </c>
      <c r="C4" s="92" t="s">
        <v>63</v>
      </c>
      <c r="D4" s="113" t="s">
        <v>64</v>
      </c>
      <c r="E4" s="113"/>
      <c r="F4" s="113"/>
      <c r="G4" s="113"/>
      <c r="H4" s="113"/>
      <c r="I4" s="92" t="s">
        <v>65</v>
      </c>
      <c r="J4" s="92" t="s">
        <v>10</v>
      </c>
      <c r="K4" s="92" t="s">
        <v>11</v>
      </c>
      <c r="L4" s="107" t="s">
        <v>66</v>
      </c>
      <c r="M4" s="89" t="s">
        <v>67</v>
      </c>
      <c r="N4" s="92" t="s">
        <v>68</v>
      </c>
    </row>
    <row r="5" spans="1:20">
      <c r="A5" s="88"/>
      <c r="B5" s="87"/>
      <c r="C5" s="92"/>
      <c r="D5" s="114" t="s">
        <v>69</v>
      </c>
      <c r="E5" s="114" t="s">
        <v>16</v>
      </c>
      <c r="F5" s="114" t="s">
        <v>17</v>
      </c>
      <c r="G5" s="90" t="s">
        <v>70</v>
      </c>
      <c r="H5" s="91" t="s">
        <v>71</v>
      </c>
      <c r="I5" s="92"/>
      <c r="J5" s="102"/>
      <c r="K5" s="102"/>
      <c r="L5" s="108"/>
      <c r="M5" s="90"/>
      <c r="N5" s="92"/>
      <c r="O5" s="28"/>
    </row>
    <row r="6" spans="1:20" ht="91.5" customHeight="1">
      <c r="A6" s="88"/>
      <c r="B6" s="87"/>
      <c r="C6" s="92"/>
      <c r="D6" s="115"/>
      <c r="E6" s="115"/>
      <c r="F6" s="115"/>
      <c r="G6" s="91"/>
      <c r="H6" s="92"/>
      <c r="I6" s="92"/>
      <c r="J6" s="102"/>
      <c r="K6" s="102"/>
      <c r="L6" s="109"/>
      <c r="M6" s="91"/>
      <c r="N6" s="92"/>
      <c r="O6" s="28"/>
      <c r="Q6" s="29" t="s">
        <v>20</v>
      </c>
    </row>
    <row r="7" spans="1:20">
      <c r="A7" s="15">
        <v>1</v>
      </c>
      <c r="B7" s="16">
        <v>2</v>
      </c>
      <c r="C7" s="15">
        <v>3</v>
      </c>
      <c r="D7" s="15">
        <v>4</v>
      </c>
      <c r="E7" s="15">
        <v>5</v>
      </c>
      <c r="F7" s="15">
        <v>6</v>
      </c>
      <c r="G7" s="17">
        <v>7</v>
      </c>
      <c r="H7" s="17">
        <v>8</v>
      </c>
      <c r="I7" s="17">
        <v>9</v>
      </c>
      <c r="J7" s="17">
        <v>10</v>
      </c>
      <c r="K7" s="17">
        <v>11</v>
      </c>
      <c r="L7" s="17">
        <v>12</v>
      </c>
      <c r="M7" s="17">
        <v>13</v>
      </c>
      <c r="N7" s="17">
        <v>14</v>
      </c>
      <c r="O7" s="28"/>
    </row>
    <row r="8" spans="1:20" ht="30.75" customHeight="1">
      <c r="A8" s="18">
        <v>37408</v>
      </c>
      <c r="B8" s="19">
        <v>107.3</v>
      </c>
      <c r="C8" s="19">
        <v>289.48</v>
      </c>
      <c r="D8" s="20">
        <v>31.8</v>
      </c>
      <c r="E8" s="20">
        <v>0</v>
      </c>
      <c r="F8" s="20">
        <v>0</v>
      </c>
      <c r="G8" s="20">
        <v>0</v>
      </c>
      <c r="H8" s="96" t="s">
        <v>57</v>
      </c>
      <c r="I8" s="19">
        <f>D8+E8+F8+G8+0</f>
        <v>31.8</v>
      </c>
      <c r="J8" s="96" t="s">
        <v>57</v>
      </c>
      <c r="K8" s="19">
        <v>0</v>
      </c>
      <c r="L8" s="19">
        <v>117.8</v>
      </c>
      <c r="M8" s="19">
        <v>444.63900000000001</v>
      </c>
      <c r="N8" s="19">
        <v>186.959</v>
      </c>
      <c r="O8" s="28"/>
      <c r="Q8" s="35">
        <f t="shared" ref="Q8:Q19" si="0">(15000000/(2725*0.9*L8))</f>
        <v>51.920271231496898</v>
      </c>
      <c r="R8" s="32">
        <f>E8+P8-L8</f>
        <v>-117.8</v>
      </c>
      <c r="S8" s="32" t="e">
        <f>R8-H8-K8</f>
        <v>#VALUE!</v>
      </c>
      <c r="T8" s="32">
        <f>R8-K8-976.1</f>
        <v>-1093.9000000000001</v>
      </c>
    </row>
    <row r="9" spans="1:20" ht="30.75" customHeight="1">
      <c r="A9" s="18">
        <v>37438</v>
      </c>
      <c r="B9" s="19">
        <v>118.25</v>
      </c>
      <c r="C9" s="19">
        <v>452.16199999999998</v>
      </c>
      <c r="D9" s="20">
        <v>11.7</v>
      </c>
      <c r="E9" s="20">
        <v>0</v>
      </c>
      <c r="F9" s="20">
        <v>0</v>
      </c>
      <c r="G9" s="19">
        <v>0</v>
      </c>
      <c r="H9" s="97"/>
      <c r="I9" s="19">
        <f t="shared" ref="I9:I19" si="1">D9+E9+F9+G9+H9</f>
        <v>11.7</v>
      </c>
      <c r="J9" s="97"/>
      <c r="K9" s="19">
        <v>0</v>
      </c>
      <c r="L9" s="19">
        <v>122.2</v>
      </c>
      <c r="M9" s="19">
        <v>521.59</v>
      </c>
      <c r="N9" s="19">
        <f t="shared" ref="N9:N19" si="2">IF((M9-C9)+I9+J9+K9&gt;0,(M9-C9)+I9+J9+K9,0)</f>
        <v>81.128000000000057</v>
      </c>
      <c r="O9" s="28"/>
      <c r="Q9" s="35">
        <f t="shared" si="0"/>
        <v>50.050801563587001</v>
      </c>
    </row>
    <row r="10" spans="1:20" ht="30.75" customHeight="1">
      <c r="A10" s="18">
        <v>37469</v>
      </c>
      <c r="B10" s="19">
        <v>122.25</v>
      </c>
      <c r="C10" s="19">
        <v>522.51700000000005</v>
      </c>
      <c r="D10" s="20">
        <v>0</v>
      </c>
      <c r="E10" s="20">
        <v>0</v>
      </c>
      <c r="F10" s="20">
        <v>0</v>
      </c>
      <c r="G10" s="19">
        <v>18.38</v>
      </c>
      <c r="H10" s="97"/>
      <c r="I10" s="19">
        <f t="shared" si="1"/>
        <v>18.38</v>
      </c>
      <c r="J10" s="97"/>
      <c r="K10" s="19">
        <v>0</v>
      </c>
      <c r="L10" s="19">
        <v>133.55000000000001</v>
      </c>
      <c r="M10" s="19">
        <v>758.75300000000004</v>
      </c>
      <c r="N10" s="19">
        <f t="shared" si="2"/>
        <v>254.61599999999999</v>
      </c>
      <c r="O10" s="28"/>
      <c r="Q10" s="35">
        <f t="shared" si="0"/>
        <v>45.797139281694797</v>
      </c>
    </row>
    <row r="11" spans="1:20" ht="30.75" customHeight="1">
      <c r="A11" s="18">
        <v>37500</v>
      </c>
      <c r="B11" s="19">
        <v>133.6</v>
      </c>
      <c r="C11" s="19">
        <v>759.92499999999995</v>
      </c>
      <c r="D11" s="20">
        <v>13.1</v>
      </c>
      <c r="E11" s="20">
        <v>0</v>
      </c>
      <c r="F11" s="20">
        <v>0</v>
      </c>
      <c r="G11" s="19">
        <v>89.888999999999996</v>
      </c>
      <c r="H11" s="97"/>
      <c r="I11" s="19">
        <f t="shared" si="1"/>
        <v>102.98899999999999</v>
      </c>
      <c r="J11" s="97"/>
      <c r="K11" s="19">
        <v>0</v>
      </c>
      <c r="L11" s="19">
        <v>132.65</v>
      </c>
      <c r="M11" s="19">
        <v>737.81799999999998</v>
      </c>
      <c r="N11" s="19">
        <f t="shared" si="2"/>
        <v>80.882000000000019</v>
      </c>
      <c r="O11" s="28"/>
      <c r="Q11" s="35">
        <f t="shared" si="0"/>
        <v>46.1078624279709</v>
      </c>
    </row>
    <row r="12" spans="1:20" ht="30.75" customHeight="1">
      <c r="A12" s="18">
        <v>37530</v>
      </c>
      <c r="B12" s="19">
        <v>132.6</v>
      </c>
      <c r="C12" s="19">
        <v>736.66899999999998</v>
      </c>
      <c r="D12" s="20">
        <v>28.7</v>
      </c>
      <c r="E12" s="20">
        <v>0</v>
      </c>
      <c r="F12" s="20">
        <v>19.399999999999999</v>
      </c>
      <c r="G12" s="19">
        <v>0</v>
      </c>
      <c r="H12" s="97"/>
      <c r="I12" s="19">
        <f t="shared" si="1"/>
        <v>48.099999999999994</v>
      </c>
      <c r="J12" s="97"/>
      <c r="K12" s="19">
        <v>0</v>
      </c>
      <c r="L12" s="19">
        <v>130.5</v>
      </c>
      <c r="M12" s="19">
        <v>689.37099999999998</v>
      </c>
      <c r="N12" s="19">
        <f t="shared" si="2"/>
        <v>0.8019999999999925</v>
      </c>
      <c r="O12" s="28"/>
      <c r="Q12" s="35">
        <f t="shared" si="0"/>
        <v>46.867493877933597</v>
      </c>
    </row>
    <row r="13" spans="1:20" ht="30.75" customHeight="1">
      <c r="A13" s="18">
        <v>37561</v>
      </c>
      <c r="B13" s="19">
        <v>130.4</v>
      </c>
      <c r="C13" s="19">
        <v>687.17399999999998</v>
      </c>
      <c r="D13" s="20">
        <v>45</v>
      </c>
      <c r="E13" s="20">
        <v>0</v>
      </c>
      <c r="F13" s="20">
        <v>0</v>
      </c>
      <c r="G13" s="19">
        <v>0</v>
      </c>
      <c r="H13" s="97"/>
      <c r="I13" s="19">
        <f t="shared" si="1"/>
        <v>45</v>
      </c>
      <c r="J13" s="97"/>
      <c r="K13" s="19">
        <v>0</v>
      </c>
      <c r="L13" s="19">
        <v>127.74</v>
      </c>
      <c r="M13" s="19">
        <v>630.14499999999998</v>
      </c>
      <c r="N13" s="19">
        <f t="shared" si="2"/>
        <v>0</v>
      </c>
      <c r="O13" s="28"/>
      <c r="Q13" s="35">
        <f t="shared" si="0"/>
        <v>47.880131134103202</v>
      </c>
    </row>
    <row r="14" spans="1:20" ht="30.75" customHeight="1">
      <c r="A14" s="18">
        <v>37591</v>
      </c>
      <c r="B14" s="19">
        <v>127.65</v>
      </c>
      <c r="C14" s="19">
        <v>628.28099999999995</v>
      </c>
      <c r="D14" s="20">
        <v>46</v>
      </c>
      <c r="E14" s="20">
        <v>0</v>
      </c>
      <c r="F14" s="20">
        <v>3.54</v>
      </c>
      <c r="G14" s="19">
        <v>0</v>
      </c>
      <c r="H14" s="97"/>
      <c r="I14" s="19">
        <f t="shared" si="1"/>
        <v>49.54</v>
      </c>
      <c r="J14" s="97"/>
      <c r="K14" s="19">
        <v>0</v>
      </c>
      <c r="L14" s="19">
        <v>124.6</v>
      </c>
      <c r="M14" s="19">
        <v>567.00400000000002</v>
      </c>
      <c r="N14" s="19">
        <f t="shared" si="2"/>
        <v>0</v>
      </c>
      <c r="O14" s="28"/>
      <c r="Q14" s="35">
        <f t="shared" si="0"/>
        <v>49.0867411803398</v>
      </c>
    </row>
    <row r="15" spans="1:20" ht="30.75" customHeight="1">
      <c r="A15" s="18">
        <v>37622</v>
      </c>
      <c r="B15" s="19">
        <v>124.47</v>
      </c>
      <c r="C15" s="19">
        <v>564.48199999999997</v>
      </c>
      <c r="D15" s="20">
        <v>44.6</v>
      </c>
      <c r="E15" s="20">
        <v>0</v>
      </c>
      <c r="F15" s="20">
        <v>14.596</v>
      </c>
      <c r="G15" s="19">
        <v>0</v>
      </c>
      <c r="H15" s="97"/>
      <c r="I15" s="19">
        <f t="shared" si="1"/>
        <v>59.195999999999998</v>
      </c>
      <c r="J15" s="97"/>
      <c r="K15" s="19">
        <v>0</v>
      </c>
      <c r="L15" s="19">
        <v>121.02</v>
      </c>
      <c r="M15" s="19">
        <v>500.14299999999997</v>
      </c>
      <c r="N15" s="19">
        <f t="shared" si="2"/>
        <v>0</v>
      </c>
      <c r="O15" s="28"/>
      <c r="Q15" s="35">
        <f t="shared" si="0"/>
        <v>50.538819625436602</v>
      </c>
    </row>
    <row r="16" spans="1:20" ht="30.75" customHeight="1">
      <c r="A16" s="18">
        <v>37653</v>
      </c>
      <c r="B16" s="19">
        <v>120.9</v>
      </c>
      <c r="C16" s="19">
        <v>498.02100000000002</v>
      </c>
      <c r="D16" s="20">
        <v>38.1</v>
      </c>
      <c r="E16" s="20">
        <v>0</v>
      </c>
      <c r="F16" s="20">
        <v>11.708</v>
      </c>
      <c r="G16" s="19">
        <v>0</v>
      </c>
      <c r="H16" s="97"/>
      <c r="I16" s="19">
        <f t="shared" si="1"/>
        <v>49.808</v>
      </c>
      <c r="J16" s="97"/>
      <c r="K16" s="19">
        <v>0</v>
      </c>
      <c r="L16" s="19">
        <v>117.75</v>
      </c>
      <c r="M16" s="19">
        <v>443.81400000000002</v>
      </c>
      <c r="N16" s="19">
        <f t="shared" si="2"/>
        <v>0</v>
      </c>
      <c r="O16" s="28"/>
      <c r="Q16" s="35">
        <f t="shared" si="0"/>
        <v>51.942318055798999</v>
      </c>
    </row>
    <row r="17" spans="1:17" ht="30.75" customHeight="1">
      <c r="A17" s="18">
        <v>37681</v>
      </c>
      <c r="B17" s="19">
        <v>117.6</v>
      </c>
      <c r="C17" s="19">
        <v>441.339</v>
      </c>
      <c r="D17" s="20">
        <v>46.7</v>
      </c>
      <c r="E17" s="20">
        <v>0</v>
      </c>
      <c r="F17" s="20">
        <v>24.1</v>
      </c>
      <c r="G17" s="19">
        <v>0</v>
      </c>
      <c r="H17" s="97"/>
      <c r="I17" s="19">
        <f t="shared" si="1"/>
        <v>70.800000000000011</v>
      </c>
      <c r="J17" s="97"/>
      <c r="K17" s="19">
        <v>0</v>
      </c>
      <c r="L17" s="19">
        <v>113.44</v>
      </c>
      <c r="M17" s="19">
        <v>375.78699999999998</v>
      </c>
      <c r="N17" s="19">
        <f t="shared" si="2"/>
        <v>5.2479999999999905</v>
      </c>
      <c r="Q17" s="35">
        <f t="shared" si="0"/>
        <v>53.915796465711701</v>
      </c>
    </row>
    <row r="18" spans="1:17" ht="30.75" customHeight="1">
      <c r="A18" s="18">
        <v>37712</v>
      </c>
      <c r="B18" s="19">
        <v>113.3</v>
      </c>
      <c r="C18" s="19">
        <v>373.67899999999997</v>
      </c>
      <c r="D18" s="20">
        <v>41.6</v>
      </c>
      <c r="E18" s="20">
        <v>0</v>
      </c>
      <c r="F18" s="20">
        <v>14.865</v>
      </c>
      <c r="G18" s="19">
        <v>0</v>
      </c>
      <c r="H18" s="97"/>
      <c r="I18" s="19">
        <f t="shared" ref="I18" si="3">D18+E18+F18+G18+H18</f>
        <v>56.465000000000003</v>
      </c>
      <c r="J18" s="97"/>
      <c r="K18" s="19">
        <v>0</v>
      </c>
      <c r="L18" s="19">
        <v>109.08</v>
      </c>
      <c r="M18" s="19">
        <v>313.28399999999999</v>
      </c>
      <c r="N18" s="19">
        <f t="shared" si="2"/>
        <v>0</v>
      </c>
      <c r="Q18" s="35">
        <f t="shared" si="0"/>
        <v>56.070846636141702</v>
      </c>
    </row>
    <row r="19" spans="1:17" ht="30.75" customHeight="1">
      <c r="A19" s="18">
        <v>37742</v>
      </c>
      <c r="B19" s="19">
        <v>108.96</v>
      </c>
      <c r="C19" s="19">
        <v>311.63</v>
      </c>
      <c r="D19" s="20">
        <v>45.1</v>
      </c>
      <c r="E19" s="20">
        <v>0</v>
      </c>
      <c r="F19" s="20">
        <v>7.8</v>
      </c>
      <c r="G19" s="19">
        <v>0</v>
      </c>
      <c r="H19" s="98"/>
      <c r="I19" s="19">
        <f t="shared" si="1"/>
        <v>52.9</v>
      </c>
      <c r="J19" s="98"/>
      <c r="K19" s="19">
        <v>0</v>
      </c>
      <c r="L19" s="19">
        <v>104.34</v>
      </c>
      <c r="M19" s="19">
        <v>252.06299999999999</v>
      </c>
      <c r="N19" s="19">
        <f t="shared" si="2"/>
        <v>0</v>
      </c>
      <c r="Q19" s="35">
        <f t="shared" si="0"/>
        <v>58.618055885282097</v>
      </c>
    </row>
    <row r="20" spans="1:17">
      <c r="A20" s="21" t="s">
        <v>72</v>
      </c>
      <c r="B20" s="110" t="s">
        <v>73</v>
      </c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</row>
    <row r="21" spans="1:17">
      <c r="A21" s="21"/>
      <c r="B21" s="23"/>
      <c r="C21" s="21"/>
      <c r="D21" s="21"/>
      <c r="E21" s="21"/>
      <c r="F21" s="21"/>
      <c r="G21" s="24"/>
      <c r="H21" s="21"/>
      <c r="I21" s="21"/>
      <c r="J21" s="21"/>
      <c r="K21" s="21"/>
      <c r="L21" s="21"/>
      <c r="M21" s="21"/>
      <c r="N21" s="21"/>
    </row>
    <row r="22" spans="1:17">
      <c r="A22" s="21"/>
      <c r="B22" s="23"/>
      <c r="C22" s="21"/>
      <c r="D22" s="21"/>
      <c r="E22" s="21"/>
      <c r="F22" s="21"/>
      <c r="G22" s="24"/>
      <c r="H22" s="21"/>
      <c r="I22" s="21"/>
      <c r="J22" s="21"/>
      <c r="K22" s="21"/>
      <c r="L22" s="21"/>
      <c r="M22" s="21"/>
      <c r="N22" s="21"/>
    </row>
    <row r="23" spans="1:17">
      <c r="A23" s="21"/>
      <c r="B23" s="23"/>
      <c r="C23" s="21"/>
      <c r="D23" s="21"/>
      <c r="E23" s="21"/>
      <c r="F23" s="21"/>
      <c r="G23" s="24"/>
      <c r="H23" s="21"/>
      <c r="I23" s="21"/>
      <c r="J23" s="21"/>
      <c r="K23" s="21"/>
      <c r="L23" s="21"/>
      <c r="M23" s="21"/>
      <c r="N23" s="21"/>
    </row>
    <row r="24" spans="1:17" ht="18">
      <c r="A24" s="21"/>
      <c r="B24" s="23"/>
      <c r="C24" s="1" t="s">
        <v>29</v>
      </c>
      <c r="D24" s="21"/>
      <c r="E24" s="21"/>
      <c r="F24" s="1"/>
      <c r="G24" s="24"/>
      <c r="H24" s="25"/>
      <c r="I24" s="25"/>
      <c r="J24" s="1" t="s">
        <v>30</v>
      </c>
      <c r="K24" s="25"/>
      <c r="L24" s="25"/>
      <c r="M24" s="25"/>
      <c r="N24" s="25"/>
    </row>
    <row r="25" spans="1:17">
      <c r="A25" s="21"/>
      <c r="B25" s="23"/>
      <c r="C25" s="21" t="s">
        <v>74</v>
      </c>
      <c r="D25" s="21"/>
      <c r="E25" s="21"/>
      <c r="F25" s="21"/>
      <c r="G25" s="24"/>
      <c r="H25" s="25"/>
      <c r="I25" s="25"/>
      <c r="J25" s="21" t="s">
        <v>75</v>
      </c>
      <c r="K25" s="25"/>
      <c r="L25" s="25"/>
      <c r="M25" s="25"/>
      <c r="N25" s="25"/>
    </row>
    <row r="26" spans="1:17">
      <c r="A26" s="21"/>
      <c r="B26" s="23"/>
      <c r="C26" s="21" t="s">
        <v>33</v>
      </c>
      <c r="D26" s="21"/>
      <c r="E26" s="21"/>
      <c r="F26" s="21"/>
      <c r="G26" s="24"/>
      <c r="H26" s="25"/>
      <c r="I26" s="99" t="s">
        <v>33</v>
      </c>
      <c r="J26" s="99"/>
      <c r="K26" s="99"/>
      <c r="L26" s="25"/>
      <c r="M26" s="25"/>
      <c r="N26" s="25"/>
    </row>
  </sheetData>
  <mergeCells count="20">
    <mergeCell ref="M4:M6"/>
    <mergeCell ref="N4:N6"/>
    <mergeCell ref="A1:N1"/>
    <mergeCell ref="D4:H4"/>
    <mergeCell ref="B20:N20"/>
    <mergeCell ref="I26:K26"/>
    <mergeCell ref="A4:A6"/>
    <mergeCell ref="B4:B6"/>
    <mergeCell ref="C4:C6"/>
    <mergeCell ref="D5:D6"/>
    <mergeCell ref="E5:E6"/>
    <mergeCell ref="F5:F6"/>
    <mergeCell ref="G5:G6"/>
    <mergeCell ref="H5:H6"/>
    <mergeCell ref="H8:H19"/>
    <mergeCell ref="I4:I6"/>
    <mergeCell ref="J4:J6"/>
    <mergeCell ref="J8:J19"/>
    <mergeCell ref="K4:K6"/>
    <mergeCell ref="L4:L6"/>
  </mergeCells>
  <printOptions horizontalCentered="1" verticalCentered="1"/>
  <pageMargins left="0.2" right="0.2" top="0.25" bottom="0.25" header="0.3" footer="0.3"/>
  <pageSetup scale="85"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T26"/>
  <sheetViews>
    <sheetView topLeftCell="A3" workbookViewId="0">
      <selection activeCell="R8" sqref="R8:T8"/>
    </sheetView>
  </sheetViews>
  <sheetFormatPr defaultColWidth="9" defaultRowHeight="14.4"/>
  <cols>
    <col min="6" max="6" width="9.5546875" customWidth="1"/>
    <col min="7" max="7" width="12.5546875" customWidth="1"/>
    <col min="10" max="10" width="11.44140625" customWidth="1"/>
    <col min="11" max="11" width="10" customWidth="1"/>
    <col min="14" max="14" width="10.33203125" customWidth="1"/>
  </cols>
  <sheetData>
    <row r="1" spans="1:20" ht="18">
      <c r="A1" s="105" t="s">
        <v>88</v>
      </c>
      <c r="B1" s="105"/>
      <c r="C1" s="105"/>
      <c r="D1" s="105"/>
      <c r="E1" s="105"/>
      <c r="F1" s="105"/>
      <c r="G1" s="106"/>
      <c r="H1" s="106"/>
      <c r="I1" s="106"/>
      <c r="J1" s="106"/>
      <c r="K1" s="106"/>
      <c r="L1" s="106"/>
      <c r="M1" s="106"/>
      <c r="N1" s="106"/>
      <c r="O1" s="26"/>
    </row>
    <row r="2" spans="1:20" ht="18">
      <c r="A2" s="3" t="s">
        <v>1</v>
      </c>
      <c r="B2" s="80" t="s">
        <v>2</v>
      </c>
      <c r="C2" s="4"/>
      <c r="D2" s="4"/>
      <c r="E2" s="4"/>
      <c r="F2" s="3"/>
      <c r="G2" s="5"/>
      <c r="H2" s="2"/>
      <c r="I2" s="2"/>
      <c r="J2" s="2"/>
      <c r="K2" s="2"/>
      <c r="L2" s="2"/>
      <c r="M2" s="2"/>
      <c r="N2" s="2"/>
      <c r="O2" s="26"/>
    </row>
    <row r="3" spans="1:20" ht="18">
      <c r="A3" s="3" t="s">
        <v>3</v>
      </c>
      <c r="B3" s="80" t="s">
        <v>4</v>
      </c>
      <c r="C3" s="6"/>
      <c r="D3" s="6"/>
      <c r="E3" s="6"/>
      <c r="F3" s="6"/>
      <c r="G3" s="7"/>
      <c r="H3" s="8"/>
      <c r="I3" s="8"/>
      <c r="J3" s="8"/>
      <c r="K3" s="8"/>
      <c r="L3" s="8"/>
      <c r="M3" s="8"/>
      <c r="N3" s="8"/>
    </row>
    <row r="4" spans="1:20">
      <c r="A4" s="88" t="s">
        <v>5</v>
      </c>
      <c r="B4" s="87" t="s">
        <v>62</v>
      </c>
      <c r="C4" s="92" t="s">
        <v>63</v>
      </c>
      <c r="D4" s="92" t="s">
        <v>64</v>
      </c>
      <c r="E4" s="92"/>
      <c r="F4" s="92"/>
      <c r="G4" s="92"/>
      <c r="H4" s="92"/>
      <c r="I4" s="92" t="s">
        <v>65</v>
      </c>
      <c r="J4" s="92" t="s">
        <v>10</v>
      </c>
      <c r="K4" s="92" t="s">
        <v>11</v>
      </c>
      <c r="L4" s="107" t="s">
        <v>66</v>
      </c>
      <c r="M4" s="89" t="s">
        <v>67</v>
      </c>
      <c r="N4" s="92" t="s">
        <v>68</v>
      </c>
    </row>
    <row r="5" spans="1:20">
      <c r="A5" s="88"/>
      <c r="B5" s="87"/>
      <c r="C5" s="92"/>
      <c r="D5" s="100" t="s">
        <v>69</v>
      </c>
      <c r="E5" s="100" t="s">
        <v>16</v>
      </c>
      <c r="F5" s="100" t="s">
        <v>17</v>
      </c>
      <c r="G5" s="90" t="s">
        <v>70</v>
      </c>
      <c r="H5" s="91" t="s">
        <v>71</v>
      </c>
      <c r="I5" s="92"/>
      <c r="J5" s="102"/>
      <c r="K5" s="102"/>
      <c r="L5" s="108"/>
      <c r="M5" s="90"/>
      <c r="N5" s="92"/>
      <c r="O5" s="28"/>
    </row>
    <row r="6" spans="1:20" ht="91.5" customHeight="1">
      <c r="A6" s="88"/>
      <c r="B6" s="87"/>
      <c r="C6" s="92"/>
      <c r="D6" s="101"/>
      <c r="E6" s="101"/>
      <c r="F6" s="101"/>
      <c r="G6" s="91"/>
      <c r="H6" s="92"/>
      <c r="I6" s="92"/>
      <c r="J6" s="102"/>
      <c r="K6" s="102"/>
      <c r="L6" s="109"/>
      <c r="M6" s="91"/>
      <c r="N6" s="92"/>
      <c r="O6" s="28"/>
      <c r="Q6" s="29" t="s">
        <v>20</v>
      </c>
    </row>
    <row r="7" spans="1:20">
      <c r="A7" s="15">
        <v>1</v>
      </c>
      <c r="B7" s="16">
        <v>2</v>
      </c>
      <c r="C7" s="15">
        <v>3</v>
      </c>
      <c r="D7" s="15">
        <v>4</v>
      </c>
      <c r="E7" s="15">
        <v>5</v>
      </c>
      <c r="F7" s="15">
        <v>6</v>
      </c>
      <c r="G7" s="17">
        <v>7</v>
      </c>
      <c r="H7" s="17">
        <v>8</v>
      </c>
      <c r="I7" s="17">
        <v>9</v>
      </c>
      <c r="J7" s="17">
        <v>10</v>
      </c>
      <c r="K7" s="17">
        <v>11</v>
      </c>
      <c r="L7" s="17">
        <v>12</v>
      </c>
      <c r="M7" s="17">
        <v>13</v>
      </c>
      <c r="N7" s="17">
        <v>14</v>
      </c>
      <c r="O7" s="28"/>
    </row>
    <row r="8" spans="1:20" ht="30.75" customHeight="1">
      <c r="A8" s="18">
        <v>37043</v>
      </c>
      <c r="B8" s="19">
        <v>104.45</v>
      </c>
      <c r="C8" s="19">
        <v>253.43799999999999</v>
      </c>
      <c r="D8" s="20">
        <v>31.7</v>
      </c>
      <c r="E8" s="20">
        <v>0</v>
      </c>
      <c r="F8" s="20">
        <v>0</v>
      </c>
      <c r="G8" s="20">
        <v>0</v>
      </c>
      <c r="H8" s="96" t="s">
        <v>57</v>
      </c>
      <c r="I8" s="19">
        <f>D8+E8+F8+G8+0</f>
        <v>31.7</v>
      </c>
      <c r="J8" s="96" t="s">
        <v>57</v>
      </c>
      <c r="K8" s="19">
        <v>0</v>
      </c>
      <c r="L8" s="19">
        <v>110.82</v>
      </c>
      <c r="M8" s="19">
        <v>337.52</v>
      </c>
      <c r="N8" s="19">
        <v>115.782</v>
      </c>
      <c r="O8" s="28"/>
      <c r="Q8" s="35">
        <f t="shared" ref="Q8:Q19" si="0">(15000000/(2725*0.9*L8))</f>
        <v>55.190470592585598</v>
      </c>
      <c r="R8" s="32">
        <f>E8+P8-L8</f>
        <v>-110.82</v>
      </c>
      <c r="S8" s="32" t="e">
        <f>R8-H8-K8</f>
        <v>#VALUE!</v>
      </c>
      <c r="T8" s="32">
        <f>R8-K8-976.1</f>
        <v>-1086.92</v>
      </c>
    </row>
    <row r="9" spans="1:20" ht="30.75" customHeight="1">
      <c r="A9" s="18">
        <v>37073</v>
      </c>
      <c r="B9" s="19">
        <v>110.95</v>
      </c>
      <c r="C9" s="19">
        <v>339.33</v>
      </c>
      <c r="D9" s="20">
        <v>1.8</v>
      </c>
      <c r="E9" s="20">
        <v>0</v>
      </c>
      <c r="F9" s="20">
        <v>0</v>
      </c>
      <c r="G9" s="19">
        <v>0</v>
      </c>
      <c r="H9" s="97"/>
      <c r="I9" s="19">
        <f t="shared" ref="I9:I19" si="1">D9+E9+F9+G9+H9</f>
        <v>1.8</v>
      </c>
      <c r="J9" s="97"/>
      <c r="K9" s="19">
        <v>0</v>
      </c>
      <c r="L9" s="19">
        <v>131.44999999999999</v>
      </c>
      <c r="M9" s="19">
        <v>710.49300000000005</v>
      </c>
      <c r="N9" s="19">
        <f t="shared" ref="N9:N19" si="2">IF((M9-C9)+I9+J9+K9&gt;0,(M9-C9)+I9+J9+K9,0)</f>
        <v>372.96300000000002</v>
      </c>
      <c r="O9" s="28"/>
      <c r="Q9" s="35">
        <f t="shared" si="0"/>
        <v>46.528778631193099</v>
      </c>
    </row>
    <row r="10" spans="1:20" ht="30.75" customHeight="1">
      <c r="A10" s="18">
        <v>37104</v>
      </c>
      <c r="B10" s="19">
        <v>131.75</v>
      </c>
      <c r="C10" s="19">
        <v>717.25</v>
      </c>
      <c r="D10" s="20">
        <v>0.76</v>
      </c>
      <c r="E10" s="20">
        <v>0</v>
      </c>
      <c r="F10" s="20">
        <v>0</v>
      </c>
      <c r="G10" s="19">
        <v>0</v>
      </c>
      <c r="H10" s="97"/>
      <c r="I10" s="19">
        <f t="shared" si="1"/>
        <v>0.76</v>
      </c>
      <c r="J10" s="97"/>
      <c r="K10" s="19">
        <v>0</v>
      </c>
      <c r="L10" s="19">
        <v>133.30000000000001</v>
      </c>
      <c r="M10" s="19">
        <v>752.89300000000003</v>
      </c>
      <c r="N10" s="19">
        <f t="shared" si="2"/>
        <v>36.402999999999999</v>
      </c>
      <c r="O10" s="28"/>
      <c r="Q10" s="35">
        <f t="shared" si="0"/>
        <v>45.883030390625201</v>
      </c>
    </row>
    <row r="11" spans="1:20" ht="30.75" customHeight="1">
      <c r="A11" s="18">
        <v>37135</v>
      </c>
      <c r="B11" s="19">
        <v>133.19999999999999</v>
      </c>
      <c r="C11" s="19">
        <v>745.86099999999999</v>
      </c>
      <c r="D11" s="20">
        <v>5.75</v>
      </c>
      <c r="E11" s="20">
        <v>0</v>
      </c>
      <c r="F11" s="20">
        <v>0</v>
      </c>
      <c r="G11" s="19">
        <v>0</v>
      </c>
      <c r="H11" s="97"/>
      <c r="I11" s="19">
        <f t="shared" si="1"/>
        <v>5.75</v>
      </c>
      <c r="J11" s="97"/>
      <c r="K11" s="19">
        <v>0</v>
      </c>
      <c r="L11" s="19">
        <v>133.19999999999999</v>
      </c>
      <c r="M11" s="19">
        <v>750.54899999999998</v>
      </c>
      <c r="N11" s="19">
        <f t="shared" si="2"/>
        <v>10.438000000000001</v>
      </c>
      <c r="O11" s="28"/>
      <c r="Q11" s="35">
        <f t="shared" si="0"/>
        <v>45.917477110137703</v>
      </c>
    </row>
    <row r="12" spans="1:20" ht="30.75" customHeight="1">
      <c r="A12" s="18">
        <v>37165</v>
      </c>
      <c r="B12" s="19">
        <v>133.15</v>
      </c>
      <c r="C12" s="19">
        <v>749.37699999999995</v>
      </c>
      <c r="D12" s="20">
        <v>23.3</v>
      </c>
      <c r="E12" s="20">
        <v>0</v>
      </c>
      <c r="F12" s="20">
        <v>0</v>
      </c>
      <c r="G12" s="19">
        <v>0</v>
      </c>
      <c r="H12" s="97"/>
      <c r="I12" s="19">
        <f t="shared" si="1"/>
        <v>23.3</v>
      </c>
      <c r="J12" s="97"/>
      <c r="K12" s="19">
        <v>0</v>
      </c>
      <c r="L12" s="19">
        <v>132.30000000000001</v>
      </c>
      <c r="M12" s="19">
        <v>729.77499999999998</v>
      </c>
      <c r="N12" s="19">
        <f t="shared" si="2"/>
        <v>3.6980000000000302</v>
      </c>
      <c r="O12" s="28"/>
      <c r="Q12" s="35">
        <f t="shared" si="0"/>
        <v>46.2298409000025</v>
      </c>
    </row>
    <row r="13" spans="1:20" ht="30.75" customHeight="1">
      <c r="A13" s="18">
        <v>37196</v>
      </c>
      <c r="B13" s="19">
        <v>132.19999999999999</v>
      </c>
      <c r="C13" s="19">
        <v>727.47699999999998</v>
      </c>
      <c r="D13" s="20">
        <v>47</v>
      </c>
      <c r="E13" s="20">
        <v>0</v>
      </c>
      <c r="F13" s="20">
        <v>0</v>
      </c>
      <c r="G13" s="19">
        <v>0</v>
      </c>
      <c r="H13" s="97"/>
      <c r="I13" s="19">
        <f t="shared" si="1"/>
        <v>47</v>
      </c>
      <c r="J13" s="97"/>
      <c r="K13" s="19">
        <v>0</v>
      </c>
      <c r="L13" s="19">
        <v>129.5</v>
      </c>
      <c r="M13" s="19">
        <v>667.53700000000003</v>
      </c>
      <c r="N13" s="19">
        <f t="shared" si="2"/>
        <v>0</v>
      </c>
      <c r="O13" s="28"/>
      <c r="Q13" s="35">
        <f t="shared" si="0"/>
        <v>47.229405027570202</v>
      </c>
    </row>
    <row r="14" spans="1:20" ht="30.75" customHeight="1">
      <c r="A14" s="18">
        <v>37226</v>
      </c>
      <c r="B14" s="19">
        <v>129.4</v>
      </c>
      <c r="C14" s="19">
        <v>665.36699999999996</v>
      </c>
      <c r="D14" s="20">
        <v>46.1</v>
      </c>
      <c r="E14" s="20">
        <v>0</v>
      </c>
      <c r="F14" s="20">
        <v>2.4140000000000001</v>
      </c>
      <c r="G14" s="19">
        <v>0</v>
      </c>
      <c r="H14" s="97"/>
      <c r="I14" s="19">
        <f t="shared" si="1"/>
        <v>48.514000000000003</v>
      </c>
      <c r="J14" s="97"/>
      <c r="K14" s="19">
        <v>0</v>
      </c>
      <c r="L14" s="19">
        <v>126.5</v>
      </c>
      <c r="M14" s="19">
        <v>604.68799999999999</v>
      </c>
      <c r="N14" s="19">
        <f t="shared" si="2"/>
        <v>0</v>
      </c>
      <c r="O14" s="28"/>
      <c r="Q14" s="35">
        <f t="shared" si="0"/>
        <v>48.349469968935502</v>
      </c>
    </row>
    <row r="15" spans="1:20" ht="30.75" customHeight="1">
      <c r="A15" s="18">
        <v>37257</v>
      </c>
      <c r="B15" s="19">
        <v>126.4</v>
      </c>
      <c r="C15" s="19">
        <v>602.66200000000003</v>
      </c>
      <c r="D15" s="20">
        <v>50.1</v>
      </c>
      <c r="E15" s="20">
        <v>0</v>
      </c>
      <c r="F15" s="20">
        <v>10.403</v>
      </c>
      <c r="G15" s="19">
        <v>0</v>
      </c>
      <c r="H15" s="97"/>
      <c r="I15" s="19">
        <f t="shared" si="1"/>
        <v>60.503</v>
      </c>
      <c r="J15" s="97"/>
      <c r="K15" s="19">
        <v>0</v>
      </c>
      <c r="L15" s="19">
        <v>123.5</v>
      </c>
      <c r="M15" s="19">
        <v>543.04600000000005</v>
      </c>
      <c r="N15" s="19">
        <f t="shared" si="2"/>
        <v>0.887000000000015</v>
      </c>
      <c r="O15" s="28"/>
      <c r="Q15" s="35">
        <f t="shared" si="0"/>
        <v>49.523951020812397</v>
      </c>
    </row>
    <row r="16" spans="1:20" ht="30.75" customHeight="1">
      <c r="A16" s="18">
        <v>37288</v>
      </c>
      <c r="B16" s="19">
        <v>123.25</v>
      </c>
      <c r="C16" s="19">
        <v>541.15099999999995</v>
      </c>
      <c r="D16" s="20">
        <v>40.5</v>
      </c>
      <c r="E16" s="20">
        <v>0</v>
      </c>
      <c r="F16" s="20">
        <v>13.39</v>
      </c>
      <c r="G16" s="19">
        <v>0</v>
      </c>
      <c r="H16" s="97"/>
      <c r="I16" s="19">
        <f t="shared" si="1"/>
        <v>53.89</v>
      </c>
      <c r="J16" s="97"/>
      <c r="K16" s="19">
        <v>0</v>
      </c>
      <c r="L16" s="19">
        <v>120.15</v>
      </c>
      <c r="M16" s="19">
        <v>484.82299999999998</v>
      </c>
      <c r="N16" s="19">
        <f t="shared" si="2"/>
        <v>0</v>
      </c>
      <c r="O16" s="28"/>
      <c r="Q16" s="35">
        <f t="shared" si="0"/>
        <v>50.904768631463497</v>
      </c>
    </row>
    <row r="17" spans="1:17" ht="30.75" customHeight="1">
      <c r="A17" s="18">
        <v>37316</v>
      </c>
      <c r="B17" s="19">
        <v>120.05</v>
      </c>
      <c r="C17" s="19">
        <v>483.06299999999999</v>
      </c>
      <c r="D17" s="20">
        <v>49</v>
      </c>
      <c r="E17" s="20">
        <v>0</v>
      </c>
      <c r="F17" s="20">
        <v>8.99</v>
      </c>
      <c r="G17" s="19">
        <v>0</v>
      </c>
      <c r="H17" s="97"/>
      <c r="I17" s="19">
        <f t="shared" si="1"/>
        <v>57.99</v>
      </c>
      <c r="J17" s="97"/>
      <c r="K17" s="19">
        <v>0</v>
      </c>
      <c r="L17" s="19">
        <v>116.3</v>
      </c>
      <c r="M17" s="19">
        <v>420.15600000000001</v>
      </c>
      <c r="N17" s="19">
        <f t="shared" si="2"/>
        <v>0</v>
      </c>
      <c r="Q17" s="35">
        <f t="shared" si="0"/>
        <v>52.5899221932101</v>
      </c>
    </row>
    <row r="18" spans="1:17" ht="30.75" customHeight="1">
      <c r="A18" s="18">
        <v>37347</v>
      </c>
      <c r="B18" s="19">
        <v>116.2</v>
      </c>
      <c r="C18" s="19">
        <v>418.45400000000001</v>
      </c>
      <c r="D18" s="20">
        <v>43.5</v>
      </c>
      <c r="E18" s="20">
        <v>0</v>
      </c>
      <c r="F18" s="20">
        <v>13.02</v>
      </c>
      <c r="G18" s="19">
        <v>0</v>
      </c>
      <c r="H18" s="97"/>
      <c r="I18" s="19">
        <f t="shared" si="1"/>
        <v>56.52</v>
      </c>
      <c r="J18" s="97"/>
      <c r="K18" s="19">
        <v>0</v>
      </c>
      <c r="L18" s="19">
        <v>112.2</v>
      </c>
      <c r="M18" s="19">
        <v>357.38</v>
      </c>
      <c r="N18" s="19">
        <f t="shared" si="2"/>
        <v>0</v>
      </c>
      <c r="Q18" s="35">
        <f t="shared" si="0"/>
        <v>54.511657317917397</v>
      </c>
    </row>
    <row r="19" spans="1:17" ht="30.75" customHeight="1">
      <c r="A19" s="18">
        <v>37377</v>
      </c>
      <c r="B19" s="19">
        <v>112.05</v>
      </c>
      <c r="C19" s="19">
        <v>355.17</v>
      </c>
      <c r="D19" s="20">
        <v>41.7</v>
      </c>
      <c r="E19" s="20">
        <v>0</v>
      </c>
      <c r="F19" s="20">
        <v>9.17</v>
      </c>
      <c r="G19" s="19">
        <v>0</v>
      </c>
      <c r="H19" s="98"/>
      <c r="I19" s="19">
        <f t="shared" si="1"/>
        <v>50.87</v>
      </c>
      <c r="J19" s="98"/>
      <c r="K19" s="19">
        <v>0</v>
      </c>
      <c r="L19" s="19">
        <v>107.5</v>
      </c>
      <c r="M19" s="19">
        <v>292.11399999999998</v>
      </c>
      <c r="N19" s="19">
        <f t="shared" si="2"/>
        <v>0</v>
      </c>
      <c r="Q19" s="35">
        <f t="shared" si="0"/>
        <v>56.8949576843752</v>
      </c>
    </row>
    <row r="20" spans="1:17">
      <c r="A20" s="21" t="s">
        <v>72</v>
      </c>
      <c r="B20" s="110" t="s">
        <v>73</v>
      </c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</row>
    <row r="21" spans="1:17">
      <c r="A21" s="21"/>
      <c r="B21" s="23"/>
      <c r="C21" s="21"/>
      <c r="D21" s="21"/>
      <c r="E21" s="21"/>
      <c r="F21" s="21"/>
      <c r="G21" s="24"/>
      <c r="H21" s="21"/>
      <c r="I21" s="21"/>
      <c r="J21" s="21"/>
      <c r="K21" s="21"/>
      <c r="L21" s="21"/>
      <c r="M21" s="21"/>
      <c r="N21" s="21"/>
    </row>
    <row r="22" spans="1:17">
      <c r="A22" s="21"/>
      <c r="B22" s="23"/>
      <c r="C22" s="21"/>
      <c r="D22" s="21"/>
      <c r="E22" s="21"/>
      <c r="F22" s="21"/>
      <c r="G22" s="24"/>
      <c r="H22" s="21"/>
      <c r="I22" s="21"/>
      <c r="J22" s="21"/>
      <c r="K22" s="21"/>
      <c r="L22" s="21"/>
      <c r="M22" s="21"/>
      <c r="N22" s="21"/>
    </row>
    <row r="23" spans="1:17">
      <c r="A23" s="21"/>
      <c r="B23" s="23"/>
      <c r="C23" s="21"/>
      <c r="D23" s="21"/>
      <c r="E23" s="21"/>
      <c r="F23" s="21"/>
      <c r="G23" s="24"/>
      <c r="H23" s="21"/>
      <c r="I23" s="21"/>
      <c r="J23" s="21"/>
      <c r="K23" s="21"/>
      <c r="L23" s="21"/>
      <c r="M23" s="21"/>
      <c r="N23" s="21"/>
    </row>
    <row r="24" spans="1:17" ht="18">
      <c r="A24" s="21"/>
      <c r="B24" s="23"/>
      <c r="C24" s="1" t="s">
        <v>29</v>
      </c>
      <c r="D24" s="21"/>
      <c r="E24" s="21"/>
      <c r="F24" s="1"/>
      <c r="G24" s="24"/>
      <c r="H24" s="25"/>
      <c r="I24" s="25"/>
      <c r="J24" s="1" t="s">
        <v>30</v>
      </c>
      <c r="K24" s="25"/>
      <c r="L24" s="25"/>
      <c r="M24" s="25"/>
      <c r="N24" s="25"/>
    </row>
    <row r="25" spans="1:17">
      <c r="A25" s="21"/>
      <c r="B25" s="23"/>
      <c r="C25" s="21" t="s">
        <v>74</v>
      </c>
      <c r="D25" s="21"/>
      <c r="E25" s="21"/>
      <c r="F25" s="21"/>
      <c r="G25" s="24"/>
      <c r="H25" s="25"/>
      <c r="I25" s="25"/>
      <c r="J25" s="21" t="s">
        <v>75</v>
      </c>
      <c r="K25" s="25"/>
      <c r="L25" s="25"/>
      <c r="M25" s="25"/>
      <c r="N25" s="25"/>
    </row>
    <row r="26" spans="1:17">
      <c r="A26" s="21"/>
      <c r="B26" s="23"/>
      <c r="C26" s="21" t="s">
        <v>33</v>
      </c>
      <c r="D26" s="21"/>
      <c r="E26" s="21"/>
      <c r="F26" s="21"/>
      <c r="G26" s="24"/>
      <c r="H26" s="25"/>
      <c r="I26" s="99" t="s">
        <v>33</v>
      </c>
      <c r="J26" s="99"/>
      <c r="K26" s="99"/>
      <c r="L26" s="25"/>
      <c r="M26" s="25"/>
      <c r="N26" s="25"/>
    </row>
  </sheetData>
  <mergeCells count="20">
    <mergeCell ref="M4:M6"/>
    <mergeCell ref="N4:N6"/>
    <mergeCell ref="A1:N1"/>
    <mergeCell ref="D4:H4"/>
    <mergeCell ref="B20:N20"/>
    <mergeCell ref="I26:K26"/>
    <mergeCell ref="A4:A6"/>
    <mergeCell ref="B4:B6"/>
    <mergeCell ref="C4:C6"/>
    <mergeCell ref="D5:D6"/>
    <mergeCell ref="E5:E6"/>
    <mergeCell ref="F5:F6"/>
    <mergeCell ref="G5:G6"/>
    <mergeCell ref="H5:H6"/>
    <mergeCell ref="H8:H19"/>
    <mergeCell ref="I4:I6"/>
    <mergeCell ref="J4:J6"/>
    <mergeCell ref="J8:J19"/>
    <mergeCell ref="K4:K6"/>
    <mergeCell ref="L4:L6"/>
  </mergeCells>
  <printOptions horizontalCentered="1" verticalCentered="1"/>
  <pageMargins left="0.2" right="0.2" top="0.25" bottom="0.25" header="0.3" footer="0.3"/>
  <pageSetup scale="85"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FF00"/>
  </sheetPr>
  <dimension ref="A1:T26"/>
  <sheetViews>
    <sheetView topLeftCell="A4" workbookViewId="0">
      <selection activeCell="R8" sqref="R8:T8"/>
    </sheetView>
  </sheetViews>
  <sheetFormatPr defaultColWidth="9" defaultRowHeight="14.4"/>
  <cols>
    <col min="6" max="6" width="9.5546875" customWidth="1"/>
    <col min="7" max="7" width="12.5546875" customWidth="1"/>
    <col min="10" max="10" width="11.6640625" customWidth="1"/>
    <col min="11" max="11" width="10.33203125" customWidth="1"/>
    <col min="14" max="14" width="10.33203125" customWidth="1"/>
  </cols>
  <sheetData>
    <row r="1" spans="1:20" ht="18">
      <c r="A1" s="105" t="s">
        <v>89</v>
      </c>
      <c r="B1" s="105"/>
      <c r="C1" s="105"/>
      <c r="D1" s="105"/>
      <c r="E1" s="105"/>
      <c r="F1" s="105"/>
      <c r="G1" s="106"/>
      <c r="H1" s="106"/>
      <c r="I1" s="106"/>
      <c r="J1" s="106"/>
      <c r="K1" s="106"/>
      <c r="L1" s="106"/>
      <c r="M1" s="106"/>
      <c r="N1" s="106"/>
      <c r="O1" s="26"/>
    </row>
    <row r="2" spans="1:20" ht="18">
      <c r="A2" s="3" t="s">
        <v>1</v>
      </c>
      <c r="B2" s="80" t="s">
        <v>2</v>
      </c>
      <c r="C2" s="4"/>
      <c r="D2" s="4"/>
      <c r="E2" s="4"/>
      <c r="F2" s="3"/>
      <c r="G2" s="5"/>
      <c r="H2" s="2"/>
      <c r="I2" s="2"/>
      <c r="J2" s="2"/>
      <c r="K2" s="2"/>
      <c r="L2" s="2"/>
      <c r="M2" s="2"/>
      <c r="N2" s="2"/>
      <c r="O2" s="26"/>
    </row>
    <row r="3" spans="1:20" ht="18">
      <c r="A3" s="3" t="s">
        <v>3</v>
      </c>
      <c r="B3" s="80" t="s">
        <v>4</v>
      </c>
      <c r="C3" s="6"/>
      <c r="D3" s="6"/>
      <c r="E3" s="6"/>
      <c r="F3" s="6"/>
      <c r="G3" s="7"/>
      <c r="H3" s="8"/>
      <c r="I3" s="8"/>
      <c r="J3" s="8"/>
      <c r="K3" s="8"/>
      <c r="L3" s="8"/>
      <c r="M3" s="8"/>
      <c r="N3" s="8"/>
    </row>
    <row r="4" spans="1:20">
      <c r="A4" s="88" t="s">
        <v>5</v>
      </c>
      <c r="B4" s="87" t="s">
        <v>62</v>
      </c>
      <c r="C4" s="92" t="s">
        <v>63</v>
      </c>
      <c r="D4" s="113" t="s">
        <v>64</v>
      </c>
      <c r="E4" s="113"/>
      <c r="F4" s="113"/>
      <c r="G4" s="113"/>
      <c r="H4" s="113"/>
      <c r="I4" s="92" t="s">
        <v>65</v>
      </c>
      <c r="J4" s="92" t="s">
        <v>10</v>
      </c>
      <c r="K4" s="92" t="s">
        <v>11</v>
      </c>
      <c r="L4" s="107" t="s">
        <v>66</v>
      </c>
      <c r="M4" s="89" t="s">
        <v>67</v>
      </c>
      <c r="N4" s="92" t="s">
        <v>68</v>
      </c>
    </row>
    <row r="5" spans="1:20">
      <c r="A5" s="88"/>
      <c r="B5" s="87"/>
      <c r="C5" s="92"/>
      <c r="D5" s="114" t="s">
        <v>69</v>
      </c>
      <c r="E5" s="114" t="s">
        <v>16</v>
      </c>
      <c r="F5" s="114" t="s">
        <v>17</v>
      </c>
      <c r="G5" s="90" t="s">
        <v>70</v>
      </c>
      <c r="H5" s="91" t="s">
        <v>71</v>
      </c>
      <c r="I5" s="92"/>
      <c r="J5" s="102"/>
      <c r="K5" s="102"/>
      <c r="L5" s="108"/>
      <c r="M5" s="90"/>
      <c r="N5" s="92"/>
      <c r="O5" s="28"/>
    </row>
    <row r="6" spans="1:20" ht="92.25" customHeight="1">
      <c r="A6" s="88"/>
      <c r="B6" s="87"/>
      <c r="C6" s="92"/>
      <c r="D6" s="115"/>
      <c r="E6" s="115"/>
      <c r="F6" s="115"/>
      <c r="G6" s="91"/>
      <c r="H6" s="92"/>
      <c r="I6" s="92"/>
      <c r="J6" s="102"/>
      <c r="K6" s="102"/>
      <c r="L6" s="109"/>
      <c r="M6" s="91"/>
      <c r="N6" s="92"/>
      <c r="O6" s="28"/>
      <c r="Q6" s="29" t="s">
        <v>20</v>
      </c>
    </row>
    <row r="7" spans="1:20">
      <c r="A7" s="15">
        <v>1</v>
      </c>
      <c r="B7" s="16">
        <v>2</v>
      </c>
      <c r="C7" s="15">
        <v>3</v>
      </c>
      <c r="D7" s="15">
        <v>4</v>
      </c>
      <c r="E7" s="15">
        <v>5</v>
      </c>
      <c r="F7" s="15">
        <v>6</v>
      </c>
      <c r="G7" s="17">
        <v>7</v>
      </c>
      <c r="H7" s="17">
        <v>8</v>
      </c>
      <c r="I7" s="17">
        <v>9</v>
      </c>
      <c r="J7" s="17">
        <v>10</v>
      </c>
      <c r="K7" s="17">
        <v>11</v>
      </c>
      <c r="L7" s="17">
        <v>12</v>
      </c>
      <c r="M7" s="17">
        <v>13</v>
      </c>
      <c r="N7" s="17">
        <v>14</v>
      </c>
      <c r="O7" s="28"/>
    </row>
    <row r="8" spans="1:20" ht="30.75" customHeight="1">
      <c r="A8" s="18">
        <v>36678</v>
      </c>
      <c r="B8" s="19">
        <v>105.2</v>
      </c>
      <c r="C8" s="19">
        <v>262.78199999999998</v>
      </c>
      <c r="D8" s="20">
        <v>46.3</v>
      </c>
      <c r="E8" s="20">
        <v>0</v>
      </c>
      <c r="F8" s="20">
        <v>0</v>
      </c>
      <c r="G8" s="20">
        <v>0</v>
      </c>
      <c r="H8" s="96" t="s">
        <v>57</v>
      </c>
      <c r="I8" s="19">
        <f>D8+E8+F8+G8+0</f>
        <v>46.3</v>
      </c>
      <c r="J8" s="96" t="s">
        <v>57</v>
      </c>
      <c r="K8" s="19">
        <v>0</v>
      </c>
      <c r="L8" s="19">
        <v>105.8</v>
      </c>
      <c r="M8" s="19">
        <v>270.19200000000001</v>
      </c>
      <c r="N8" s="19">
        <v>53.71</v>
      </c>
      <c r="O8" s="28"/>
      <c r="Q8" s="35">
        <f>(15000000/(2725*0.9*L8))</f>
        <v>57.809148875901101</v>
      </c>
      <c r="R8" s="32">
        <f>E8+P8-L8</f>
        <v>-105.8</v>
      </c>
      <c r="S8" s="32" t="e">
        <f>R8-H8-K8</f>
        <v>#VALUE!</v>
      </c>
      <c r="T8" s="32">
        <f>R8-K8-976.1</f>
        <v>-1081.9000000000001</v>
      </c>
    </row>
    <row r="9" spans="1:20" ht="30.75" customHeight="1">
      <c r="A9" s="18">
        <v>36708</v>
      </c>
      <c r="B9" s="19">
        <v>106</v>
      </c>
      <c r="C9" s="19">
        <v>272.66300000000001</v>
      </c>
      <c r="D9" s="20">
        <v>5.85</v>
      </c>
      <c r="E9" s="20">
        <v>0</v>
      </c>
      <c r="F9" s="20">
        <v>0</v>
      </c>
      <c r="G9" s="19">
        <v>0</v>
      </c>
      <c r="H9" s="97"/>
      <c r="I9" s="19">
        <f t="shared" ref="I9:I19" si="0">D9+E9+F9+G9+H9</f>
        <v>5.85</v>
      </c>
      <c r="J9" s="97"/>
      <c r="K9" s="19">
        <v>0</v>
      </c>
      <c r="L9" s="19">
        <v>125.4</v>
      </c>
      <c r="M9" s="19">
        <v>582.67999999999995</v>
      </c>
      <c r="N9" s="19">
        <f t="shared" ref="N9:N19" si="1">IF((M9-C9)+I9+J9+K9&gt;0,(M9-C9)+I9+J9+K9,0)</f>
        <v>315.86700000000002</v>
      </c>
      <c r="O9" s="28"/>
      <c r="Q9" s="35">
        <f>(15000000/(2725*0.9*L9))</f>
        <v>48.773588126557698</v>
      </c>
    </row>
    <row r="10" spans="1:20" ht="30.75" customHeight="1">
      <c r="A10" s="18">
        <v>36739</v>
      </c>
      <c r="B10" s="19">
        <v>125.2</v>
      </c>
      <c r="C10" s="19">
        <v>578.721</v>
      </c>
      <c r="D10" s="20">
        <v>1.4890000000000001</v>
      </c>
      <c r="E10" s="20">
        <v>0</v>
      </c>
      <c r="F10" s="20">
        <v>0.2611</v>
      </c>
      <c r="G10" s="19">
        <v>0</v>
      </c>
      <c r="H10" s="97"/>
      <c r="I10" s="19">
        <f t="shared" si="0"/>
        <v>1.7501</v>
      </c>
      <c r="J10" s="97"/>
      <c r="K10" s="19">
        <v>0</v>
      </c>
      <c r="L10" s="19">
        <v>131.30000000000001</v>
      </c>
      <c r="M10" s="19">
        <v>678.38</v>
      </c>
      <c r="N10" s="19">
        <f t="shared" si="1"/>
        <v>101.4091</v>
      </c>
      <c r="O10" s="28"/>
      <c r="Q10" s="35">
        <f>(15000000/(2725*0.9*L10))</f>
        <v>46.5819341284869</v>
      </c>
    </row>
    <row r="11" spans="1:20" ht="30.75" customHeight="1">
      <c r="A11" s="18">
        <v>36770</v>
      </c>
      <c r="B11" s="19">
        <v>130.80000000000001</v>
      </c>
      <c r="C11" s="19">
        <v>678.38</v>
      </c>
      <c r="D11" s="20">
        <v>9.5180000000000007</v>
      </c>
      <c r="E11" s="20">
        <v>0</v>
      </c>
      <c r="F11" s="20">
        <v>0</v>
      </c>
      <c r="G11" s="19">
        <v>29.24</v>
      </c>
      <c r="H11" s="97"/>
      <c r="I11" s="19">
        <f t="shared" si="0"/>
        <v>38.758000000000003</v>
      </c>
      <c r="J11" s="97"/>
      <c r="K11" s="19">
        <v>0</v>
      </c>
      <c r="L11" s="19">
        <v>129.44999999999999</v>
      </c>
      <c r="M11" s="19">
        <v>666.44500000000005</v>
      </c>
      <c r="N11" s="19">
        <f t="shared" si="1"/>
        <v>26.8230000000001</v>
      </c>
      <c r="O11" s="28"/>
      <c r="Q11" s="35">
        <f>(15000000/(2725*0.9*L11))</f>
        <v>47.247647362459098</v>
      </c>
    </row>
    <row r="12" spans="1:20" ht="30.75" customHeight="1">
      <c r="A12" s="18">
        <v>36800</v>
      </c>
      <c r="B12" s="19">
        <v>129.4</v>
      </c>
      <c r="C12" s="19">
        <v>665.36</v>
      </c>
      <c r="D12" s="20">
        <v>28.76</v>
      </c>
      <c r="E12" s="20">
        <v>0</v>
      </c>
      <c r="F12" s="20">
        <v>0</v>
      </c>
      <c r="G12" s="19">
        <v>0</v>
      </c>
      <c r="H12" s="97"/>
      <c r="I12" s="19">
        <f t="shared" si="0"/>
        <v>28.76</v>
      </c>
      <c r="J12" s="97"/>
      <c r="K12" s="19">
        <v>0</v>
      </c>
      <c r="L12" s="19">
        <v>128.80000000000001</v>
      </c>
      <c r="M12" s="19">
        <v>618.38599999999997</v>
      </c>
      <c r="N12" s="19">
        <f t="shared" si="1"/>
        <v>0</v>
      </c>
      <c r="O12" s="28"/>
      <c r="Q12" s="35">
        <f t="shared" ref="Q12:Q19" si="2">(15000000/(2725*0.9*L12))</f>
        <v>47.486086576632999</v>
      </c>
    </row>
    <row r="13" spans="1:20" ht="30.75" customHeight="1">
      <c r="A13" s="18">
        <v>36831</v>
      </c>
      <c r="B13" s="19">
        <v>128.75</v>
      </c>
      <c r="C13" s="19">
        <v>651.33199999999999</v>
      </c>
      <c r="D13" s="20">
        <v>35</v>
      </c>
      <c r="E13" s="20">
        <v>0</v>
      </c>
      <c r="F13" s="20">
        <v>0</v>
      </c>
      <c r="G13" s="19">
        <v>0</v>
      </c>
      <c r="H13" s="97"/>
      <c r="I13" s="19">
        <f t="shared" si="0"/>
        <v>35</v>
      </c>
      <c r="J13" s="97"/>
      <c r="K13" s="19">
        <v>0</v>
      </c>
      <c r="L13" s="19">
        <v>127.3</v>
      </c>
      <c r="M13" s="19">
        <v>621.03300000000002</v>
      </c>
      <c r="N13" s="19">
        <f t="shared" si="1"/>
        <v>4.7010000000000201</v>
      </c>
      <c r="O13" s="28"/>
      <c r="Q13" s="35">
        <f t="shared" si="2"/>
        <v>48.045624124668798</v>
      </c>
    </row>
    <row r="14" spans="1:20" ht="30.75" customHeight="1">
      <c r="A14" s="18">
        <v>36861</v>
      </c>
      <c r="B14" s="19">
        <v>127.25</v>
      </c>
      <c r="C14" s="19">
        <v>619.99699999999996</v>
      </c>
      <c r="D14" s="20">
        <v>42.4</v>
      </c>
      <c r="E14" s="20">
        <v>0</v>
      </c>
      <c r="F14" s="20">
        <v>5</v>
      </c>
      <c r="G14" s="19">
        <v>0</v>
      </c>
      <c r="H14" s="97"/>
      <c r="I14" s="19">
        <f t="shared" si="0"/>
        <v>47.4</v>
      </c>
      <c r="J14" s="97"/>
      <c r="K14" s="19">
        <v>0</v>
      </c>
      <c r="L14" s="19">
        <v>124.1</v>
      </c>
      <c r="M14" s="19">
        <v>557.30499999999995</v>
      </c>
      <c r="N14" s="19">
        <f t="shared" si="1"/>
        <v>0</v>
      </c>
      <c r="O14" s="28"/>
      <c r="Q14" s="35">
        <f t="shared" si="2"/>
        <v>49.284512095651401</v>
      </c>
    </row>
    <row r="15" spans="1:20" ht="30.75" customHeight="1">
      <c r="A15" s="18">
        <v>36892</v>
      </c>
      <c r="B15" s="19">
        <v>124</v>
      </c>
      <c r="C15" s="19">
        <v>555.36599999999999</v>
      </c>
      <c r="D15" s="20">
        <v>37.65</v>
      </c>
      <c r="E15" s="20">
        <v>0</v>
      </c>
      <c r="F15" s="20">
        <v>10.441000000000001</v>
      </c>
      <c r="G15" s="19">
        <v>0</v>
      </c>
      <c r="H15" s="97"/>
      <c r="I15" s="19">
        <f t="shared" si="0"/>
        <v>48.091000000000001</v>
      </c>
      <c r="J15" s="97"/>
      <c r="K15" s="19">
        <v>0</v>
      </c>
      <c r="L15" s="19">
        <v>120.8</v>
      </c>
      <c r="M15" s="19">
        <v>496.26100000000002</v>
      </c>
      <c r="N15" s="19">
        <f t="shared" si="1"/>
        <v>0</v>
      </c>
      <c r="O15" s="28"/>
      <c r="Q15" s="35">
        <f t="shared" si="2"/>
        <v>50.630860522105401</v>
      </c>
    </row>
    <row r="16" spans="1:20" ht="30.75" customHeight="1">
      <c r="A16" s="18">
        <v>36923</v>
      </c>
      <c r="B16" s="19">
        <v>120.8</v>
      </c>
      <c r="C16" s="19">
        <v>496.26100000000002</v>
      </c>
      <c r="D16" s="20">
        <v>40.6</v>
      </c>
      <c r="E16" s="20">
        <v>0</v>
      </c>
      <c r="F16" s="20">
        <v>11.029</v>
      </c>
      <c r="G16" s="19">
        <v>0</v>
      </c>
      <c r="H16" s="97"/>
      <c r="I16" s="19">
        <f t="shared" si="0"/>
        <v>51.628999999999998</v>
      </c>
      <c r="J16" s="97"/>
      <c r="K16" s="19">
        <v>0</v>
      </c>
      <c r="L16" s="19">
        <v>117.6</v>
      </c>
      <c r="M16" s="19">
        <v>441.339</v>
      </c>
      <c r="N16" s="19">
        <f t="shared" si="1"/>
        <v>0</v>
      </c>
      <c r="O16" s="28"/>
      <c r="Q16" s="35">
        <f t="shared" si="2"/>
        <v>52.008571012502898</v>
      </c>
    </row>
    <row r="17" spans="1:17" ht="30.75" customHeight="1">
      <c r="A17" s="18">
        <v>36951</v>
      </c>
      <c r="B17" s="19">
        <v>117.5</v>
      </c>
      <c r="C17" s="19">
        <v>439.68900000000002</v>
      </c>
      <c r="D17" s="20">
        <v>46.7</v>
      </c>
      <c r="E17" s="20">
        <v>0</v>
      </c>
      <c r="F17" s="20">
        <v>11.544</v>
      </c>
      <c r="G17" s="19">
        <v>0</v>
      </c>
      <c r="H17" s="97"/>
      <c r="I17" s="19">
        <f t="shared" si="0"/>
        <v>58.244</v>
      </c>
      <c r="J17" s="97"/>
      <c r="K17" s="19">
        <v>0</v>
      </c>
      <c r="L17" s="19">
        <v>113.8</v>
      </c>
      <c r="M17" s="19">
        <v>381.20600000000002</v>
      </c>
      <c r="N17" s="19">
        <f t="shared" si="1"/>
        <v>0</v>
      </c>
      <c r="Q17" s="35">
        <f t="shared" si="2"/>
        <v>53.745236828386098</v>
      </c>
    </row>
    <row r="18" spans="1:17" ht="30.75" customHeight="1">
      <c r="A18" s="18">
        <v>36982</v>
      </c>
      <c r="B18" s="19">
        <v>113.6</v>
      </c>
      <c r="C18" s="19">
        <v>378.19499999999999</v>
      </c>
      <c r="D18" s="20">
        <v>40.700000000000003</v>
      </c>
      <c r="E18" s="20">
        <v>0</v>
      </c>
      <c r="F18" s="20">
        <v>11.645</v>
      </c>
      <c r="G18" s="19">
        <v>0</v>
      </c>
      <c r="H18" s="97"/>
      <c r="I18" s="19">
        <f t="shared" si="0"/>
        <v>52.344999999999999</v>
      </c>
      <c r="J18" s="97"/>
      <c r="K18" s="19">
        <v>0</v>
      </c>
      <c r="L18" s="19">
        <v>109.5</v>
      </c>
      <c r="M18" s="19">
        <v>319.93799999999999</v>
      </c>
      <c r="N18" s="19">
        <f t="shared" si="1"/>
        <v>0</v>
      </c>
      <c r="Q18" s="35">
        <f t="shared" si="2"/>
        <v>55.855780375071603</v>
      </c>
    </row>
    <row r="19" spans="1:17" ht="30.75" customHeight="1">
      <c r="A19" s="18">
        <v>37012</v>
      </c>
      <c r="B19" s="19">
        <v>109.35</v>
      </c>
      <c r="C19" s="19">
        <v>317.04700000000003</v>
      </c>
      <c r="D19" s="20">
        <v>45.9</v>
      </c>
      <c r="E19" s="20">
        <v>0</v>
      </c>
      <c r="F19" s="20">
        <v>4.3959999999999999</v>
      </c>
      <c r="G19" s="19">
        <v>0</v>
      </c>
      <c r="H19" s="98"/>
      <c r="I19" s="19">
        <f t="shared" si="0"/>
        <v>50.295999999999999</v>
      </c>
      <c r="J19" s="98"/>
      <c r="K19" s="19">
        <v>0</v>
      </c>
      <c r="L19" s="19">
        <v>104.75</v>
      </c>
      <c r="M19" s="19">
        <v>257.18700000000001</v>
      </c>
      <c r="N19" s="19">
        <f t="shared" si="1"/>
        <v>0</v>
      </c>
      <c r="Q19" s="35">
        <f t="shared" si="2"/>
        <v>58.388620057950703</v>
      </c>
    </row>
    <row r="20" spans="1:17">
      <c r="A20" s="21" t="s">
        <v>72</v>
      </c>
      <c r="B20" s="110" t="s">
        <v>73</v>
      </c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</row>
    <row r="21" spans="1:17">
      <c r="A21" s="21"/>
      <c r="B21" s="23"/>
      <c r="C21" s="21"/>
      <c r="D21" s="21"/>
      <c r="E21" s="21"/>
      <c r="F21" s="21"/>
      <c r="G21" s="24"/>
      <c r="H21" s="21"/>
      <c r="I21" s="21"/>
      <c r="J21" s="21"/>
      <c r="K21" s="21"/>
      <c r="L21" s="21"/>
      <c r="M21" s="21"/>
      <c r="N21" s="21"/>
    </row>
    <row r="22" spans="1:17">
      <c r="A22" s="21"/>
      <c r="B22" s="23"/>
      <c r="C22" s="21"/>
      <c r="D22" s="21"/>
      <c r="E22" s="21"/>
      <c r="F22" s="21"/>
      <c r="G22" s="24"/>
      <c r="H22" s="21"/>
      <c r="I22" s="21"/>
      <c r="J22" s="21"/>
      <c r="K22" s="21"/>
      <c r="L22" s="21"/>
      <c r="M22" s="21"/>
      <c r="N22" s="21"/>
    </row>
    <row r="23" spans="1:17">
      <c r="A23" s="21"/>
      <c r="B23" s="23"/>
      <c r="C23" s="21"/>
      <c r="D23" s="21"/>
      <c r="E23" s="21"/>
      <c r="F23" s="21"/>
      <c r="G23" s="24"/>
      <c r="H23" s="21"/>
      <c r="I23" s="21"/>
      <c r="J23" s="21"/>
      <c r="K23" s="21"/>
      <c r="L23" s="21"/>
      <c r="M23" s="21"/>
      <c r="N23" s="21"/>
    </row>
    <row r="24" spans="1:17" ht="18">
      <c r="A24" s="21"/>
      <c r="B24" s="23"/>
      <c r="C24" s="1" t="s">
        <v>29</v>
      </c>
      <c r="D24" s="21"/>
      <c r="E24" s="21"/>
      <c r="F24" s="1"/>
      <c r="G24" s="24"/>
      <c r="H24" s="25"/>
      <c r="I24" s="25"/>
      <c r="J24" s="1" t="s">
        <v>30</v>
      </c>
      <c r="K24" s="25"/>
      <c r="L24" s="25"/>
      <c r="M24" s="25"/>
      <c r="N24" s="25"/>
    </row>
    <row r="25" spans="1:17">
      <c r="A25" s="21"/>
      <c r="B25" s="23"/>
      <c r="C25" s="21" t="s">
        <v>74</v>
      </c>
      <c r="D25" s="21"/>
      <c r="E25" s="21"/>
      <c r="F25" s="21"/>
      <c r="G25" s="24"/>
      <c r="H25" s="25"/>
      <c r="I25" s="25"/>
      <c r="J25" s="21" t="s">
        <v>75</v>
      </c>
      <c r="K25" s="25"/>
      <c r="L25" s="25"/>
      <c r="M25" s="25"/>
      <c r="N25" s="25"/>
    </row>
    <row r="26" spans="1:17">
      <c r="A26" s="21"/>
      <c r="B26" s="23"/>
      <c r="C26" s="21" t="s">
        <v>33</v>
      </c>
      <c r="D26" s="21"/>
      <c r="E26" s="21"/>
      <c r="F26" s="21"/>
      <c r="G26" s="24"/>
      <c r="H26" s="25"/>
      <c r="I26" s="99" t="s">
        <v>33</v>
      </c>
      <c r="J26" s="99"/>
      <c r="K26" s="99"/>
      <c r="L26" s="25"/>
      <c r="M26" s="25"/>
      <c r="N26" s="25"/>
    </row>
  </sheetData>
  <mergeCells count="20">
    <mergeCell ref="M4:M6"/>
    <mergeCell ref="N4:N6"/>
    <mergeCell ref="A1:N1"/>
    <mergeCell ref="D4:H4"/>
    <mergeCell ref="B20:N20"/>
    <mergeCell ref="I26:K26"/>
    <mergeCell ref="A4:A6"/>
    <mergeCell ref="B4:B6"/>
    <mergeCell ref="C4:C6"/>
    <mergeCell ref="D5:D6"/>
    <mergeCell ref="E5:E6"/>
    <mergeCell ref="F5:F6"/>
    <mergeCell ref="G5:G6"/>
    <mergeCell ref="H5:H6"/>
    <mergeCell ref="H8:H19"/>
    <mergeCell ref="I4:I6"/>
    <mergeCell ref="J4:J6"/>
    <mergeCell ref="J8:J19"/>
    <mergeCell ref="K4:K6"/>
    <mergeCell ref="L4:L6"/>
  </mergeCells>
  <printOptions horizontalCentered="1" verticalCentered="1"/>
  <pageMargins left="0.2" right="0.2" top="0.25" bottom="0.25" header="0.3" footer="0.3"/>
  <pageSetup scale="85"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FF00"/>
  </sheetPr>
  <dimension ref="A1:T26"/>
  <sheetViews>
    <sheetView topLeftCell="A6" workbookViewId="0">
      <selection activeCell="R8" sqref="R8:T8"/>
    </sheetView>
  </sheetViews>
  <sheetFormatPr defaultColWidth="9" defaultRowHeight="14.4"/>
  <cols>
    <col min="6" max="6" width="9.5546875" customWidth="1"/>
    <col min="7" max="7" width="12.5546875" customWidth="1"/>
    <col min="10" max="10" width="11.6640625" customWidth="1"/>
    <col min="11" max="11" width="9.5546875" customWidth="1"/>
    <col min="14" max="14" width="10.33203125" customWidth="1"/>
  </cols>
  <sheetData>
    <row r="1" spans="1:20" ht="18">
      <c r="A1" s="105" t="s">
        <v>90</v>
      </c>
      <c r="B1" s="105"/>
      <c r="C1" s="105"/>
      <c r="D1" s="105"/>
      <c r="E1" s="105"/>
      <c r="F1" s="105"/>
      <c r="G1" s="106"/>
      <c r="H1" s="106"/>
      <c r="I1" s="106"/>
      <c r="J1" s="106"/>
      <c r="K1" s="106"/>
      <c r="L1" s="106"/>
      <c r="M1" s="106"/>
      <c r="N1" s="106"/>
      <c r="O1" s="26"/>
    </row>
    <row r="2" spans="1:20" ht="18">
      <c r="A2" s="3" t="s">
        <v>1</v>
      </c>
      <c r="B2" s="80" t="s">
        <v>2</v>
      </c>
      <c r="C2" s="4"/>
      <c r="D2" s="4"/>
      <c r="E2" s="4"/>
      <c r="F2" s="3"/>
      <c r="G2" s="5"/>
      <c r="H2" s="2"/>
      <c r="I2" s="2"/>
      <c r="J2" s="2"/>
      <c r="K2" s="2"/>
      <c r="L2" s="2"/>
      <c r="M2" s="2"/>
      <c r="N2" s="2"/>
      <c r="O2" s="26"/>
    </row>
    <row r="3" spans="1:20" ht="18">
      <c r="A3" s="3" t="s">
        <v>3</v>
      </c>
      <c r="B3" s="80" t="s">
        <v>4</v>
      </c>
      <c r="C3" s="6"/>
      <c r="D3" s="6"/>
      <c r="E3" s="6"/>
      <c r="F3" s="6"/>
      <c r="G3" s="7"/>
      <c r="H3" s="8"/>
      <c r="I3" s="8"/>
      <c r="J3" s="8"/>
      <c r="K3" s="8"/>
      <c r="L3" s="8"/>
      <c r="M3" s="8"/>
      <c r="N3" s="8"/>
    </row>
    <row r="4" spans="1:20">
      <c r="A4" s="88" t="s">
        <v>5</v>
      </c>
      <c r="B4" s="87" t="s">
        <v>62</v>
      </c>
      <c r="C4" s="92" t="s">
        <v>63</v>
      </c>
      <c r="D4" s="113" t="s">
        <v>64</v>
      </c>
      <c r="E4" s="113"/>
      <c r="F4" s="113"/>
      <c r="G4" s="113"/>
      <c r="H4" s="113"/>
      <c r="I4" s="92" t="s">
        <v>65</v>
      </c>
      <c r="J4" s="92" t="s">
        <v>10</v>
      </c>
      <c r="K4" s="92" t="s">
        <v>11</v>
      </c>
      <c r="L4" s="107" t="s">
        <v>66</v>
      </c>
      <c r="M4" s="89" t="s">
        <v>67</v>
      </c>
      <c r="N4" s="92" t="s">
        <v>68</v>
      </c>
    </row>
    <row r="5" spans="1:20">
      <c r="A5" s="88"/>
      <c r="B5" s="87"/>
      <c r="C5" s="92"/>
      <c r="D5" s="114" t="s">
        <v>69</v>
      </c>
      <c r="E5" s="114" t="s">
        <v>16</v>
      </c>
      <c r="F5" s="114" t="s">
        <v>17</v>
      </c>
      <c r="G5" s="90" t="s">
        <v>70</v>
      </c>
      <c r="H5" s="91" t="s">
        <v>71</v>
      </c>
      <c r="I5" s="92"/>
      <c r="J5" s="102"/>
      <c r="K5" s="102"/>
      <c r="L5" s="108"/>
      <c r="M5" s="90"/>
      <c r="N5" s="92"/>
      <c r="O5" s="28"/>
    </row>
    <row r="6" spans="1:20" ht="97.5" customHeight="1">
      <c r="A6" s="88"/>
      <c r="B6" s="87"/>
      <c r="C6" s="92"/>
      <c r="D6" s="115"/>
      <c r="E6" s="115"/>
      <c r="F6" s="115"/>
      <c r="G6" s="91"/>
      <c r="H6" s="92"/>
      <c r="I6" s="92"/>
      <c r="J6" s="102"/>
      <c r="K6" s="102"/>
      <c r="L6" s="109"/>
      <c r="M6" s="91"/>
      <c r="N6" s="92"/>
      <c r="O6" s="28"/>
      <c r="Q6" s="29" t="s">
        <v>20</v>
      </c>
    </row>
    <row r="7" spans="1:20">
      <c r="A7" s="15">
        <v>1</v>
      </c>
      <c r="B7" s="16">
        <v>2</v>
      </c>
      <c r="C7" s="15">
        <v>3</v>
      </c>
      <c r="D7" s="15">
        <v>4</v>
      </c>
      <c r="E7" s="15">
        <v>5</v>
      </c>
      <c r="F7" s="15">
        <v>6</v>
      </c>
      <c r="G7" s="17">
        <v>7</v>
      </c>
      <c r="H7" s="17">
        <v>8</v>
      </c>
      <c r="I7" s="17">
        <v>9</v>
      </c>
      <c r="J7" s="17">
        <v>10</v>
      </c>
      <c r="K7" s="17">
        <v>11</v>
      </c>
      <c r="L7" s="17">
        <v>12</v>
      </c>
      <c r="M7" s="17">
        <v>13</v>
      </c>
      <c r="N7" s="17">
        <v>14</v>
      </c>
      <c r="O7" s="28"/>
    </row>
    <row r="8" spans="1:20" ht="30.75" customHeight="1">
      <c r="A8" s="18">
        <v>36312</v>
      </c>
      <c r="B8" s="19">
        <v>108.3</v>
      </c>
      <c r="C8" s="19">
        <v>302.73899999999998</v>
      </c>
      <c r="D8" s="20">
        <v>30.2</v>
      </c>
      <c r="E8" s="20">
        <v>0</v>
      </c>
      <c r="F8" s="20">
        <v>0</v>
      </c>
      <c r="G8" s="20">
        <v>0</v>
      </c>
      <c r="H8" s="96" t="s">
        <v>57</v>
      </c>
      <c r="I8" s="19">
        <f>D8+E8+F8+G8+0</f>
        <v>30.2</v>
      </c>
      <c r="J8" s="96" t="s">
        <v>57</v>
      </c>
      <c r="K8" s="19">
        <v>0</v>
      </c>
      <c r="L8" s="19">
        <v>114.1</v>
      </c>
      <c r="M8" s="19">
        <v>385.767</v>
      </c>
      <c r="N8" s="19">
        <v>113.22799999999999</v>
      </c>
      <c r="O8" s="28"/>
      <c r="Q8" s="33">
        <f t="shared" ref="Q8:Q19" si="0">(15000000/(2725*0.9*L8))</f>
        <v>53.603925951536702</v>
      </c>
      <c r="R8" s="32">
        <f>E8+P8-L8</f>
        <v>-114.1</v>
      </c>
      <c r="S8" s="32" t="e">
        <f>R8-H8-K8</f>
        <v>#VALUE!</v>
      </c>
      <c r="T8" s="32">
        <f>R8-K8-976.1</f>
        <v>-1090.2</v>
      </c>
    </row>
    <row r="9" spans="1:20" ht="30.75" customHeight="1">
      <c r="A9" s="18">
        <v>36342</v>
      </c>
      <c r="B9" s="19">
        <v>114.2</v>
      </c>
      <c r="C9" s="19">
        <v>387.31799999999998</v>
      </c>
      <c r="D9" s="20">
        <v>1.5</v>
      </c>
      <c r="E9" s="20">
        <v>0</v>
      </c>
      <c r="F9" s="20">
        <v>0</v>
      </c>
      <c r="G9" s="19">
        <v>0</v>
      </c>
      <c r="H9" s="97"/>
      <c r="I9" s="19">
        <f t="shared" ref="I9:I19" si="1">D9+E9+F9+G9+H9</f>
        <v>1.5</v>
      </c>
      <c r="J9" s="97"/>
      <c r="K9" s="19">
        <v>0</v>
      </c>
      <c r="L9" s="19">
        <v>129.30000000000001</v>
      </c>
      <c r="M9" s="19">
        <v>663.19799999999998</v>
      </c>
      <c r="N9" s="19">
        <f t="shared" ref="N9:N19" si="2">IF((M9-C9)+I9+J9+K9&gt;0,(M9-C9)+I9+J9+K9,0)</f>
        <v>277.38</v>
      </c>
      <c r="O9" s="28"/>
      <c r="Q9" s="33">
        <f t="shared" si="0"/>
        <v>47.302459018332101</v>
      </c>
    </row>
    <row r="10" spans="1:20" ht="30.75" customHeight="1">
      <c r="A10" s="18">
        <v>36373</v>
      </c>
      <c r="B10" s="19">
        <v>129.30000000000001</v>
      </c>
      <c r="C10" s="19">
        <v>663.19799999999998</v>
      </c>
      <c r="D10" s="20">
        <v>13.68</v>
      </c>
      <c r="E10" s="20">
        <v>0</v>
      </c>
      <c r="F10" s="20">
        <v>0</v>
      </c>
      <c r="G10" s="19">
        <v>2.0489999999999999</v>
      </c>
      <c r="H10" s="97"/>
      <c r="I10" s="19">
        <f t="shared" si="1"/>
        <v>15.728999999999999</v>
      </c>
      <c r="J10" s="97"/>
      <c r="K10" s="19">
        <v>0</v>
      </c>
      <c r="L10" s="19">
        <v>129.6</v>
      </c>
      <c r="M10" s="19">
        <v>669.70299999999997</v>
      </c>
      <c r="N10" s="19">
        <f t="shared" si="2"/>
        <v>22.234000000000002</v>
      </c>
      <c r="O10" s="28"/>
      <c r="Q10" s="33">
        <f t="shared" si="0"/>
        <v>47.192962585419302</v>
      </c>
    </row>
    <row r="11" spans="1:20" ht="30.75" customHeight="1">
      <c r="A11" s="18">
        <v>36404</v>
      </c>
      <c r="B11" s="19">
        <v>129.5</v>
      </c>
      <c r="C11" s="19">
        <v>667.53700000000003</v>
      </c>
      <c r="D11" s="20">
        <v>60</v>
      </c>
      <c r="E11" s="20">
        <v>0</v>
      </c>
      <c r="F11" s="20">
        <v>0</v>
      </c>
      <c r="G11" s="19">
        <v>55.62</v>
      </c>
      <c r="H11" s="97"/>
      <c r="I11" s="19">
        <f t="shared" si="1"/>
        <v>115.62</v>
      </c>
      <c r="J11" s="97"/>
      <c r="K11" s="19">
        <v>0</v>
      </c>
      <c r="L11" s="19">
        <v>130.25</v>
      </c>
      <c r="M11" s="19">
        <v>678.38</v>
      </c>
      <c r="N11" s="19">
        <f t="shared" si="2"/>
        <v>126.46299999999999</v>
      </c>
      <c r="O11" s="28"/>
      <c r="Q11" s="33">
        <f t="shared" si="0"/>
        <v>46.957450680002601</v>
      </c>
    </row>
    <row r="12" spans="1:20" ht="30.75" customHeight="1">
      <c r="A12" s="18">
        <v>36434</v>
      </c>
      <c r="B12" s="19">
        <v>130.30000000000001</v>
      </c>
      <c r="C12" s="19">
        <v>678.38</v>
      </c>
      <c r="D12" s="20">
        <v>16.64</v>
      </c>
      <c r="E12" s="20">
        <v>0</v>
      </c>
      <c r="F12" s="20">
        <v>0</v>
      </c>
      <c r="G12" s="19">
        <v>42.29</v>
      </c>
      <c r="H12" s="97"/>
      <c r="I12" s="19">
        <f t="shared" si="1"/>
        <v>58.93</v>
      </c>
      <c r="J12" s="97"/>
      <c r="K12" s="19">
        <v>0</v>
      </c>
      <c r="L12" s="19">
        <v>129.37</v>
      </c>
      <c r="M12" s="19">
        <v>664.71600000000001</v>
      </c>
      <c r="N12" s="19">
        <f t="shared" si="2"/>
        <v>45.265999999999998</v>
      </c>
      <c r="O12" s="28"/>
      <c r="Q12" s="33">
        <f t="shared" si="0"/>
        <v>47.276864428154397</v>
      </c>
    </row>
    <row r="13" spans="1:20" ht="30.75" customHeight="1">
      <c r="A13" s="18">
        <v>36465</v>
      </c>
      <c r="B13" s="19">
        <v>129.35</v>
      </c>
      <c r="C13" s="19">
        <v>664.28200000000004</v>
      </c>
      <c r="D13" s="20">
        <v>40</v>
      </c>
      <c r="E13" s="20">
        <v>0</v>
      </c>
      <c r="F13" s="20">
        <v>0</v>
      </c>
      <c r="G13" s="19">
        <v>0</v>
      </c>
      <c r="H13" s="97"/>
      <c r="I13" s="19">
        <f t="shared" si="1"/>
        <v>40</v>
      </c>
      <c r="J13" s="97"/>
      <c r="K13" s="19">
        <v>0</v>
      </c>
      <c r="L13" s="19">
        <v>127</v>
      </c>
      <c r="M13" s="19">
        <v>580.82000000000005</v>
      </c>
      <c r="N13" s="19">
        <f t="shared" si="2"/>
        <v>0</v>
      </c>
      <c r="O13" s="28"/>
      <c r="Q13" s="33">
        <f t="shared" si="0"/>
        <v>48.159117724963302</v>
      </c>
    </row>
    <row r="14" spans="1:20" ht="30.75" customHeight="1">
      <c r="A14" s="18">
        <v>36495</v>
      </c>
      <c r="B14" s="19">
        <v>126.9</v>
      </c>
      <c r="C14" s="19">
        <v>612.79300000000001</v>
      </c>
      <c r="D14" s="20">
        <v>11.25</v>
      </c>
      <c r="E14" s="20">
        <v>0</v>
      </c>
      <c r="F14" s="20">
        <v>0.51</v>
      </c>
      <c r="G14" s="19">
        <v>0</v>
      </c>
      <c r="H14" s="97"/>
      <c r="I14" s="19">
        <f t="shared" si="1"/>
        <v>11.76</v>
      </c>
      <c r="J14" s="97"/>
      <c r="K14" s="19">
        <v>0</v>
      </c>
      <c r="L14" s="19">
        <v>124.3</v>
      </c>
      <c r="M14" s="19">
        <v>561.18499999999995</v>
      </c>
      <c r="N14" s="19">
        <f t="shared" si="2"/>
        <v>0</v>
      </c>
      <c r="O14" s="28"/>
      <c r="Q14" s="33">
        <f t="shared" si="0"/>
        <v>49.205212800244098</v>
      </c>
    </row>
    <row r="15" spans="1:20" ht="30.75" customHeight="1">
      <c r="A15" s="18">
        <v>36526</v>
      </c>
      <c r="B15" s="19">
        <v>124.2</v>
      </c>
      <c r="C15" s="19">
        <v>559.245</v>
      </c>
      <c r="D15" s="20">
        <v>37.450000000000003</v>
      </c>
      <c r="E15" s="20">
        <v>0</v>
      </c>
      <c r="F15" s="20">
        <v>1.974</v>
      </c>
      <c r="G15" s="19">
        <v>0</v>
      </c>
      <c r="H15" s="97"/>
      <c r="I15" s="19">
        <f t="shared" si="1"/>
        <v>39.423999999999999</v>
      </c>
      <c r="J15" s="97"/>
      <c r="K15" s="19">
        <v>0</v>
      </c>
      <c r="L15" s="19">
        <v>121.3</v>
      </c>
      <c r="M15" s="19">
        <v>505.21199999999999</v>
      </c>
      <c r="N15" s="19">
        <f t="shared" si="2"/>
        <v>0</v>
      </c>
      <c r="O15" s="28"/>
      <c r="Q15" s="33">
        <f t="shared" si="0"/>
        <v>50.422159530670498</v>
      </c>
    </row>
    <row r="16" spans="1:20" ht="30.75" customHeight="1">
      <c r="A16" s="18">
        <v>36557</v>
      </c>
      <c r="B16" s="19">
        <v>121.2</v>
      </c>
      <c r="C16" s="19">
        <v>503.40100000000001</v>
      </c>
      <c r="D16" s="20">
        <v>32.65</v>
      </c>
      <c r="E16" s="20">
        <v>0</v>
      </c>
      <c r="F16" s="20">
        <v>1.8720000000000001</v>
      </c>
      <c r="G16" s="19">
        <v>0</v>
      </c>
      <c r="H16" s="97"/>
      <c r="I16" s="19">
        <f t="shared" si="1"/>
        <v>34.521999999999998</v>
      </c>
      <c r="J16" s="97"/>
      <c r="K16" s="19">
        <v>0</v>
      </c>
      <c r="L16" s="19">
        <v>118.6</v>
      </c>
      <c r="M16" s="19">
        <v>458.072</v>
      </c>
      <c r="N16" s="19">
        <f t="shared" si="2"/>
        <v>0</v>
      </c>
      <c r="O16" s="28"/>
      <c r="Q16" s="33">
        <f t="shared" si="0"/>
        <v>51.5700501776588</v>
      </c>
    </row>
    <row r="17" spans="1:17" ht="30.75" customHeight="1">
      <c r="A17" s="18">
        <v>36586</v>
      </c>
      <c r="B17" s="19">
        <v>118.5</v>
      </c>
      <c r="C17" s="19">
        <v>456.38400000000001</v>
      </c>
      <c r="D17" s="20">
        <v>43.45</v>
      </c>
      <c r="E17" s="20">
        <v>0</v>
      </c>
      <c r="F17" s="20">
        <v>1.7949999999999999</v>
      </c>
      <c r="G17" s="19">
        <v>0</v>
      </c>
      <c r="H17" s="97"/>
      <c r="I17" s="19">
        <f t="shared" si="1"/>
        <v>45.244999999999997</v>
      </c>
      <c r="J17" s="97"/>
      <c r="K17" s="19">
        <v>0</v>
      </c>
      <c r="L17" s="19">
        <v>115.3</v>
      </c>
      <c r="M17" s="19">
        <v>404.404</v>
      </c>
      <c r="N17" s="19">
        <f t="shared" si="2"/>
        <v>0</v>
      </c>
      <c r="Q17" s="33">
        <f t="shared" si="0"/>
        <v>53.0460360023446</v>
      </c>
    </row>
    <row r="18" spans="1:17" ht="30.75" customHeight="1">
      <c r="A18" s="18">
        <v>36617</v>
      </c>
      <c r="B18" s="19">
        <v>115.2</v>
      </c>
      <c r="C18" s="19">
        <v>402.84500000000003</v>
      </c>
      <c r="D18" s="20">
        <v>43</v>
      </c>
      <c r="E18" s="20">
        <v>0</v>
      </c>
      <c r="F18" s="20">
        <v>1.3819999999999999</v>
      </c>
      <c r="G18" s="19">
        <v>0</v>
      </c>
      <c r="H18" s="97"/>
      <c r="I18" s="19">
        <f t="shared" si="1"/>
        <v>44.381999999999998</v>
      </c>
      <c r="J18" s="97"/>
      <c r="K18" s="19">
        <v>0</v>
      </c>
      <c r="L18" s="19">
        <v>110.5</v>
      </c>
      <c r="M18" s="19">
        <v>333.06700000000001</v>
      </c>
      <c r="N18" s="19">
        <f t="shared" si="2"/>
        <v>0</v>
      </c>
      <c r="Q18" s="33">
        <f t="shared" si="0"/>
        <v>55.350298199731597</v>
      </c>
    </row>
    <row r="19" spans="1:17" ht="30.75" customHeight="1">
      <c r="A19" s="18">
        <v>36647</v>
      </c>
      <c r="B19" s="19">
        <v>110.3</v>
      </c>
      <c r="C19" s="19">
        <v>330.28300000000002</v>
      </c>
      <c r="D19" s="20">
        <v>30.7</v>
      </c>
      <c r="E19" s="20">
        <v>0</v>
      </c>
      <c r="F19" s="20">
        <v>0.61199999999999999</v>
      </c>
      <c r="G19" s="19">
        <v>0</v>
      </c>
      <c r="H19" s="98"/>
      <c r="I19" s="19">
        <f t="shared" si="1"/>
        <v>31.312000000000001</v>
      </c>
      <c r="J19" s="98"/>
      <c r="K19" s="19">
        <v>0</v>
      </c>
      <c r="L19" s="19">
        <v>105.8</v>
      </c>
      <c r="M19" s="19">
        <v>270.19200000000001</v>
      </c>
      <c r="N19" s="19">
        <f t="shared" si="2"/>
        <v>0</v>
      </c>
      <c r="Q19" s="33">
        <f t="shared" si="0"/>
        <v>57.809148875901101</v>
      </c>
    </row>
    <row r="20" spans="1:17">
      <c r="A20" s="21" t="s">
        <v>72</v>
      </c>
      <c r="B20" s="110" t="s">
        <v>73</v>
      </c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</row>
    <row r="21" spans="1:17">
      <c r="A21" s="21"/>
      <c r="B21" s="23"/>
      <c r="C21" s="21"/>
      <c r="D21" s="21"/>
      <c r="E21" s="21"/>
      <c r="F21" s="21"/>
      <c r="G21" s="24"/>
      <c r="H21" s="21"/>
      <c r="I21" s="21"/>
      <c r="J21" s="21"/>
      <c r="K21" s="21"/>
      <c r="L21" s="21"/>
      <c r="M21" s="21"/>
      <c r="N21" s="21"/>
    </row>
    <row r="22" spans="1:17">
      <c r="A22" s="21"/>
      <c r="B22" s="23"/>
      <c r="C22" s="21"/>
      <c r="D22" s="21"/>
      <c r="E22" s="21"/>
      <c r="F22" s="21"/>
      <c r="G22" s="24"/>
      <c r="H22" s="21"/>
      <c r="I22" s="21"/>
      <c r="J22" s="21"/>
      <c r="K22" s="21"/>
      <c r="L22" s="21"/>
      <c r="M22" s="21"/>
      <c r="N22" s="21"/>
    </row>
    <row r="23" spans="1:17">
      <c r="A23" s="21"/>
      <c r="B23" s="23"/>
      <c r="C23" s="21"/>
      <c r="D23" s="21"/>
      <c r="E23" s="21"/>
      <c r="F23" s="21"/>
      <c r="G23" s="24"/>
      <c r="H23" s="21"/>
      <c r="I23" s="21"/>
      <c r="J23" s="21"/>
      <c r="K23" s="21"/>
      <c r="L23" s="21"/>
      <c r="M23" s="21"/>
      <c r="N23" s="21"/>
    </row>
    <row r="24" spans="1:17" ht="18">
      <c r="A24" s="21"/>
      <c r="B24" s="23"/>
      <c r="C24" s="1" t="s">
        <v>29</v>
      </c>
      <c r="D24" s="21"/>
      <c r="E24" s="21"/>
      <c r="F24" s="1"/>
      <c r="G24" s="24"/>
      <c r="H24" s="25"/>
      <c r="I24" s="25"/>
      <c r="J24" s="1" t="s">
        <v>30</v>
      </c>
      <c r="K24" s="25"/>
      <c r="L24" s="25"/>
      <c r="M24" s="25"/>
      <c r="N24" s="25"/>
    </row>
    <row r="25" spans="1:17">
      <c r="A25" s="21"/>
      <c r="B25" s="23"/>
      <c r="C25" s="21" t="s">
        <v>74</v>
      </c>
      <c r="D25" s="21"/>
      <c r="E25" s="21"/>
      <c r="F25" s="21"/>
      <c r="G25" s="24"/>
      <c r="H25" s="25"/>
      <c r="I25" s="25"/>
      <c r="J25" s="21" t="s">
        <v>75</v>
      </c>
      <c r="K25" s="25"/>
      <c r="L25" s="25"/>
      <c r="M25" s="25"/>
      <c r="N25" s="25"/>
    </row>
    <row r="26" spans="1:17">
      <c r="A26" s="21"/>
      <c r="B26" s="23"/>
      <c r="C26" s="21" t="s">
        <v>33</v>
      </c>
      <c r="D26" s="21"/>
      <c r="E26" s="21"/>
      <c r="F26" s="21"/>
      <c r="G26" s="24"/>
      <c r="H26" s="25"/>
      <c r="I26" s="99" t="s">
        <v>33</v>
      </c>
      <c r="J26" s="99"/>
      <c r="K26" s="99"/>
      <c r="L26" s="25"/>
      <c r="M26" s="25"/>
      <c r="N26" s="25"/>
    </row>
  </sheetData>
  <mergeCells count="20">
    <mergeCell ref="M4:M6"/>
    <mergeCell ref="N4:N6"/>
    <mergeCell ref="A1:N1"/>
    <mergeCell ref="D4:H4"/>
    <mergeCell ref="B20:N20"/>
    <mergeCell ref="I26:K26"/>
    <mergeCell ref="A4:A6"/>
    <mergeCell ref="B4:B6"/>
    <mergeCell ref="C4:C6"/>
    <mergeCell ref="D5:D6"/>
    <mergeCell ref="E5:E6"/>
    <mergeCell ref="F5:F6"/>
    <mergeCell ref="G5:G6"/>
    <mergeCell ref="H5:H6"/>
    <mergeCell ref="H8:H19"/>
    <mergeCell ref="I4:I6"/>
    <mergeCell ref="J4:J6"/>
    <mergeCell ref="J8:J19"/>
    <mergeCell ref="K4:K6"/>
    <mergeCell ref="L4:L6"/>
  </mergeCells>
  <printOptions horizontalCentered="1" verticalCentered="1"/>
  <pageMargins left="0.2" right="0.2" top="0.25" bottom="0.25" header="0.3" footer="0.3"/>
  <pageSetup scale="85"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FF00"/>
  </sheetPr>
  <dimension ref="A1:T26"/>
  <sheetViews>
    <sheetView topLeftCell="A6" workbookViewId="0">
      <selection activeCell="R8" sqref="R8:T8"/>
    </sheetView>
  </sheetViews>
  <sheetFormatPr defaultColWidth="9" defaultRowHeight="14.4"/>
  <cols>
    <col min="6" max="6" width="9.5546875" customWidth="1"/>
    <col min="7" max="7" width="12.5546875" customWidth="1"/>
    <col min="10" max="10" width="11.6640625" customWidth="1"/>
    <col min="11" max="11" width="10.109375" customWidth="1"/>
    <col min="14" max="14" width="10.33203125" customWidth="1"/>
  </cols>
  <sheetData>
    <row r="1" spans="1:20" ht="18">
      <c r="A1" s="105" t="s">
        <v>91</v>
      </c>
      <c r="B1" s="105"/>
      <c r="C1" s="105"/>
      <c r="D1" s="105"/>
      <c r="E1" s="105"/>
      <c r="F1" s="105"/>
      <c r="G1" s="106"/>
      <c r="H1" s="106"/>
      <c r="I1" s="106"/>
      <c r="J1" s="106"/>
      <c r="K1" s="106"/>
      <c r="L1" s="106"/>
      <c r="M1" s="106"/>
      <c r="N1" s="106"/>
      <c r="O1" s="26"/>
    </row>
    <row r="2" spans="1:20" ht="18">
      <c r="A2" s="3" t="s">
        <v>1</v>
      </c>
      <c r="B2" s="80" t="s">
        <v>2</v>
      </c>
      <c r="C2" s="4"/>
      <c r="D2" s="4"/>
      <c r="E2" s="4"/>
      <c r="F2" s="3"/>
      <c r="G2" s="5"/>
      <c r="H2" s="2"/>
      <c r="I2" s="2"/>
      <c r="J2" s="2"/>
      <c r="K2" s="2"/>
      <c r="L2" s="2"/>
      <c r="M2" s="2"/>
      <c r="N2" s="2"/>
      <c r="O2" s="26"/>
    </row>
    <row r="3" spans="1:20" ht="18">
      <c r="A3" s="3" t="s">
        <v>3</v>
      </c>
      <c r="B3" s="80" t="s">
        <v>4</v>
      </c>
      <c r="C3" s="6"/>
      <c r="D3" s="6"/>
      <c r="E3" s="6"/>
      <c r="F3" s="6"/>
      <c r="G3" s="7"/>
      <c r="H3" s="8"/>
      <c r="I3" s="8"/>
      <c r="J3" s="8"/>
      <c r="K3" s="8"/>
      <c r="L3" s="8"/>
      <c r="M3" s="8"/>
      <c r="N3" s="8"/>
    </row>
    <row r="4" spans="1:20">
      <c r="A4" s="88" t="s">
        <v>5</v>
      </c>
      <c r="B4" s="87" t="s">
        <v>62</v>
      </c>
      <c r="C4" s="92" t="s">
        <v>63</v>
      </c>
      <c r="D4" s="113" t="s">
        <v>64</v>
      </c>
      <c r="E4" s="113"/>
      <c r="F4" s="113"/>
      <c r="G4" s="113"/>
      <c r="H4" s="113"/>
      <c r="I4" s="92" t="s">
        <v>65</v>
      </c>
      <c r="J4" s="92" t="s">
        <v>10</v>
      </c>
      <c r="K4" s="92" t="s">
        <v>11</v>
      </c>
      <c r="L4" s="107" t="s">
        <v>66</v>
      </c>
      <c r="M4" s="89" t="s">
        <v>67</v>
      </c>
      <c r="N4" s="92" t="s">
        <v>68</v>
      </c>
    </row>
    <row r="5" spans="1:20">
      <c r="A5" s="88"/>
      <c r="B5" s="87"/>
      <c r="C5" s="92"/>
      <c r="D5" s="114" t="s">
        <v>69</v>
      </c>
      <c r="E5" s="114" t="s">
        <v>16</v>
      </c>
      <c r="F5" s="114" t="s">
        <v>17</v>
      </c>
      <c r="G5" s="90" t="s">
        <v>70</v>
      </c>
      <c r="H5" s="91" t="s">
        <v>71</v>
      </c>
      <c r="I5" s="92"/>
      <c r="J5" s="102"/>
      <c r="K5" s="102"/>
      <c r="L5" s="108"/>
      <c r="M5" s="90"/>
      <c r="N5" s="92"/>
      <c r="O5" s="28"/>
    </row>
    <row r="6" spans="1:20" ht="87.75" customHeight="1">
      <c r="A6" s="88"/>
      <c r="B6" s="87"/>
      <c r="C6" s="92"/>
      <c r="D6" s="115"/>
      <c r="E6" s="115"/>
      <c r="F6" s="115"/>
      <c r="G6" s="91"/>
      <c r="H6" s="92"/>
      <c r="I6" s="92"/>
      <c r="J6" s="102"/>
      <c r="K6" s="102"/>
      <c r="L6" s="109"/>
      <c r="M6" s="91"/>
      <c r="N6" s="92"/>
      <c r="O6" s="28"/>
      <c r="Q6" s="29" t="s">
        <v>20</v>
      </c>
    </row>
    <row r="7" spans="1:20">
      <c r="A7" s="15">
        <v>1</v>
      </c>
      <c r="B7" s="16">
        <v>2</v>
      </c>
      <c r="C7" s="15">
        <v>3</v>
      </c>
      <c r="D7" s="15">
        <v>4</v>
      </c>
      <c r="E7" s="15">
        <v>5</v>
      </c>
      <c r="F7" s="15">
        <v>6</v>
      </c>
      <c r="G7" s="17">
        <v>7</v>
      </c>
      <c r="H7" s="17">
        <v>8</v>
      </c>
      <c r="I7" s="17">
        <v>9</v>
      </c>
      <c r="J7" s="17">
        <v>10</v>
      </c>
      <c r="K7" s="17">
        <v>11</v>
      </c>
      <c r="L7" s="17">
        <v>12</v>
      </c>
      <c r="M7" s="17">
        <v>13</v>
      </c>
      <c r="N7" s="17">
        <v>14</v>
      </c>
      <c r="O7" s="28"/>
    </row>
    <row r="8" spans="1:20" ht="30.75" customHeight="1">
      <c r="A8" s="18">
        <v>35947</v>
      </c>
      <c r="B8" s="19">
        <v>104.95</v>
      </c>
      <c r="C8" s="19">
        <v>259.68700000000001</v>
      </c>
      <c r="D8" s="20">
        <v>0</v>
      </c>
      <c r="E8" s="20">
        <v>46.72</v>
      </c>
      <c r="F8" s="20">
        <v>1.466</v>
      </c>
      <c r="G8" s="20">
        <v>0</v>
      </c>
      <c r="H8" s="96" t="s">
        <v>57</v>
      </c>
      <c r="I8" s="19">
        <f>D8+E8+F8+G8+0</f>
        <v>48.186</v>
      </c>
      <c r="J8" s="96" t="s">
        <v>57</v>
      </c>
      <c r="K8" s="19">
        <v>0</v>
      </c>
      <c r="L8" s="19">
        <v>101.1</v>
      </c>
      <c r="M8" s="19">
        <v>213.67099999999999</v>
      </c>
      <c r="N8" s="19">
        <v>2.17</v>
      </c>
      <c r="O8" s="28"/>
      <c r="Q8" s="33">
        <f>(15000000/(2725*0.9*L8))</f>
        <v>60.496616726709597</v>
      </c>
      <c r="R8" s="32">
        <f>E8+P8-L8</f>
        <v>-54.38</v>
      </c>
      <c r="S8" s="32" t="e">
        <f>R8-H8-K8</f>
        <v>#VALUE!</v>
      </c>
      <c r="T8" s="32">
        <f>R8-K8-976.1</f>
        <v>-1030.48</v>
      </c>
    </row>
    <row r="9" spans="1:20" ht="30.75" customHeight="1">
      <c r="A9" s="18">
        <v>35977</v>
      </c>
      <c r="B9" s="19">
        <v>101.6</v>
      </c>
      <c r="C9" s="19">
        <v>219.57900000000001</v>
      </c>
      <c r="D9" s="20">
        <v>13.51</v>
      </c>
      <c r="E9" s="20">
        <v>0</v>
      </c>
      <c r="F9" s="20">
        <v>0</v>
      </c>
      <c r="G9" s="19">
        <v>0</v>
      </c>
      <c r="H9" s="97"/>
      <c r="I9" s="19">
        <f t="shared" ref="I9:I19" si="0">D9+E9+F9+G9+H9</f>
        <v>13.51</v>
      </c>
      <c r="J9" s="97"/>
      <c r="K9" s="19">
        <v>0</v>
      </c>
      <c r="L9" s="19">
        <v>118.5</v>
      </c>
      <c r="M9" s="19">
        <v>456.38400000000001</v>
      </c>
      <c r="N9" s="19">
        <f t="shared" ref="N9:N19" si="1">IF((M9-C9)+I9+J9+K9&gt;0,(M9-C9)+I9+J9+K9,0)</f>
        <v>250.315</v>
      </c>
      <c r="O9" s="28"/>
      <c r="Q9" s="33">
        <f>(15000000/(2725*0.9*L9))</f>
        <v>51.613569207344597</v>
      </c>
    </row>
    <row r="10" spans="1:20" ht="30.75" customHeight="1">
      <c r="A10" s="18">
        <v>36008</v>
      </c>
      <c r="B10" s="19">
        <v>118.75</v>
      </c>
      <c r="C10" s="19">
        <v>470.29599999999999</v>
      </c>
      <c r="D10" s="20">
        <v>0.53</v>
      </c>
      <c r="E10" s="20">
        <v>0</v>
      </c>
      <c r="F10" s="20">
        <v>0</v>
      </c>
      <c r="G10" s="19">
        <v>33.61</v>
      </c>
      <c r="H10" s="97"/>
      <c r="I10" s="19">
        <f t="shared" si="0"/>
        <v>34.14</v>
      </c>
      <c r="J10" s="97"/>
      <c r="K10" s="19">
        <v>0</v>
      </c>
      <c r="L10" s="19">
        <v>130.19999999999999</v>
      </c>
      <c r="M10" s="19">
        <v>682.779</v>
      </c>
      <c r="N10" s="19">
        <f t="shared" si="1"/>
        <v>246.62299999999999</v>
      </c>
      <c r="O10" s="28"/>
      <c r="Q10" s="33">
        <f>(15000000/(2725*0.9*L10))</f>
        <v>46.9754834951639</v>
      </c>
    </row>
    <row r="11" spans="1:20" ht="30.75" customHeight="1">
      <c r="A11" s="18">
        <v>36039</v>
      </c>
      <c r="B11" s="19">
        <v>130.25</v>
      </c>
      <c r="C11" s="19">
        <v>683.87699999999995</v>
      </c>
      <c r="D11" s="20">
        <v>1.4139999999999999</v>
      </c>
      <c r="E11" s="20">
        <v>0</v>
      </c>
      <c r="F11" s="20">
        <v>0</v>
      </c>
      <c r="G11" s="19">
        <v>26.61</v>
      </c>
      <c r="H11" s="97"/>
      <c r="I11" s="19">
        <f t="shared" si="0"/>
        <v>28.024000000000001</v>
      </c>
      <c r="J11" s="97"/>
      <c r="K11" s="19">
        <v>0</v>
      </c>
      <c r="L11" s="19">
        <v>129.55000000000001</v>
      </c>
      <c r="M11" s="19">
        <v>668.62099999999998</v>
      </c>
      <c r="N11" s="19">
        <f t="shared" si="1"/>
        <v>12.768000000000001</v>
      </c>
      <c r="O11" s="28"/>
      <c r="Q11" s="33">
        <f>(15000000/(2725*0.9*L11))</f>
        <v>47.2111767739895</v>
      </c>
    </row>
    <row r="12" spans="1:20" ht="30.75" customHeight="1">
      <c r="A12" s="18">
        <v>36069</v>
      </c>
      <c r="B12" s="19">
        <v>129.65</v>
      </c>
      <c r="C12" s="19">
        <v>670.79399999999998</v>
      </c>
      <c r="D12" s="20">
        <v>0</v>
      </c>
      <c r="E12" s="20">
        <v>0</v>
      </c>
      <c r="F12" s="20">
        <v>5</v>
      </c>
      <c r="G12" s="19">
        <v>9.8450000000000006</v>
      </c>
      <c r="H12" s="97"/>
      <c r="I12" s="19">
        <f t="shared" si="0"/>
        <v>14.845000000000001</v>
      </c>
      <c r="J12" s="97"/>
      <c r="K12" s="19">
        <v>0</v>
      </c>
      <c r="L12" s="19">
        <v>129.05000000000001</v>
      </c>
      <c r="M12" s="19">
        <v>657.774</v>
      </c>
      <c r="N12" s="19">
        <f t="shared" si="1"/>
        <v>1.8250000000000199</v>
      </c>
      <c r="O12" s="28"/>
      <c r="Q12" s="33">
        <f t="shared" ref="Q12:Q19" si="2">(15000000/(2725*0.9*L12))</f>
        <v>47.394094932741901</v>
      </c>
    </row>
    <row r="13" spans="1:20" ht="30.75" customHeight="1">
      <c r="A13" s="18">
        <v>36100</v>
      </c>
      <c r="B13" s="19">
        <v>129.03</v>
      </c>
      <c r="C13" s="19">
        <v>657.34100000000001</v>
      </c>
      <c r="D13" s="20">
        <v>0</v>
      </c>
      <c r="E13" s="20">
        <v>0</v>
      </c>
      <c r="F13" s="20">
        <v>0</v>
      </c>
      <c r="G13" s="19">
        <v>42.2</v>
      </c>
      <c r="H13" s="97"/>
      <c r="I13" s="19">
        <f t="shared" si="0"/>
        <v>42.2</v>
      </c>
      <c r="J13" s="97"/>
      <c r="K13" s="19">
        <v>0</v>
      </c>
      <c r="L13" s="19">
        <v>127.55</v>
      </c>
      <c r="M13" s="19">
        <v>626.21</v>
      </c>
      <c r="N13" s="19">
        <f t="shared" si="1"/>
        <v>11.069000000000001</v>
      </c>
      <c r="O13" s="28"/>
      <c r="Q13" s="33">
        <f t="shared" si="2"/>
        <v>47.951453948023001</v>
      </c>
    </row>
    <row r="14" spans="1:20" ht="30.75" customHeight="1">
      <c r="A14" s="18">
        <v>36130</v>
      </c>
      <c r="B14" s="19">
        <v>127.48</v>
      </c>
      <c r="C14" s="19">
        <v>624.76</v>
      </c>
      <c r="D14" s="20">
        <v>41.354999999999997</v>
      </c>
      <c r="E14" s="20">
        <v>0</v>
      </c>
      <c r="F14" s="20">
        <v>0.371</v>
      </c>
      <c r="G14" s="19">
        <v>0</v>
      </c>
      <c r="H14" s="97"/>
      <c r="I14" s="19">
        <f t="shared" si="0"/>
        <v>41.725999999999999</v>
      </c>
      <c r="J14" s="97"/>
      <c r="K14" s="19">
        <v>0</v>
      </c>
      <c r="L14" s="19">
        <v>124.8</v>
      </c>
      <c r="M14" s="19">
        <v>570.88300000000004</v>
      </c>
      <c r="N14" s="19">
        <f t="shared" si="1"/>
        <v>0</v>
      </c>
      <c r="O14" s="28"/>
      <c r="Q14" s="33">
        <f t="shared" si="2"/>
        <v>49.0080765310123</v>
      </c>
    </row>
    <row r="15" spans="1:20" ht="30.75" customHeight="1">
      <c r="A15" s="18">
        <v>36161</v>
      </c>
      <c r="B15" s="19">
        <v>124.7</v>
      </c>
      <c r="C15" s="19">
        <v>568.94299999999998</v>
      </c>
      <c r="D15" s="20">
        <v>40</v>
      </c>
      <c r="E15" s="20">
        <v>0</v>
      </c>
      <c r="F15" s="20">
        <v>1.1379999999999999</v>
      </c>
      <c r="G15" s="19">
        <v>0</v>
      </c>
      <c r="H15" s="97"/>
      <c r="I15" s="19">
        <f t="shared" si="0"/>
        <v>41.137999999999998</v>
      </c>
      <c r="J15" s="97"/>
      <c r="K15" s="19">
        <v>0</v>
      </c>
      <c r="L15" s="19">
        <v>121.66</v>
      </c>
      <c r="M15" s="19">
        <v>511.72899999999998</v>
      </c>
      <c r="N15" s="19">
        <f t="shared" si="1"/>
        <v>0</v>
      </c>
      <c r="O15" s="28"/>
      <c r="Q15" s="33">
        <f t="shared" si="2"/>
        <v>50.2729570201409</v>
      </c>
    </row>
    <row r="16" spans="1:20" ht="30.75" customHeight="1">
      <c r="A16" s="18">
        <v>36192</v>
      </c>
      <c r="B16" s="19">
        <v>121.6</v>
      </c>
      <c r="C16" s="19">
        <v>510.64299999999997</v>
      </c>
      <c r="D16" s="20">
        <v>38</v>
      </c>
      <c r="E16" s="20">
        <v>0</v>
      </c>
      <c r="F16" s="20">
        <v>1.405</v>
      </c>
      <c r="G16" s="19">
        <v>0</v>
      </c>
      <c r="H16" s="97"/>
      <c r="I16" s="19">
        <f t="shared" si="0"/>
        <v>39.405000000000001</v>
      </c>
      <c r="J16" s="97"/>
      <c r="K16" s="19">
        <v>0</v>
      </c>
      <c r="L16" s="19">
        <v>116.3</v>
      </c>
      <c r="M16" s="19">
        <v>470.72899999999998</v>
      </c>
      <c r="N16" s="19">
        <f t="shared" si="1"/>
        <v>0</v>
      </c>
      <c r="O16" s="28"/>
      <c r="Q16" s="33">
        <f t="shared" si="2"/>
        <v>52.5899221932101</v>
      </c>
    </row>
    <row r="17" spans="1:17" ht="30.75" customHeight="1">
      <c r="A17" s="18">
        <v>36220</v>
      </c>
      <c r="B17" s="19">
        <v>119.24</v>
      </c>
      <c r="C17" s="19">
        <v>468.99299999999999</v>
      </c>
      <c r="D17" s="20">
        <v>40.58</v>
      </c>
      <c r="E17" s="20">
        <v>0</v>
      </c>
      <c r="F17" s="20">
        <v>1.8069999999999999</v>
      </c>
      <c r="G17" s="19">
        <v>0</v>
      </c>
      <c r="H17" s="97"/>
      <c r="I17" s="19">
        <f t="shared" si="0"/>
        <v>42.387</v>
      </c>
      <c r="J17" s="97"/>
      <c r="K17" s="19">
        <v>0</v>
      </c>
      <c r="L17" s="19">
        <v>116.3</v>
      </c>
      <c r="M17" s="19">
        <v>420.15600000000001</v>
      </c>
      <c r="N17" s="19">
        <f t="shared" si="1"/>
        <v>0</v>
      </c>
      <c r="Q17" s="33">
        <f t="shared" si="2"/>
        <v>52.5899221932101</v>
      </c>
    </row>
    <row r="18" spans="1:17" ht="30.75" customHeight="1">
      <c r="A18" s="18">
        <v>36251</v>
      </c>
      <c r="B18" s="19">
        <v>116.2</v>
      </c>
      <c r="C18" s="19">
        <v>418.54500000000002</v>
      </c>
      <c r="D18" s="20">
        <v>34.4</v>
      </c>
      <c r="E18" s="20">
        <v>0</v>
      </c>
      <c r="F18" s="20">
        <v>1.623</v>
      </c>
      <c r="G18" s="19">
        <v>0</v>
      </c>
      <c r="H18" s="97"/>
      <c r="I18" s="19">
        <f t="shared" si="0"/>
        <v>36.023000000000003</v>
      </c>
      <c r="J18" s="97"/>
      <c r="K18" s="19">
        <v>0</v>
      </c>
      <c r="L18" s="19">
        <v>112.9</v>
      </c>
      <c r="M18" s="19">
        <v>367.69099999999997</v>
      </c>
      <c r="N18" s="19">
        <f t="shared" si="1"/>
        <v>0</v>
      </c>
      <c r="Q18" s="33">
        <f t="shared" si="2"/>
        <v>54.173675385919701</v>
      </c>
    </row>
    <row r="19" spans="1:17" ht="30.75" customHeight="1">
      <c r="A19" s="18">
        <v>36281</v>
      </c>
      <c r="B19" s="19">
        <v>112.75</v>
      </c>
      <c r="C19" s="19">
        <v>365.49599999999998</v>
      </c>
      <c r="D19" s="20">
        <v>39.799999999999997</v>
      </c>
      <c r="E19" s="20">
        <v>0</v>
      </c>
      <c r="F19" s="20">
        <v>0.253</v>
      </c>
      <c r="G19" s="19">
        <v>0</v>
      </c>
      <c r="H19" s="98"/>
      <c r="I19" s="19">
        <f t="shared" si="0"/>
        <v>40.052999999999997</v>
      </c>
      <c r="J19" s="98"/>
      <c r="K19" s="19">
        <v>0</v>
      </c>
      <c r="L19" s="19">
        <v>108.45</v>
      </c>
      <c r="M19" s="19">
        <v>304.75900000000001</v>
      </c>
      <c r="N19" s="19">
        <f t="shared" si="1"/>
        <v>0</v>
      </c>
      <c r="Q19" s="33">
        <f t="shared" si="2"/>
        <v>56.396569396683603</v>
      </c>
    </row>
    <row r="20" spans="1:17">
      <c r="A20" s="21" t="s">
        <v>72</v>
      </c>
      <c r="B20" s="110" t="s">
        <v>73</v>
      </c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</row>
    <row r="21" spans="1:17">
      <c r="A21" s="21"/>
      <c r="B21" s="23"/>
      <c r="C21" s="21"/>
      <c r="D21" s="21"/>
      <c r="E21" s="21"/>
      <c r="F21" s="21"/>
      <c r="G21" s="24"/>
      <c r="H21" s="21"/>
      <c r="I21" s="21"/>
      <c r="J21" s="21"/>
      <c r="K21" s="21"/>
      <c r="L21" s="21"/>
      <c r="M21" s="21"/>
      <c r="N21" s="21"/>
    </row>
    <row r="22" spans="1:17">
      <c r="A22" s="21"/>
      <c r="B22" s="23"/>
      <c r="C22" s="21"/>
      <c r="D22" s="21"/>
      <c r="E22" s="21"/>
      <c r="F22" s="21"/>
      <c r="G22" s="24"/>
      <c r="H22" s="21"/>
      <c r="I22" s="21"/>
      <c r="J22" s="21"/>
      <c r="K22" s="21"/>
      <c r="L22" s="21"/>
      <c r="M22" s="21"/>
      <c r="N22" s="21"/>
    </row>
    <row r="23" spans="1:17">
      <c r="A23" s="21"/>
      <c r="B23" s="23"/>
      <c r="C23" s="21"/>
      <c r="D23" s="21"/>
      <c r="E23" s="21"/>
      <c r="F23" s="21"/>
      <c r="G23" s="24"/>
      <c r="H23" s="21"/>
      <c r="I23" s="21"/>
      <c r="J23" s="21"/>
      <c r="K23" s="21"/>
      <c r="L23" s="21"/>
      <c r="M23" s="21"/>
      <c r="N23" s="21"/>
    </row>
    <row r="24" spans="1:17" ht="18">
      <c r="A24" s="21"/>
      <c r="B24" s="23"/>
      <c r="C24" s="1" t="s">
        <v>29</v>
      </c>
      <c r="D24" s="21"/>
      <c r="E24" s="21"/>
      <c r="F24" s="1"/>
      <c r="G24" s="24"/>
      <c r="H24" s="25"/>
      <c r="I24" s="25"/>
      <c r="J24" s="1" t="s">
        <v>30</v>
      </c>
      <c r="K24" s="25"/>
      <c r="L24" s="25"/>
      <c r="M24" s="25"/>
      <c r="N24" s="25"/>
    </row>
    <row r="25" spans="1:17">
      <c r="A25" s="21"/>
      <c r="B25" s="23"/>
      <c r="C25" s="21" t="s">
        <v>74</v>
      </c>
      <c r="D25" s="21"/>
      <c r="E25" s="21"/>
      <c r="F25" s="21"/>
      <c r="G25" s="24"/>
      <c r="H25" s="25"/>
      <c r="I25" s="25"/>
      <c r="J25" s="21" t="s">
        <v>75</v>
      </c>
      <c r="K25" s="25"/>
      <c r="L25" s="25"/>
      <c r="M25" s="25"/>
      <c r="N25" s="25"/>
    </row>
    <row r="26" spans="1:17">
      <c r="A26" s="21"/>
      <c r="B26" s="23"/>
      <c r="C26" s="21" t="s">
        <v>33</v>
      </c>
      <c r="D26" s="21"/>
      <c r="E26" s="21"/>
      <c r="F26" s="21"/>
      <c r="G26" s="24"/>
      <c r="H26" s="25"/>
      <c r="I26" s="99" t="s">
        <v>33</v>
      </c>
      <c r="J26" s="99"/>
      <c r="K26" s="99"/>
      <c r="L26" s="25"/>
      <c r="M26" s="25"/>
      <c r="N26" s="25"/>
    </row>
  </sheetData>
  <mergeCells count="20">
    <mergeCell ref="M4:M6"/>
    <mergeCell ref="N4:N6"/>
    <mergeCell ref="A1:N1"/>
    <mergeCell ref="D4:H4"/>
    <mergeCell ref="B20:N20"/>
    <mergeCell ref="I26:K26"/>
    <mergeCell ref="A4:A6"/>
    <mergeCell ref="B4:B6"/>
    <mergeCell ref="C4:C6"/>
    <mergeCell ref="D5:D6"/>
    <mergeCell ref="E5:E6"/>
    <mergeCell ref="F5:F6"/>
    <mergeCell ref="G5:G6"/>
    <mergeCell ref="H5:H6"/>
    <mergeCell ref="H8:H19"/>
    <mergeCell ref="I4:I6"/>
    <mergeCell ref="J4:J6"/>
    <mergeCell ref="J8:J19"/>
    <mergeCell ref="K4:K6"/>
    <mergeCell ref="L4:L6"/>
  </mergeCells>
  <printOptions horizontalCentered="1" verticalCentered="1"/>
  <pageMargins left="0.2" right="0.2" top="0.25" bottom="0.25" header="0.3" footer="0.3"/>
  <pageSetup scale="85"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FF00"/>
  </sheetPr>
  <dimension ref="A1:U26"/>
  <sheetViews>
    <sheetView topLeftCell="B1" workbookViewId="0">
      <selection activeCell="S8" sqref="S8:U8"/>
    </sheetView>
  </sheetViews>
  <sheetFormatPr defaultColWidth="9" defaultRowHeight="14.4"/>
  <cols>
    <col min="4" max="4" width="9.5546875" customWidth="1"/>
    <col min="6" max="6" width="9.5546875" customWidth="1"/>
    <col min="7" max="7" width="12.5546875" customWidth="1"/>
    <col min="10" max="10" width="12.109375" customWidth="1"/>
    <col min="11" max="11" width="10" customWidth="1"/>
    <col min="14" max="14" width="10.33203125" customWidth="1"/>
    <col min="18" max="18" width="12.88671875"/>
  </cols>
  <sheetData>
    <row r="1" spans="1:21" ht="18">
      <c r="A1" s="105" t="s">
        <v>92</v>
      </c>
      <c r="B1" s="105"/>
      <c r="C1" s="105"/>
      <c r="D1" s="105"/>
      <c r="E1" s="105"/>
      <c r="F1" s="105"/>
      <c r="G1" s="106"/>
      <c r="H1" s="106"/>
      <c r="I1" s="106"/>
      <c r="J1" s="106"/>
      <c r="K1" s="106"/>
      <c r="L1" s="106"/>
      <c r="M1" s="106"/>
      <c r="N1" s="106"/>
      <c r="O1" s="26"/>
    </row>
    <row r="2" spans="1:21" ht="18">
      <c r="A2" s="3" t="s">
        <v>1</v>
      </c>
      <c r="B2" s="80" t="s">
        <v>2</v>
      </c>
      <c r="C2" s="4"/>
      <c r="D2" s="4"/>
      <c r="E2" s="4"/>
      <c r="F2" s="3"/>
      <c r="G2" s="5"/>
      <c r="H2" s="2"/>
      <c r="I2" s="2"/>
      <c r="J2" s="2"/>
      <c r="K2" s="2"/>
      <c r="L2" s="2"/>
      <c r="M2" s="2"/>
      <c r="N2" s="2"/>
      <c r="O2" s="26"/>
    </row>
    <row r="3" spans="1:21" ht="18">
      <c r="A3" s="3" t="s">
        <v>3</v>
      </c>
      <c r="B3" s="80" t="s">
        <v>4</v>
      </c>
      <c r="C3" s="6"/>
      <c r="D3" s="6"/>
      <c r="E3" s="6"/>
      <c r="F3" s="6"/>
      <c r="G3" s="7"/>
      <c r="H3" s="8"/>
      <c r="I3" s="8"/>
      <c r="J3" s="8"/>
      <c r="K3" s="8"/>
      <c r="L3" s="8"/>
      <c r="M3" s="8"/>
      <c r="N3" s="8"/>
    </row>
    <row r="4" spans="1:21">
      <c r="A4" s="88" t="s">
        <v>5</v>
      </c>
      <c r="B4" s="87" t="s">
        <v>62</v>
      </c>
      <c r="C4" s="92" t="s">
        <v>63</v>
      </c>
      <c r="D4" s="113" t="s">
        <v>64</v>
      </c>
      <c r="E4" s="113"/>
      <c r="F4" s="113"/>
      <c r="G4" s="113"/>
      <c r="H4" s="113"/>
      <c r="I4" s="92" t="s">
        <v>65</v>
      </c>
      <c r="J4" s="92" t="s">
        <v>10</v>
      </c>
      <c r="K4" s="92" t="s">
        <v>11</v>
      </c>
      <c r="L4" s="107" t="s">
        <v>66</v>
      </c>
      <c r="M4" s="89" t="s">
        <v>67</v>
      </c>
      <c r="N4" s="92" t="s">
        <v>68</v>
      </c>
    </row>
    <row r="5" spans="1:21">
      <c r="A5" s="88"/>
      <c r="B5" s="87"/>
      <c r="C5" s="92"/>
      <c r="D5" s="114" t="s">
        <v>69</v>
      </c>
      <c r="E5" s="114" t="s">
        <v>16</v>
      </c>
      <c r="F5" s="114" t="s">
        <v>17</v>
      </c>
      <c r="G5" s="90" t="s">
        <v>70</v>
      </c>
      <c r="H5" s="91" t="s">
        <v>71</v>
      </c>
      <c r="I5" s="92"/>
      <c r="J5" s="102"/>
      <c r="K5" s="102"/>
      <c r="L5" s="108"/>
      <c r="M5" s="90"/>
      <c r="N5" s="92"/>
      <c r="O5" s="28"/>
    </row>
    <row r="6" spans="1:21" ht="89.25" customHeight="1">
      <c r="A6" s="88"/>
      <c r="B6" s="87"/>
      <c r="C6" s="92"/>
      <c r="D6" s="115"/>
      <c r="E6" s="115"/>
      <c r="F6" s="115"/>
      <c r="G6" s="91"/>
      <c r="H6" s="92"/>
      <c r="I6" s="92"/>
      <c r="J6" s="102"/>
      <c r="K6" s="102"/>
      <c r="L6" s="109"/>
      <c r="M6" s="91"/>
      <c r="N6" s="92"/>
      <c r="O6" s="28"/>
      <c r="P6" s="29" t="s">
        <v>20</v>
      </c>
      <c r="Q6" s="29" t="s">
        <v>20</v>
      </c>
    </row>
    <row r="7" spans="1:21">
      <c r="A7" s="15">
        <v>1</v>
      </c>
      <c r="B7" s="16">
        <v>2</v>
      </c>
      <c r="C7" s="15">
        <v>3</v>
      </c>
      <c r="D7" s="15">
        <v>4</v>
      </c>
      <c r="E7" s="15">
        <v>5</v>
      </c>
      <c r="F7" s="15">
        <v>6</v>
      </c>
      <c r="G7" s="17">
        <v>7</v>
      </c>
      <c r="H7" s="17">
        <v>8</v>
      </c>
      <c r="I7" s="17">
        <v>9</v>
      </c>
      <c r="J7" s="17">
        <v>10</v>
      </c>
      <c r="K7" s="17">
        <v>11</v>
      </c>
      <c r="L7" s="17">
        <v>12</v>
      </c>
      <c r="M7" s="17">
        <v>13</v>
      </c>
      <c r="N7" s="17">
        <v>14</v>
      </c>
      <c r="O7" s="28"/>
    </row>
    <row r="8" spans="1:21" ht="30.75" customHeight="1">
      <c r="A8" s="18">
        <v>35582</v>
      </c>
      <c r="B8" s="19">
        <v>105.23</v>
      </c>
      <c r="C8" s="19">
        <v>263.15199999999999</v>
      </c>
      <c r="D8" s="20">
        <v>0</v>
      </c>
      <c r="E8" s="20">
        <v>33.299999999999997</v>
      </c>
      <c r="F8" s="20">
        <v>0</v>
      </c>
      <c r="G8" s="20">
        <v>0</v>
      </c>
      <c r="H8" s="96" t="s">
        <v>57</v>
      </c>
      <c r="I8" s="19">
        <f>D8+E8+F8+G8+0</f>
        <v>33.299999999999997</v>
      </c>
      <c r="J8" s="96" t="s">
        <v>57</v>
      </c>
      <c r="K8" s="19">
        <v>0</v>
      </c>
      <c r="L8" s="19">
        <v>105.25</v>
      </c>
      <c r="M8" s="19">
        <v>263.399</v>
      </c>
      <c r="N8" s="19">
        <v>33.546999999999997</v>
      </c>
      <c r="O8" s="28"/>
      <c r="P8" s="33">
        <f t="shared" ref="P8:P19" si="0">(15000000/(2725*0.9*B8))</f>
        <v>58.122284054645398</v>
      </c>
      <c r="Q8" s="33">
        <f t="shared" ref="Q8:Q19" si="1">(15000000/(2725*0.9*L8))</f>
        <v>58.111239440098203</v>
      </c>
      <c r="R8" s="34">
        <f t="shared" ref="R8:R19" si="2">AVERAGE(P8:Q8)</f>
        <v>58.116761747371797</v>
      </c>
      <c r="S8" s="32">
        <f>F8+Q8-M8</f>
        <v>-205.28776055990201</v>
      </c>
      <c r="T8" s="32">
        <f>S8-I8-L8</f>
        <v>-343.83776055990199</v>
      </c>
      <c r="U8" s="32">
        <f>S8-L8-976.1</f>
        <v>-1286.6377605599</v>
      </c>
    </row>
    <row r="9" spans="1:21" ht="30.75" customHeight="1">
      <c r="A9" s="18">
        <v>35612</v>
      </c>
      <c r="B9" s="19">
        <v>105.75</v>
      </c>
      <c r="C9" s="19">
        <v>269.57499999999999</v>
      </c>
      <c r="D9" s="20">
        <v>0</v>
      </c>
      <c r="E9" s="20">
        <v>4.63</v>
      </c>
      <c r="F9" s="20">
        <v>3.8</v>
      </c>
      <c r="G9" s="19">
        <v>0</v>
      </c>
      <c r="H9" s="97"/>
      <c r="I9" s="19">
        <f t="shared" ref="I9:I19" si="3">D9+E9+F9+G9+H9</f>
        <v>8.43</v>
      </c>
      <c r="J9" s="97"/>
      <c r="K9" s="19">
        <v>0</v>
      </c>
      <c r="L9" s="19">
        <v>125.1</v>
      </c>
      <c r="M9" s="19">
        <v>576.74199999999996</v>
      </c>
      <c r="N9" s="19">
        <f t="shared" ref="N9:N19" si="4">IF((M9-C9)+I9+J9+K9&gt;0,(M9-C9)+I9+J9+K9,0)</f>
        <v>315.59699999999998</v>
      </c>
      <c r="O9" s="28"/>
      <c r="P9" s="33">
        <f t="shared" si="0"/>
        <v>57.836481806811697</v>
      </c>
      <c r="Q9" s="33">
        <f t="shared" si="1"/>
        <v>48.890551167628601</v>
      </c>
      <c r="R9" s="34">
        <f t="shared" si="2"/>
        <v>53.363516487220103</v>
      </c>
    </row>
    <row r="10" spans="1:21" ht="30.75" customHeight="1">
      <c r="A10" s="18">
        <v>35643</v>
      </c>
      <c r="B10" s="19">
        <v>127.2</v>
      </c>
      <c r="C10" s="19">
        <v>618.96199999999999</v>
      </c>
      <c r="D10" s="20">
        <v>28</v>
      </c>
      <c r="E10" s="20">
        <v>0</v>
      </c>
      <c r="F10" s="20">
        <v>0</v>
      </c>
      <c r="G10" s="19">
        <v>139.642</v>
      </c>
      <c r="H10" s="97"/>
      <c r="I10" s="19">
        <f t="shared" si="3"/>
        <v>167.642</v>
      </c>
      <c r="J10" s="97"/>
      <c r="K10" s="19">
        <v>0</v>
      </c>
      <c r="L10" s="19">
        <v>129.75</v>
      </c>
      <c r="M10" s="19">
        <v>672.96</v>
      </c>
      <c r="N10" s="19">
        <f t="shared" si="4"/>
        <v>221.64</v>
      </c>
      <c r="O10" s="28"/>
      <c r="P10" s="33">
        <f t="shared" si="0"/>
        <v>48.083395841747901</v>
      </c>
      <c r="Q10" s="33">
        <f t="shared" si="1"/>
        <v>47.1384042471702</v>
      </c>
      <c r="R10" s="34">
        <f t="shared" si="2"/>
        <v>47.6109000444591</v>
      </c>
    </row>
    <row r="11" spans="1:21" ht="30.75" customHeight="1">
      <c r="A11" s="18">
        <v>35674</v>
      </c>
      <c r="B11" s="19">
        <v>129.65</v>
      </c>
      <c r="C11" s="19">
        <v>670.79100000000005</v>
      </c>
      <c r="D11" s="20">
        <v>35</v>
      </c>
      <c r="E11" s="20">
        <v>0</v>
      </c>
      <c r="F11" s="20">
        <v>0</v>
      </c>
      <c r="G11" s="19">
        <v>11.62</v>
      </c>
      <c r="H11" s="97"/>
      <c r="I11" s="19">
        <f t="shared" si="3"/>
        <v>46.62</v>
      </c>
      <c r="J11" s="97"/>
      <c r="K11" s="19">
        <v>0</v>
      </c>
      <c r="L11" s="19">
        <v>129.12</v>
      </c>
      <c r="M11" s="19">
        <v>659.29200000000003</v>
      </c>
      <c r="N11" s="19">
        <f t="shared" si="4"/>
        <v>35.121000000000002</v>
      </c>
      <c r="O11" s="28"/>
      <c r="P11" s="33">
        <f t="shared" si="0"/>
        <v>47.1747624455869</v>
      </c>
      <c r="Q11" s="33">
        <f t="shared" si="1"/>
        <v>47.368401108041603</v>
      </c>
      <c r="R11" s="34">
        <f t="shared" si="2"/>
        <v>47.271581776814202</v>
      </c>
    </row>
    <row r="12" spans="1:21" ht="30.75" customHeight="1">
      <c r="A12" s="18">
        <v>35704</v>
      </c>
      <c r="B12" s="19">
        <v>129.1</v>
      </c>
      <c r="C12" s="19">
        <v>658.85900000000004</v>
      </c>
      <c r="D12" s="20">
        <v>46.53</v>
      </c>
      <c r="E12" s="20">
        <v>0</v>
      </c>
      <c r="F12" s="20">
        <v>0</v>
      </c>
      <c r="G12" s="19">
        <v>0</v>
      </c>
      <c r="H12" s="97"/>
      <c r="I12" s="19">
        <f t="shared" si="3"/>
        <v>46.53</v>
      </c>
      <c r="J12" s="97"/>
      <c r="K12" s="19">
        <v>0</v>
      </c>
      <c r="L12" s="19">
        <v>127.22</v>
      </c>
      <c r="M12" s="19">
        <v>619.37599999999998</v>
      </c>
      <c r="N12" s="19">
        <f t="shared" si="4"/>
        <v>7.0469999999999402</v>
      </c>
      <c r="O12" s="28"/>
      <c r="P12" s="33">
        <f t="shared" si="0"/>
        <v>47.375739357632298</v>
      </c>
      <c r="Q12" s="33">
        <f t="shared" si="1"/>
        <v>48.075836747919602</v>
      </c>
      <c r="R12" s="34">
        <f t="shared" si="2"/>
        <v>47.725788052775997</v>
      </c>
    </row>
    <row r="13" spans="1:21" ht="30.75" customHeight="1">
      <c r="A13" s="18">
        <v>35735</v>
      </c>
      <c r="B13" s="19">
        <v>127.15</v>
      </c>
      <c r="C13" s="19">
        <v>617.92600000000004</v>
      </c>
      <c r="D13" s="20">
        <v>39.200000000000003</v>
      </c>
      <c r="E13" s="20">
        <v>0</v>
      </c>
      <c r="F13" s="20">
        <v>0</v>
      </c>
      <c r="G13" s="19">
        <v>0</v>
      </c>
      <c r="H13" s="97"/>
      <c r="I13" s="19">
        <f t="shared" si="3"/>
        <v>39.200000000000003</v>
      </c>
      <c r="J13" s="97"/>
      <c r="K13" s="19">
        <v>0</v>
      </c>
      <c r="L13" s="19">
        <v>125.16</v>
      </c>
      <c r="M13" s="19">
        <v>577.96199999999999</v>
      </c>
      <c r="N13" s="19">
        <f t="shared" si="4"/>
        <v>0</v>
      </c>
      <c r="O13" s="28"/>
      <c r="P13" s="33">
        <f t="shared" si="0"/>
        <v>48.102303980104899</v>
      </c>
      <c r="Q13" s="33">
        <f t="shared" si="1"/>
        <v>48.867113703022802</v>
      </c>
      <c r="R13" s="34">
        <f t="shared" si="2"/>
        <v>48.484708841563901</v>
      </c>
    </row>
    <row r="14" spans="1:21" ht="30.75" customHeight="1">
      <c r="A14" s="18">
        <v>35765</v>
      </c>
      <c r="B14" s="19">
        <v>125.08</v>
      </c>
      <c r="C14" s="19">
        <v>576.346</v>
      </c>
      <c r="D14" s="20">
        <v>37.700000000000003</v>
      </c>
      <c r="E14" s="20">
        <v>0</v>
      </c>
      <c r="F14" s="20">
        <v>0.36699999999999999</v>
      </c>
      <c r="G14" s="19">
        <v>0</v>
      </c>
      <c r="H14" s="97"/>
      <c r="I14" s="19">
        <f t="shared" si="3"/>
        <v>38.067</v>
      </c>
      <c r="J14" s="97"/>
      <c r="K14" s="19">
        <v>0</v>
      </c>
      <c r="L14" s="19">
        <v>122.67</v>
      </c>
      <c r="M14" s="19">
        <v>530.29899999999998</v>
      </c>
      <c r="N14" s="19">
        <f t="shared" si="4"/>
        <v>0</v>
      </c>
      <c r="O14" s="28"/>
      <c r="P14" s="33">
        <f t="shared" si="0"/>
        <v>48.898368652625003</v>
      </c>
      <c r="Q14" s="33">
        <f t="shared" si="1"/>
        <v>49.859036040354901</v>
      </c>
      <c r="R14" s="34">
        <f t="shared" si="2"/>
        <v>49.378702346490002</v>
      </c>
    </row>
    <row r="15" spans="1:21" ht="30.75" customHeight="1">
      <c r="A15" s="18">
        <v>35796</v>
      </c>
      <c r="B15" s="19">
        <v>122.57</v>
      </c>
      <c r="C15" s="19">
        <v>528.44600000000003</v>
      </c>
      <c r="D15" s="20">
        <v>34.869999999999997</v>
      </c>
      <c r="E15" s="20">
        <v>0</v>
      </c>
      <c r="F15" s="20">
        <v>1.224</v>
      </c>
      <c r="G15" s="19">
        <v>0</v>
      </c>
      <c r="H15" s="97"/>
      <c r="I15" s="19">
        <f t="shared" si="3"/>
        <v>36.094000000000001</v>
      </c>
      <c r="J15" s="97"/>
      <c r="K15" s="19">
        <v>0</v>
      </c>
      <c r="L15" s="19">
        <v>119.53</v>
      </c>
      <c r="M15" s="19">
        <v>474.02600000000001</v>
      </c>
      <c r="N15" s="19">
        <f t="shared" si="4"/>
        <v>0</v>
      </c>
      <c r="O15" s="28"/>
      <c r="P15" s="33">
        <f t="shared" si="0"/>
        <v>49.899714049688598</v>
      </c>
      <c r="Q15" s="33">
        <f t="shared" si="1"/>
        <v>51.168810767759901</v>
      </c>
      <c r="R15" s="34">
        <f t="shared" si="2"/>
        <v>50.534262408724203</v>
      </c>
    </row>
    <row r="16" spans="1:21" ht="30.75" customHeight="1">
      <c r="A16" s="18">
        <v>35827</v>
      </c>
      <c r="B16" s="19">
        <v>119.44</v>
      </c>
      <c r="C16" s="19">
        <v>472.46499999999997</v>
      </c>
      <c r="D16" s="20">
        <v>37</v>
      </c>
      <c r="E16" s="20">
        <v>0</v>
      </c>
      <c r="F16" s="20">
        <v>1.403</v>
      </c>
      <c r="G16" s="19">
        <v>0</v>
      </c>
      <c r="H16" s="97"/>
      <c r="I16" s="19">
        <f t="shared" si="3"/>
        <v>38.402999999999999</v>
      </c>
      <c r="J16" s="97"/>
      <c r="K16" s="19">
        <v>0</v>
      </c>
      <c r="L16" s="19">
        <v>116.64</v>
      </c>
      <c r="M16" s="19">
        <v>425.63600000000002</v>
      </c>
      <c r="N16" s="19">
        <f t="shared" si="4"/>
        <v>0</v>
      </c>
      <c r="O16" s="28"/>
      <c r="P16" s="33">
        <f t="shared" si="0"/>
        <v>51.207367306349099</v>
      </c>
      <c r="Q16" s="33">
        <f t="shared" si="1"/>
        <v>52.436625094910298</v>
      </c>
      <c r="R16" s="34">
        <f t="shared" si="2"/>
        <v>51.821996200629698</v>
      </c>
    </row>
    <row r="17" spans="1:18" ht="30.75" customHeight="1">
      <c r="A17" s="18">
        <v>35855</v>
      </c>
      <c r="B17" s="19">
        <v>116.54</v>
      </c>
      <c r="C17" s="19">
        <v>424.02499999999998</v>
      </c>
      <c r="D17" s="20">
        <v>38.01</v>
      </c>
      <c r="E17" s="20">
        <v>0</v>
      </c>
      <c r="F17" s="20">
        <v>1.3660000000000001</v>
      </c>
      <c r="G17" s="19">
        <v>0</v>
      </c>
      <c r="H17" s="97"/>
      <c r="I17" s="19">
        <f t="shared" si="3"/>
        <v>39.375999999999998</v>
      </c>
      <c r="J17" s="97"/>
      <c r="K17" s="19">
        <v>0</v>
      </c>
      <c r="L17" s="19">
        <v>113.35</v>
      </c>
      <c r="M17" s="19">
        <v>374.43200000000002</v>
      </c>
      <c r="N17" s="19">
        <f t="shared" si="4"/>
        <v>0</v>
      </c>
      <c r="P17" s="33">
        <f t="shared" si="0"/>
        <v>52.4816196247669</v>
      </c>
      <c r="Q17" s="33">
        <f t="shared" si="1"/>
        <v>53.958605655671199</v>
      </c>
      <c r="R17" s="34">
        <f t="shared" si="2"/>
        <v>53.220112640219099</v>
      </c>
    </row>
    <row r="18" spans="1:18" ht="30.75" customHeight="1">
      <c r="A18" s="18">
        <v>35886</v>
      </c>
      <c r="B18" s="19">
        <v>111</v>
      </c>
      <c r="C18" s="19">
        <v>340.02600000000001</v>
      </c>
      <c r="D18" s="20">
        <v>35.1</v>
      </c>
      <c r="E18" s="20">
        <v>0</v>
      </c>
      <c r="F18" s="20">
        <v>1.468</v>
      </c>
      <c r="G18" s="19">
        <v>0</v>
      </c>
      <c r="H18" s="97"/>
      <c r="I18" s="19">
        <f t="shared" si="3"/>
        <v>36.567999999999998</v>
      </c>
      <c r="J18" s="97"/>
      <c r="K18" s="19">
        <v>0</v>
      </c>
      <c r="L18" s="19">
        <v>109.27</v>
      </c>
      <c r="M18" s="19">
        <v>315.93200000000002</v>
      </c>
      <c r="N18" s="19">
        <f t="shared" si="4"/>
        <v>12.474</v>
      </c>
      <c r="P18" s="33">
        <f t="shared" si="0"/>
        <v>55.100972532165201</v>
      </c>
      <c r="Q18" s="33">
        <f t="shared" si="1"/>
        <v>55.973349968612901</v>
      </c>
      <c r="R18" s="34">
        <f t="shared" si="2"/>
        <v>55.537161250389097</v>
      </c>
    </row>
    <row r="19" spans="1:18" ht="30.75" customHeight="1">
      <c r="A19" s="18">
        <v>35916</v>
      </c>
      <c r="B19" s="19">
        <v>109.13</v>
      </c>
      <c r="C19" s="19">
        <v>313.98099999999999</v>
      </c>
      <c r="D19" s="20">
        <v>34.15</v>
      </c>
      <c r="E19" s="20">
        <v>0</v>
      </c>
      <c r="F19" s="20">
        <v>0.30099999999999999</v>
      </c>
      <c r="G19" s="19">
        <v>0</v>
      </c>
      <c r="H19" s="98"/>
      <c r="I19" s="19">
        <f t="shared" si="3"/>
        <v>34.451000000000001</v>
      </c>
      <c r="J19" s="98"/>
      <c r="K19" s="19">
        <v>0</v>
      </c>
      <c r="L19" s="19">
        <v>105.09</v>
      </c>
      <c r="M19" s="19">
        <v>261.423</v>
      </c>
      <c r="N19" s="19">
        <f t="shared" si="4"/>
        <v>0</v>
      </c>
      <c r="P19" s="33">
        <f t="shared" si="0"/>
        <v>56.045156703659302</v>
      </c>
      <c r="Q19" s="33">
        <f t="shared" si="1"/>
        <v>58.199714064804802</v>
      </c>
      <c r="R19" s="34">
        <f t="shared" si="2"/>
        <v>57.122435384231999</v>
      </c>
    </row>
    <row r="20" spans="1:18">
      <c r="A20" s="21" t="s">
        <v>72</v>
      </c>
      <c r="B20" s="110" t="s">
        <v>73</v>
      </c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</row>
    <row r="21" spans="1:18">
      <c r="A21" s="21"/>
      <c r="B21" s="23"/>
      <c r="C21" s="21"/>
      <c r="D21" s="21"/>
      <c r="E21" s="21"/>
      <c r="F21" s="21"/>
      <c r="G21" s="24"/>
      <c r="H21" s="21"/>
      <c r="I21" s="21"/>
      <c r="J21" s="21"/>
      <c r="K21" s="21"/>
      <c r="L21" s="21"/>
      <c r="M21" s="21"/>
      <c r="N21" s="21"/>
    </row>
    <row r="22" spans="1:18">
      <c r="A22" s="21"/>
      <c r="B22" s="23"/>
      <c r="C22" s="21"/>
      <c r="D22" s="21"/>
      <c r="E22" s="21"/>
      <c r="F22" s="21"/>
      <c r="G22" s="24"/>
      <c r="H22" s="21"/>
      <c r="I22" s="21"/>
      <c r="J22" s="21"/>
      <c r="K22" s="21"/>
      <c r="L22" s="21"/>
      <c r="M22" s="21"/>
      <c r="N22" s="21"/>
    </row>
    <row r="23" spans="1:18">
      <c r="A23" s="21"/>
      <c r="B23" s="23"/>
      <c r="C23" s="21"/>
      <c r="D23" s="21"/>
      <c r="E23" s="21"/>
      <c r="F23" s="21"/>
      <c r="G23" s="24"/>
      <c r="H23" s="21"/>
      <c r="I23" s="21"/>
      <c r="J23" s="21"/>
      <c r="K23" s="21"/>
      <c r="L23" s="21"/>
      <c r="M23" s="21"/>
      <c r="N23" s="21"/>
    </row>
    <row r="24" spans="1:18" ht="18">
      <c r="A24" s="21"/>
      <c r="B24" s="23"/>
      <c r="C24" s="1" t="s">
        <v>29</v>
      </c>
      <c r="D24" s="21"/>
      <c r="E24" s="21"/>
      <c r="F24" s="1"/>
      <c r="G24" s="24"/>
      <c r="H24" s="25"/>
      <c r="I24" s="25"/>
      <c r="J24" s="1" t="s">
        <v>30</v>
      </c>
      <c r="K24" s="25"/>
      <c r="L24" s="25"/>
      <c r="M24" s="25"/>
      <c r="N24" s="25"/>
    </row>
    <row r="25" spans="1:18">
      <c r="A25" s="21"/>
      <c r="B25" s="23"/>
      <c r="C25" s="21" t="s">
        <v>74</v>
      </c>
      <c r="D25" s="21"/>
      <c r="E25" s="21"/>
      <c r="F25" s="21"/>
      <c r="G25" s="24"/>
      <c r="H25" s="25"/>
      <c r="I25" s="25"/>
      <c r="J25" s="21" t="s">
        <v>75</v>
      </c>
      <c r="K25" s="25"/>
      <c r="L25" s="25"/>
      <c r="M25" s="25"/>
      <c r="N25" s="25"/>
    </row>
    <row r="26" spans="1:18">
      <c r="A26" s="21"/>
      <c r="B26" s="23"/>
      <c r="C26" s="21" t="s">
        <v>33</v>
      </c>
      <c r="D26" s="21"/>
      <c r="E26" s="21"/>
      <c r="F26" s="21"/>
      <c r="G26" s="24"/>
      <c r="H26" s="25"/>
      <c r="I26" s="99" t="s">
        <v>33</v>
      </c>
      <c r="J26" s="99"/>
      <c r="K26" s="99"/>
      <c r="L26" s="25"/>
      <c r="M26" s="25"/>
      <c r="N26" s="25"/>
    </row>
  </sheetData>
  <mergeCells count="20">
    <mergeCell ref="M4:M6"/>
    <mergeCell ref="N4:N6"/>
    <mergeCell ref="A1:N1"/>
    <mergeCell ref="D4:H4"/>
    <mergeCell ref="B20:N20"/>
    <mergeCell ref="I26:K26"/>
    <mergeCell ref="A4:A6"/>
    <mergeCell ref="B4:B6"/>
    <mergeCell ref="C4:C6"/>
    <mergeCell ref="D5:D6"/>
    <mergeCell ref="E5:E6"/>
    <mergeCell ref="F5:F6"/>
    <mergeCell ref="G5:G6"/>
    <mergeCell ref="H5:H6"/>
    <mergeCell ref="H8:H19"/>
    <mergeCell ref="I4:I6"/>
    <mergeCell ref="J4:J6"/>
    <mergeCell ref="J8:J19"/>
    <mergeCell ref="K4:K6"/>
    <mergeCell ref="L4:L6"/>
  </mergeCells>
  <printOptions horizontalCentered="1" verticalCentered="1"/>
  <pageMargins left="0.2" right="0.2" top="0.25" bottom="0.25" header="0.3" footer="0.3"/>
  <pageSetup scale="85"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FF00"/>
  </sheetPr>
  <dimension ref="A1:U26"/>
  <sheetViews>
    <sheetView workbookViewId="0">
      <selection activeCell="R6" sqref="R6"/>
    </sheetView>
  </sheetViews>
  <sheetFormatPr defaultColWidth="9" defaultRowHeight="14.4"/>
  <cols>
    <col min="4" max="4" width="10" customWidth="1"/>
    <col min="6" max="6" width="9.5546875" customWidth="1"/>
    <col min="7" max="7" width="12.5546875" customWidth="1"/>
    <col min="10" max="10" width="11.6640625" customWidth="1"/>
    <col min="11" max="11" width="9.6640625" customWidth="1"/>
    <col min="14" max="14" width="10.33203125" customWidth="1"/>
  </cols>
  <sheetData>
    <row r="1" spans="1:21" ht="18">
      <c r="A1" s="105" t="s">
        <v>93</v>
      </c>
      <c r="B1" s="105"/>
      <c r="C1" s="105"/>
      <c r="D1" s="105"/>
      <c r="E1" s="105"/>
      <c r="F1" s="105"/>
      <c r="G1" s="106"/>
      <c r="H1" s="106"/>
      <c r="I1" s="106"/>
      <c r="J1" s="106"/>
      <c r="K1" s="106"/>
      <c r="L1" s="106"/>
      <c r="M1" s="106"/>
      <c r="N1" s="106"/>
      <c r="O1" s="26"/>
    </row>
    <row r="2" spans="1:21" ht="18">
      <c r="A2" s="3" t="s">
        <v>1</v>
      </c>
      <c r="B2" s="80" t="s">
        <v>2</v>
      </c>
      <c r="C2" s="4"/>
      <c r="D2" s="4"/>
      <c r="E2" s="4"/>
      <c r="F2" s="3"/>
      <c r="G2" s="5"/>
      <c r="H2" s="2"/>
      <c r="I2" s="2"/>
      <c r="J2" s="2"/>
      <c r="K2" s="2"/>
      <c r="L2" s="2"/>
      <c r="M2" s="2"/>
      <c r="N2" s="2"/>
      <c r="O2" s="26"/>
    </row>
    <row r="3" spans="1:21" ht="18">
      <c r="A3" s="3" t="s">
        <v>3</v>
      </c>
      <c r="B3" s="80" t="s">
        <v>4</v>
      </c>
      <c r="C3" s="6"/>
      <c r="D3" s="6"/>
      <c r="E3" s="6"/>
      <c r="F3" s="6"/>
      <c r="G3" s="7"/>
      <c r="H3" s="8"/>
      <c r="I3" s="8"/>
      <c r="J3" s="8"/>
      <c r="K3" s="8"/>
      <c r="L3" s="8"/>
      <c r="M3" s="8"/>
      <c r="N3" s="8"/>
    </row>
    <row r="4" spans="1:21">
      <c r="A4" s="88" t="s">
        <v>5</v>
      </c>
      <c r="B4" s="87" t="s">
        <v>62</v>
      </c>
      <c r="C4" s="92" t="s">
        <v>63</v>
      </c>
      <c r="D4" s="92" t="s">
        <v>64</v>
      </c>
      <c r="E4" s="92"/>
      <c r="F4" s="92"/>
      <c r="G4" s="92"/>
      <c r="H4" s="92"/>
      <c r="I4" s="92" t="s">
        <v>65</v>
      </c>
      <c r="J4" s="92" t="s">
        <v>10</v>
      </c>
      <c r="K4" s="92" t="s">
        <v>11</v>
      </c>
      <c r="L4" s="107" t="s">
        <v>66</v>
      </c>
      <c r="M4" s="89" t="s">
        <v>67</v>
      </c>
      <c r="N4" s="92" t="s">
        <v>68</v>
      </c>
    </row>
    <row r="5" spans="1:21">
      <c r="A5" s="88"/>
      <c r="B5" s="87"/>
      <c r="C5" s="92"/>
      <c r="D5" s="100" t="s">
        <v>69</v>
      </c>
      <c r="E5" s="100" t="s">
        <v>16</v>
      </c>
      <c r="F5" s="100" t="s">
        <v>17</v>
      </c>
      <c r="G5" s="90" t="s">
        <v>70</v>
      </c>
      <c r="H5" s="91" t="s">
        <v>71</v>
      </c>
      <c r="I5" s="92"/>
      <c r="J5" s="102"/>
      <c r="K5" s="102"/>
      <c r="L5" s="108"/>
      <c r="M5" s="90"/>
      <c r="N5" s="92"/>
      <c r="O5" s="28"/>
    </row>
    <row r="6" spans="1:21" ht="92.25" customHeight="1">
      <c r="A6" s="88"/>
      <c r="B6" s="87"/>
      <c r="C6" s="92"/>
      <c r="D6" s="101"/>
      <c r="E6" s="101"/>
      <c r="F6" s="101"/>
      <c r="G6" s="91"/>
      <c r="H6" s="92"/>
      <c r="I6" s="92"/>
      <c r="J6" s="102"/>
      <c r="K6" s="102"/>
      <c r="L6" s="109"/>
      <c r="M6" s="91"/>
      <c r="N6" s="92"/>
      <c r="O6" s="28"/>
      <c r="P6" s="29" t="s">
        <v>20</v>
      </c>
    </row>
    <row r="7" spans="1:21">
      <c r="A7" s="15">
        <v>1</v>
      </c>
      <c r="B7" s="16">
        <v>2</v>
      </c>
      <c r="C7" s="15">
        <v>3</v>
      </c>
      <c r="D7" s="15">
        <v>4</v>
      </c>
      <c r="E7" s="15">
        <v>5</v>
      </c>
      <c r="F7" s="15">
        <v>6</v>
      </c>
      <c r="G7" s="17">
        <v>7</v>
      </c>
      <c r="H7" s="17">
        <v>8</v>
      </c>
      <c r="I7" s="17">
        <v>9</v>
      </c>
      <c r="J7" s="17">
        <v>10</v>
      </c>
      <c r="K7" s="17">
        <v>11</v>
      </c>
      <c r="L7" s="17">
        <v>12</v>
      </c>
      <c r="M7" s="17">
        <v>13</v>
      </c>
      <c r="N7" s="17">
        <v>14</v>
      </c>
      <c r="O7" s="28"/>
    </row>
    <row r="8" spans="1:21" ht="30.75" customHeight="1">
      <c r="A8" s="18">
        <v>35217</v>
      </c>
      <c r="B8" s="19">
        <v>104.2</v>
      </c>
      <c r="C8" s="19">
        <v>248.06399999999999</v>
      </c>
      <c r="D8" s="20">
        <v>0</v>
      </c>
      <c r="E8" s="20">
        <v>0</v>
      </c>
      <c r="F8" s="20">
        <v>31.54</v>
      </c>
      <c r="G8" s="20">
        <v>0</v>
      </c>
      <c r="H8" s="96" t="s">
        <v>57</v>
      </c>
      <c r="I8" s="19">
        <f>D8+E8+F8+G8+0</f>
        <v>31.54</v>
      </c>
      <c r="J8" s="96" t="s">
        <v>57</v>
      </c>
      <c r="K8" s="19">
        <v>0</v>
      </c>
      <c r="L8" s="19">
        <v>101.5</v>
      </c>
      <c r="M8" s="19">
        <v>218.273</v>
      </c>
      <c r="N8" s="19">
        <v>1.7490000000000001</v>
      </c>
      <c r="O8" s="28"/>
      <c r="P8" s="30">
        <f>(15000000/(2725*0.9*B8))</f>
        <v>58.696813350003197</v>
      </c>
      <c r="Q8" s="30">
        <f t="shared" ref="Q8:Q19" si="0">(15000000/(2725*0.9*L8))</f>
        <v>60.258206414486096</v>
      </c>
      <c r="R8" s="31">
        <f>AVERAGE(P8:Q8)</f>
        <v>59.477509882244597</v>
      </c>
      <c r="S8" s="32">
        <f>F8+Q8-M8</f>
        <v>-126.47479358551401</v>
      </c>
      <c r="T8" s="32">
        <f>S8-I8-L8</f>
        <v>-259.51479358551398</v>
      </c>
      <c r="U8" s="32">
        <f>S8-L8-976.1</f>
        <v>-1204.07479358551</v>
      </c>
    </row>
    <row r="9" spans="1:21" ht="30.75" customHeight="1">
      <c r="A9" s="18">
        <v>35247</v>
      </c>
      <c r="B9" s="19">
        <v>101.65</v>
      </c>
      <c r="C9" s="19">
        <v>219.999</v>
      </c>
      <c r="D9" s="20">
        <v>0</v>
      </c>
      <c r="E9" s="20">
        <v>0</v>
      </c>
      <c r="F9" s="20">
        <v>4.4660000000000002</v>
      </c>
      <c r="G9" s="19">
        <v>0</v>
      </c>
      <c r="H9" s="97"/>
      <c r="I9" s="19">
        <f t="shared" ref="I9:I19" si="1">D9+E9+F9+G9+H9</f>
        <v>4.4660000000000002</v>
      </c>
      <c r="J9" s="97"/>
      <c r="K9" s="19">
        <v>0</v>
      </c>
      <c r="L9" s="19">
        <v>117.7</v>
      </c>
      <c r="M9" s="19">
        <v>442.98899999999998</v>
      </c>
      <c r="N9" s="19">
        <f t="shared" ref="N9:N19" si="2">IF((M9-C9)+I9+J9+K9&gt;0,(M9-C9)+I9+J9+K9,0)</f>
        <v>227.45599999999999</v>
      </c>
      <c r="O9" s="28"/>
      <c r="P9" s="30">
        <f t="shared" ref="P9:P19" si="3">(15000000/(2725*0.9*B9))</f>
        <v>60.169286286968401</v>
      </c>
      <c r="Q9" s="30">
        <f t="shared" si="0"/>
        <v>51.964383611472698</v>
      </c>
      <c r="R9" s="31">
        <f>AVERAGE(P9:Q9)</f>
        <v>56.0668349492205</v>
      </c>
    </row>
    <row r="10" spans="1:21" ht="30.75" customHeight="1">
      <c r="A10" s="18">
        <v>35278</v>
      </c>
      <c r="B10" s="19">
        <v>118.5</v>
      </c>
      <c r="C10" s="19">
        <v>456.34800000000001</v>
      </c>
      <c r="D10" s="20">
        <v>65.808000000000007</v>
      </c>
      <c r="E10" s="20">
        <v>0</v>
      </c>
      <c r="F10" s="20">
        <v>0</v>
      </c>
      <c r="G10" s="19">
        <v>48.3</v>
      </c>
      <c r="H10" s="97"/>
      <c r="I10" s="19">
        <f t="shared" si="1"/>
        <v>114.108</v>
      </c>
      <c r="J10" s="97"/>
      <c r="K10" s="19">
        <v>0</v>
      </c>
      <c r="L10" s="19">
        <v>127</v>
      </c>
      <c r="M10" s="19">
        <v>614.82000000000005</v>
      </c>
      <c r="N10" s="19">
        <f t="shared" si="2"/>
        <v>272.58</v>
      </c>
      <c r="O10" s="28"/>
      <c r="P10" s="30">
        <f t="shared" si="3"/>
        <v>51.613569207344597</v>
      </c>
      <c r="Q10" s="30">
        <f t="shared" si="0"/>
        <v>48.159117724963302</v>
      </c>
      <c r="R10" s="31">
        <f>AVERAGE(P10:Q10)</f>
        <v>49.886343466153903</v>
      </c>
    </row>
    <row r="11" spans="1:21" ht="30.75" customHeight="1">
      <c r="A11" s="18">
        <v>35309</v>
      </c>
      <c r="B11" s="19">
        <v>126.9</v>
      </c>
      <c r="C11" s="19">
        <v>612.81100000000004</v>
      </c>
      <c r="D11" s="20">
        <v>63.66</v>
      </c>
      <c r="E11" s="20">
        <v>0</v>
      </c>
      <c r="F11" s="20">
        <v>0</v>
      </c>
      <c r="G11" s="19">
        <v>0</v>
      </c>
      <c r="H11" s="97"/>
      <c r="I11" s="19">
        <f t="shared" si="1"/>
        <v>63.66</v>
      </c>
      <c r="J11" s="97"/>
      <c r="K11" s="19">
        <v>0</v>
      </c>
      <c r="L11" s="19">
        <v>126.05</v>
      </c>
      <c r="M11" s="19">
        <v>595.57000000000005</v>
      </c>
      <c r="N11" s="19">
        <f t="shared" si="2"/>
        <v>46.418999999999997</v>
      </c>
      <c r="O11" s="28"/>
      <c r="P11" s="30">
        <f t="shared" si="3"/>
        <v>48.197068172343101</v>
      </c>
      <c r="Q11" s="30">
        <f t="shared" si="0"/>
        <v>48.5220781520852</v>
      </c>
      <c r="R11" s="31">
        <f>AVERAGE(P11:Q11)</f>
        <v>48.359573162214097</v>
      </c>
    </row>
    <row r="12" spans="1:21" ht="30.75" customHeight="1">
      <c r="A12" s="18">
        <v>35339</v>
      </c>
      <c r="B12" s="19">
        <v>126</v>
      </c>
      <c r="C12" s="19">
        <v>594.55700000000002</v>
      </c>
      <c r="D12" s="20">
        <f>25.92+17.7</f>
        <v>43.62</v>
      </c>
      <c r="E12" s="20">
        <v>0</v>
      </c>
      <c r="F12" s="20">
        <v>0</v>
      </c>
      <c r="G12" s="19">
        <v>0</v>
      </c>
      <c r="H12" s="97"/>
      <c r="I12" s="19">
        <f t="shared" si="1"/>
        <v>43.62</v>
      </c>
      <c r="J12" s="97"/>
      <c r="K12" s="19">
        <v>0</v>
      </c>
      <c r="L12" s="19">
        <v>125.15</v>
      </c>
      <c r="M12" s="19">
        <v>577.73199999999997</v>
      </c>
      <c r="N12" s="19">
        <f t="shared" si="2"/>
        <v>26.795000000000002</v>
      </c>
      <c r="O12" s="28"/>
      <c r="P12" s="30">
        <f t="shared" si="3"/>
        <v>48.541332945002701</v>
      </c>
      <c r="Q12" s="30">
        <f t="shared" si="0"/>
        <v>48.871018386498903</v>
      </c>
      <c r="R12" s="31">
        <f>AVERAGE(P12:Q12)</f>
        <v>48.706175665750798</v>
      </c>
    </row>
    <row r="13" spans="1:21" ht="30.75" customHeight="1">
      <c r="A13" s="18">
        <v>35370</v>
      </c>
      <c r="B13" s="19">
        <v>125.1</v>
      </c>
      <c r="C13" s="19">
        <v>576.41999999999996</v>
      </c>
      <c r="D13" s="20">
        <v>36.5</v>
      </c>
      <c r="E13" s="20">
        <v>0</v>
      </c>
      <c r="F13" s="20">
        <v>0</v>
      </c>
      <c r="G13" s="19">
        <v>0</v>
      </c>
      <c r="H13" s="97"/>
      <c r="I13" s="19">
        <f t="shared" si="1"/>
        <v>36.5</v>
      </c>
      <c r="J13" s="97"/>
      <c r="K13" s="19">
        <v>0</v>
      </c>
      <c r="L13" s="19">
        <v>123.05</v>
      </c>
      <c r="M13" s="19">
        <v>537.36099999999999</v>
      </c>
      <c r="N13" s="19">
        <f t="shared" si="2"/>
        <v>0</v>
      </c>
      <c r="O13" s="28"/>
      <c r="P13" s="30">
        <f t="shared" si="3"/>
        <v>48.890551167628601</v>
      </c>
      <c r="Q13" s="30">
        <f t="shared" si="0"/>
        <v>49.705062584886903</v>
      </c>
      <c r="R13" s="31">
        <f t="shared" ref="R13:R19" si="4">AVERAGE(P13:Q13)</f>
        <v>49.297806876257802</v>
      </c>
    </row>
    <row r="14" spans="1:21" ht="30.75" customHeight="1">
      <c r="A14" s="18">
        <v>35400</v>
      </c>
      <c r="B14" s="19">
        <v>122.97</v>
      </c>
      <c r="C14" s="19">
        <v>535.85699999999997</v>
      </c>
      <c r="D14" s="20">
        <v>39.415999999999997</v>
      </c>
      <c r="E14" s="20">
        <v>0</v>
      </c>
      <c r="F14" s="20">
        <v>0.89300000000000002</v>
      </c>
      <c r="G14" s="19">
        <v>0</v>
      </c>
      <c r="H14" s="97"/>
      <c r="I14" s="19">
        <f t="shared" si="1"/>
        <v>40.308999999999997</v>
      </c>
      <c r="J14" s="97"/>
      <c r="K14" s="19">
        <v>0</v>
      </c>
      <c r="L14" s="19">
        <v>120.4</v>
      </c>
      <c r="M14" s="19">
        <v>489.822</v>
      </c>
      <c r="N14" s="19">
        <f t="shared" si="2"/>
        <v>0</v>
      </c>
      <c r="O14" s="28"/>
      <c r="P14" s="30">
        <f t="shared" si="3"/>
        <v>49.737398967799798</v>
      </c>
      <c r="Q14" s="30">
        <f t="shared" si="0"/>
        <v>50.799069361049298</v>
      </c>
      <c r="R14" s="31">
        <f t="shared" si="4"/>
        <v>50.268234164424499</v>
      </c>
    </row>
    <row r="15" spans="1:21" ht="30.75" customHeight="1">
      <c r="A15" s="18">
        <v>35431</v>
      </c>
      <c r="B15" s="19">
        <v>120.31</v>
      </c>
      <c r="C15" s="19">
        <v>487.63900000000001</v>
      </c>
      <c r="D15" s="20">
        <v>62.64</v>
      </c>
      <c r="E15" s="20">
        <v>0</v>
      </c>
      <c r="F15" s="20">
        <v>4.63</v>
      </c>
      <c r="G15" s="19">
        <v>0</v>
      </c>
      <c r="H15" s="97"/>
      <c r="I15" s="19">
        <f t="shared" si="1"/>
        <v>67.27</v>
      </c>
      <c r="J15" s="97"/>
      <c r="K15" s="19">
        <v>0</v>
      </c>
      <c r="L15" s="19">
        <v>117.71</v>
      </c>
      <c r="M15" s="19">
        <v>443.154</v>
      </c>
      <c r="N15" s="19">
        <f t="shared" si="2"/>
        <v>22.785</v>
      </c>
      <c r="O15" s="28"/>
      <c r="P15" s="30">
        <f t="shared" si="3"/>
        <v>50.837070493478002</v>
      </c>
      <c r="Q15" s="30">
        <f t="shared" si="0"/>
        <v>51.959969000682499</v>
      </c>
      <c r="R15" s="31">
        <f t="shared" si="4"/>
        <v>51.398519747080201</v>
      </c>
    </row>
    <row r="16" spans="1:21" ht="30.75" customHeight="1">
      <c r="A16" s="18">
        <v>35462</v>
      </c>
      <c r="B16" s="19">
        <v>117.62</v>
      </c>
      <c r="C16" s="19">
        <v>441.66899999999998</v>
      </c>
      <c r="D16" s="20">
        <v>55.35</v>
      </c>
      <c r="E16" s="20">
        <v>0</v>
      </c>
      <c r="F16" s="20">
        <v>4.0389999999999997</v>
      </c>
      <c r="G16" s="19">
        <v>0</v>
      </c>
      <c r="H16" s="97"/>
      <c r="I16" s="19">
        <f t="shared" si="1"/>
        <v>59.389000000000003</v>
      </c>
      <c r="J16" s="97"/>
      <c r="K16" s="19">
        <v>0</v>
      </c>
      <c r="L16" s="19">
        <v>115.15</v>
      </c>
      <c r="M16" s="19">
        <v>402.065</v>
      </c>
      <c r="N16" s="19">
        <f t="shared" si="2"/>
        <v>19.785</v>
      </c>
      <c r="O16" s="28"/>
      <c r="P16" s="30">
        <f t="shared" si="3"/>
        <v>51.999727521427801</v>
      </c>
      <c r="Q16" s="30">
        <f t="shared" si="0"/>
        <v>53.115136353194401</v>
      </c>
      <c r="R16" s="31">
        <f t="shared" si="4"/>
        <v>52.557431937311101</v>
      </c>
    </row>
    <row r="17" spans="1:18" ht="30.75" customHeight="1">
      <c r="A17" s="18">
        <v>35490</v>
      </c>
      <c r="B17" s="19">
        <v>115.07</v>
      </c>
      <c r="C17" s="19">
        <v>400.81700000000001</v>
      </c>
      <c r="D17" s="20">
        <v>63.18</v>
      </c>
      <c r="E17" s="20">
        <v>0</v>
      </c>
      <c r="F17" s="20">
        <v>3.6</v>
      </c>
      <c r="G17" s="19">
        <v>0</v>
      </c>
      <c r="H17" s="97"/>
      <c r="I17" s="19">
        <f t="shared" si="1"/>
        <v>66.78</v>
      </c>
      <c r="J17" s="97"/>
      <c r="K17" s="19">
        <v>0</v>
      </c>
      <c r="L17" s="19">
        <v>112.32</v>
      </c>
      <c r="M17" s="19">
        <v>359.14699999999999</v>
      </c>
      <c r="N17" s="19">
        <f t="shared" si="2"/>
        <v>25.11</v>
      </c>
      <c r="P17" s="30">
        <f t="shared" si="3"/>
        <v>53.152063535850701</v>
      </c>
      <c r="Q17" s="30">
        <f t="shared" si="0"/>
        <v>54.4534183677915</v>
      </c>
      <c r="R17" s="31">
        <f t="shared" si="4"/>
        <v>53.8027409518211</v>
      </c>
    </row>
    <row r="18" spans="1:18" ht="30.75" customHeight="1">
      <c r="A18" s="18">
        <v>35521</v>
      </c>
      <c r="B18" s="19">
        <v>112.23</v>
      </c>
      <c r="C18" s="19">
        <v>357.82</v>
      </c>
      <c r="D18" s="20">
        <v>60.93</v>
      </c>
      <c r="E18" s="20">
        <v>0</v>
      </c>
      <c r="F18" s="20">
        <v>6.53</v>
      </c>
      <c r="G18" s="19">
        <v>0</v>
      </c>
      <c r="H18" s="97"/>
      <c r="I18" s="19">
        <f t="shared" si="1"/>
        <v>67.459999999999994</v>
      </c>
      <c r="J18" s="97"/>
      <c r="K18" s="19">
        <v>0</v>
      </c>
      <c r="L18" s="19">
        <v>109.13</v>
      </c>
      <c r="M18" s="19">
        <v>313.98099999999999</v>
      </c>
      <c r="N18" s="19">
        <f t="shared" si="2"/>
        <v>23.620999999999999</v>
      </c>
      <c r="P18" s="30">
        <f t="shared" si="3"/>
        <v>54.497085904574</v>
      </c>
      <c r="Q18" s="30">
        <f t="shared" si="0"/>
        <v>56.045156703659302</v>
      </c>
      <c r="R18" s="31">
        <f t="shared" si="4"/>
        <v>55.271121304116598</v>
      </c>
    </row>
    <row r="19" spans="1:18" ht="30.75" customHeight="1">
      <c r="A19" s="18">
        <v>35551</v>
      </c>
      <c r="B19" s="19">
        <v>109.02</v>
      </c>
      <c r="C19" s="19">
        <v>312.44799999999998</v>
      </c>
      <c r="D19" s="20">
        <v>49.5</v>
      </c>
      <c r="E19" s="20">
        <v>0</v>
      </c>
      <c r="F19" s="20">
        <v>3.71</v>
      </c>
      <c r="G19" s="19">
        <v>0</v>
      </c>
      <c r="H19" s="98"/>
      <c r="I19" s="19">
        <f t="shared" si="1"/>
        <v>53.21</v>
      </c>
      <c r="J19" s="98"/>
      <c r="K19" s="19">
        <v>0</v>
      </c>
      <c r="L19" s="19">
        <v>105.46</v>
      </c>
      <c r="M19" s="19">
        <v>265.99299999999999</v>
      </c>
      <c r="N19" s="19">
        <f t="shared" si="2"/>
        <v>6.7550000000000203</v>
      </c>
      <c r="P19" s="30">
        <f t="shared" si="3"/>
        <v>56.101705660157201</v>
      </c>
      <c r="Q19" s="30">
        <f t="shared" si="0"/>
        <v>57.995523905464999</v>
      </c>
      <c r="R19" s="31">
        <f t="shared" si="4"/>
        <v>57.0486147828111</v>
      </c>
    </row>
    <row r="20" spans="1:18">
      <c r="A20" s="21" t="s">
        <v>72</v>
      </c>
      <c r="B20" s="110" t="s">
        <v>73</v>
      </c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</row>
    <row r="21" spans="1:18">
      <c r="A21" s="21"/>
      <c r="B21" s="23"/>
      <c r="C21" s="21"/>
      <c r="D21" s="21"/>
      <c r="E21" s="21"/>
      <c r="F21" s="21"/>
      <c r="G21" s="24"/>
      <c r="H21" s="21"/>
      <c r="I21" s="21"/>
      <c r="J21" s="21"/>
      <c r="K21" s="21"/>
      <c r="L21" s="21"/>
      <c r="M21" s="21"/>
      <c r="N21" s="21"/>
    </row>
    <row r="22" spans="1:18">
      <c r="A22" s="21"/>
      <c r="B22" s="23"/>
      <c r="C22" s="21"/>
      <c r="D22" s="21"/>
      <c r="E22" s="21"/>
      <c r="F22" s="21"/>
      <c r="G22" s="24"/>
      <c r="H22" s="21"/>
      <c r="I22" s="21"/>
      <c r="J22" s="21"/>
      <c r="K22" s="21"/>
      <c r="L22" s="21"/>
      <c r="M22" s="21"/>
      <c r="N22" s="21"/>
    </row>
    <row r="23" spans="1:18">
      <c r="A23" s="21"/>
      <c r="B23" s="23"/>
      <c r="C23" s="21"/>
      <c r="D23" s="21"/>
      <c r="E23" s="21"/>
      <c r="F23" s="21"/>
      <c r="G23" s="24"/>
      <c r="H23" s="21"/>
      <c r="I23" s="21"/>
      <c r="J23" s="21"/>
      <c r="K23" s="21"/>
      <c r="L23" s="21"/>
      <c r="M23" s="21"/>
      <c r="N23" s="21"/>
    </row>
    <row r="24" spans="1:18" ht="18">
      <c r="A24" s="21"/>
      <c r="B24" s="23"/>
      <c r="C24" s="1" t="s">
        <v>29</v>
      </c>
      <c r="D24" s="21"/>
      <c r="E24" s="21"/>
      <c r="F24" s="1"/>
      <c r="G24" s="24"/>
      <c r="H24" s="25"/>
      <c r="I24" s="25"/>
      <c r="J24" s="1" t="s">
        <v>30</v>
      </c>
      <c r="K24" s="25"/>
      <c r="L24" s="25"/>
      <c r="M24" s="25"/>
      <c r="N24" s="25"/>
    </row>
    <row r="25" spans="1:18">
      <c r="A25" s="21"/>
      <c r="B25" s="23"/>
      <c r="C25" s="21" t="s">
        <v>74</v>
      </c>
      <c r="D25" s="21"/>
      <c r="E25" s="21"/>
      <c r="F25" s="21"/>
      <c r="G25" s="24"/>
      <c r="H25" s="25"/>
      <c r="I25" s="25"/>
      <c r="J25" s="21" t="s">
        <v>75</v>
      </c>
      <c r="K25" s="25"/>
      <c r="L25" s="25"/>
      <c r="M25" s="25"/>
      <c r="N25" s="25"/>
    </row>
    <row r="26" spans="1:18">
      <c r="A26" s="21"/>
      <c r="B26" s="23"/>
      <c r="C26" s="21" t="s">
        <v>33</v>
      </c>
      <c r="D26" s="21"/>
      <c r="E26" s="21"/>
      <c r="F26" s="21"/>
      <c r="G26" s="24"/>
      <c r="H26" s="25"/>
      <c r="I26" s="99" t="s">
        <v>33</v>
      </c>
      <c r="J26" s="99"/>
      <c r="K26" s="99"/>
      <c r="L26" s="25"/>
      <c r="M26" s="25"/>
      <c r="N26" s="25"/>
    </row>
  </sheetData>
  <mergeCells count="20">
    <mergeCell ref="M4:M6"/>
    <mergeCell ref="N4:N6"/>
    <mergeCell ref="A1:N1"/>
    <mergeCell ref="D4:H4"/>
    <mergeCell ref="B20:N20"/>
    <mergeCell ref="I26:K26"/>
    <mergeCell ref="A4:A6"/>
    <mergeCell ref="B4:B6"/>
    <mergeCell ref="C4:C6"/>
    <mergeCell ref="D5:D6"/>
    <mergeCell ref="E5:E6"/>
    <mergeCell ref="F5:F6"/>
    <mergeCell ref="G5:G6"/>
    <mergeCell ref="H5:H6"/>
    <mergeCell ref="H8:H19"/>
    <mergeCell ref="I4:I6"/>
    <mergeCell ref="J4:J6"/>
    <mergeCell ref="J8:J19"/>
    <mergeCell ref="K4:K6"/>
    <mergeCell ref="L4:L6"/>
  </mergeCells>
  <printOptions horizontalCentered="1" verticalCentered="1"/>
  <pageMargins left="0.2" right="0.2" top="0.25" bottom="0.25" header="0.3" footer="0.3"/>
  <pageSetup scale="8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Y25"/>
  <sheetViews>
    <sheetView view="pageBreakPreview" topLeftCell="A8" zoomScaleNormal="100" workbookViewId="0">
      <selection activeCell="A8" sqref="A8:T19"/>
    </sheetView>
  </sheetViews>
  <sheetFormatPr defaultColWidth="9" defaultRowHeight="14.4"/>
  <cols>
    <col min="4" max="5" width="9.5546875" customWidth="1"/>
    <col min="6" max="6" width="10.44140625" customWidth="1"/>
    <col min="8" max="9" width="9.88671875" customWidth="1"/>
    <col min="16" max="16" width="10" customWidth="1"/>
    <col min="19" max="20" width="10.109375" customWidth="1"/>
    <col min="22" max="22" width="12.5546875" customWidth="1"/>
  </cols>
  <sheetData>
    <row r="1" spans="1:25" ht="15.6">
      <c r="A1" s="81" t="s">
        <v>38</v>
      </c>
      <c r="B1" s="82"/>
      <c r="C1" s="81"/>
      <c r="D1" s="81"/>
      <c r="E1" s="81"/>
      <c r="F1" s="81"/>
      <c r="G1" s="81"/>
      <c r="H1" s="81"/>
      <c r="I1" s="81"/>
      <c r="J1" s="82"/>
      <c r="K1" s="82"/>
      <c r="L1" s="82"/>
      <c r="M1" s="82"/>
      <c r="N1" s="82"/>
      <c r="O1" s="82"/>
      <c r="P1" s="81"/>
      <c r="Q1" s="82"/>
      <c r="R1" s="82"/>
      <c r="S1" s="82"/>
      <c r="T1" s="82"/>
    </row>
    <row r="2" spans="1:25" ht="15.6">
      <c r="A2" s="3" t="s">
        <v>1</v>
      </c>
      <c r="B2" s="80" t="s">
        <v>2</v>
      </c>
      <c r="C2" s="4"/>
      <c r="D2" s="4"/>
      <c r="E2" s="4"/>
      <c r="F2" s="4"/>
      <c r="G2" s="4"/>
      <c r="H2" s="3"/>
      <c r="I2" s="3"/>
      <c r="J2" s="5"/>
      <c r="K2" s="5"/>
      <c r="L2" s="5"/>
      <c r="M2" s="5"/>
      <c r="N2" s="5"/>
      <c r="O2" s="5"/>
      <c r="P2" s="3"/>
      <c r="Q2" s="5"/>
      <c r="R2" s="5"/>
      <c r="S2" s="5"/>
      <c r="T2" s="5"/>
    </row>
    <row r="3" spans="1:25" ht="15.6">
      <c r="A3" s="3" t="s">
        <v>3</v>
      </c>
      <c r="B3" s="80" t="s">
        <v>4</v>
      </c>
      <c r="C3" s="6"/>
      <c r="D3" s="6"/>
      <c r="E3" s="6"/>
      <c r="F3" s="6"/>
      <c r="G3" s="6"/>
      <c r="H3" s="6"/>
      <c r="I3" s="6"/>
      <c r="J3" s="7"/>
      <c r="K3" s="7"/>
      <c r="L3" s="7"/>
      <c r="M3" s="7"/>
      <c r="N3" s="7"/>
      <c r="O3" s="7"/>
      <c r="P3" s="6"/>
      <c r="Q3" s="7"/>
      <c r="R3" s="7"/>
      <c r="S3" s="7"/>
      <c r="T3" s="7"/>
    </row>
    <row r="4" spans="1:25">
      <c r="A4" s="88" t="s">
        <v>5</v>
      </c>
      <c r="B4" s="89" t="s">
        <v>6</v>
      </c>
      <c r="C4" s="87" t="s">
        <v>7</v>
      </c>
      <c r="D4" s="43"/>
      <c r="E4" s="83" t="s">
        <v>8</v>
      </c>
      <c r="F4" s="84"/>
      <c r="G4" s="84"/>
      <c r="H4" s="84"/>
      <c r="I4" s="84"/>
      <c r="J4" s="84"/>
      <c r="K4" s="84"/>
      <c r="L4" s="85"/>
      <c r="M4" s="55"/>
      <c r="N4" s="92" t="s">
        <v>9</v>
      </c>
      <c r="O4" s="92" t="s">
        <v>10</v>
      </c>
      <c r="P4" s="92" t="s">
        <v>11</v>
      </c>
      <c r="Q4" s="89" t="s">
        <v>12</v>
      </c>
      <c r="R4" s="87" t="s">
        <v>13</v>
      </c>
      <c r="S4" s="9"/>
      <c r="T4" s="87" t="s">
        <v>14</v>
      </c>
    </row>
    <row r="5" spans="1:25" ht="72">
      <c r="A5" s="88"/>
      <c r="B5" s="90"/>
      <c r="C5" s="87"/>
      <c r="D5" s="27"/>
      <c r="E5" s="89" t="s">
        <v>15</v>
      </c>
      <c r="F5" s="27"/>
      <c r="G5" s="89" t="s">
        <v>16</v>
      </c>
      <c r="H5" s="27"/>
      <c r="I5" s="89" t="s">
        <v>17</v>
      </c>
      <c r="J5" s="27"/>
      <c r="K5" s="92" t="s">
        <v>18</v>
      </c>
      <c r="L5" s="92" t="s">
        <v>19</v>
      </c>
      <c r="M5" s="72" t="s">
        <v>94</v>
      </c>
      <c r="N5" s="92"/>
      <c r="O5" s="92"/>
      <c r="P5" s="92"/>
      <c r="Q5" s="90"/>
      <c r="R5" s="87"/>
      <c r="S5" s="9"/>
      <c r="T5" s="87"/>
      <c r="Y5" s="73"/>
    </row>
    <row r="6" spans="1:25" ht="73.95" customHeight="1">
      <c r="A6" s="88"/>
      <c r="B6" s="91"/>
      <c r="C6" s="87"/>
      <c r="D6" s="13"/>
      <c r="E6" s="91"/>
      <c r="F6" s="13"/>
      <c r="G6" s="91"/>
      <c r="H6" s="13"/>
      <c r="I6" s="91"/>
      <c r="J6" s="13"/>
      <c r="K6" s="92"/>
      <c r="L6" s="92"/>
      <c r="M6" s="10"/>
      <c r="N6" s="92"/>
      <c r="O6" s="92"/>
      <c r="P6" s="92"/>
      <c r="Q6" s="91"/>
      <c r="R6" s="87"/>
      <c r="S6" s="9"/>
      <c r="T6" s="87"/>
      <c r="V6" s="29" t="s">
        <v>39</v>
      </c>
      <c r="Y6" t="s">
        <v>40</v>
      </c>
    </row>
    <row r="7" spans="1:25">
      <c r="A7" s="15">
        <v>1</v>
      </c>
      <c r="B7" s="17">
        <v>2</v>
      </c>
      <c r="C7" s="16">
        <v>3</v>
      </c>
      <c r="D7" s="15"/>
      <c r="E7" s="15">
        <v>4</v>
      </c>
      <c r="F7" s="15"/>
      <c r="G7" s="15">
        <v>5</v>
      </c>
      <c r="H7" s="15"/>
      <c r="I7" s="15">
        <v>6</v>
      </c>
      <c r="J7" s="17"/>
      <c r="K7" s="17">
        <v>7</v>
      </c>
      <c r="L7" s="17">
        <v>8</v>
      </c>
      <c r="M7" s="17"/>
      <c r="N7" s="17">
        <v>9</v>
      </c>
      <c r="O7" s="17">
        <v>10</v>
      </c>
      <c r="P7" s="15">
        <v>11</v>
      </c>
      <c r="Q7" s="59">
        <v>12</v>
      </c>
      <c r="R7" s="17">
        <v>13</v>
      </c>
      <c r="S7" s="17"/>
      <c r="T7" s="17">
        <v>14</v>
      </c>
    </row>
    <row r="8" spans="1:25" ht="30.75" customHeight="1">
      <c r="A8" s="18">
        <v>43983</v>
      </c>
      <c r="B8" s="66">
        <v>113.71</v>
      </c>
      <c r="C8" s="63">
        <v>379.85199999999998</v>
      </c>
      <c r="D8" s="39">
        <f>(C8/976.1)*100</f>
        <v>38.9152750742752</v>
      </c>
      <c r="E8" s="19">
        <v>53.082999999999998</v>
      </c>
      <c r="F8" s="39">
        <f>(E8/N8)*100</f>
        <v>38.723255254116097</v>
      </c>
      <c r="G8" s="15">
        <v>84</v>
      </c>
      <c r="H8" s="39">
        <f>(G8/N8)*100</f>
        <v>61.276744745883903</v>
      </c>
      <c r="I8" s="56">
        <v>0</v>
      </c>
      <c r="J8" s="39">
        <f>(I8/N8)*100</f>
        <v>0</v>
      </c>
      <c r="K8" s="19">
        <v>0</v>
      </c>
      <c r="L8" s="19">
        <v>0</v>
      </c>
      <c r="M8" s="19">
        <v>0</v>
      </c>
      <c r="N8" s="20">
        <f>E8+G8+I8+K8+L8+M8</f>
        <v>137.083</v>
      </c>
      <c r="O8" s="15">
        <v>0</v>
      </c>
      <c r="P8" s="19">
        <v>0</v>
      </c>
      <c r="Q8" s="64">
        <v>108.79</v>
      </c>
      <c r="R8" s="65">
        <v>309.33999999999997</v>
      </c>
      <c r="S8" s="39">
        <f>(R8/976.1)*100</f>
        <v>31.6914250589079</v>
      </c>
      <c r="T8" s="63">
        <f>IF(N8+O8+P8+(R8-C8)&gt;0,N8+O8+P8+(R8-C8),0)</f>
        <v>66.570999999999998</v>
      </c>
      <c r="U8" s="32">
        <f t="shared" ref="U8:U19" si="0">(N8+O8+P8)+(R8-C8)</f>
        <v>66.570999999999998</v>
      </c>
      <c r="V8" s="35">
        <f>(15000000/(2725*0.8*72.33))</f>
        <v>95.129737936597905</v>
      </c>
      <c r="W8" s="32">
        <f>C8+T8-O8</f>
        <v>446.423</v>
      </c>
      <c r="X8" s="32">
        <f>W8-N8-P8</f>
        <v>309.33999999999997</v>
      </c>
      <c r="Y8" s="32">
        <f>W8-L8-976.1-O8</f>
        <v>-529.67700000000002</v>
      </c>
    </row>
    <row r="9" spans="1:25" ht="30.75" customHeight="1">
      <c r="A9" s="18">
        <v>44013</v>
      </c>
      <c r="B9" s="66">
        <v>108.63</v>
      </c>
      <c r="C9" s="63">
        <v>307.185</v>
      </c>
      <c r="D9" s="39">
        <f t="shared" ref="D9:D19" si="1">(C9/976.1)*100</f>
        <v>31.470648499129201</v>
      </c>
      <c r="E9" s="19">
        <v>7.2149999999999999</v>
      </c>
      <c r="F9" s="39">
        <f t="shared" ref="F9:F19" si="2">(E9/N9)*100</f>
        <v>42.717584369449398</v>
      </c>
      <c r="G9" s="15">
        <v>9.6750000000000007</v>
      </c>
      <c r="H9" s="39">
        <f t="shared" ref="H9:H19" si="3">(G9/N9)*100</f>
        <v>57.282415630550602</v>
      </c>
      <c r="I9" s="56">
        <v>0</v>
      </c>
      <c r="J9" s="39">
        <f t="shared" ref="J9:J19" si="4">(I9/N9)*100</f>
        <v>0</v>
      </c>
      <c r="K9" s="19">
        <v>0</v>
      </c>
      <c r="L9" s="19">
        <v>0</v>
      </c>
      <c r="M9" s="19">
        <v>0</v>
      </c>
      <c r="N9" s="20">
        <f>E9+G9+I9+K9+L9+M9</f>
        <v>16.89</v>
      </c>
      <c r="O9" s="15">
        <v>0</v>
      </c>
      <c r="P9" s="19">
        <v>0</v>
      </c>
      <c r="Q9" s="64">
        <v>123</v>
      </c>
      <c r="R9" s="65">
        <v>536.41399999999999</v>
      </c>
      <c r="S9" s="39">
        <f t="shared" ref="S9:S20" si="5">(R9/976.1)*100</f>
        <v>54.954820202848097</v>
      </c>
      <c r="T9" s="20">
        <f>IF(N9+O9+P9+(R9-C9)&gt;0,N9+O9+P9+(R9-C9),0)</f>
        <v>246.119</v>
      </c>
      <c r="U9" s="32">
        <f t="shared" si="0"/>
        <v>246.119</v>
      </c>
      <c r="V9" s="35">
        <f t="shared" ref="V9:V19" si="6">(15000000/(2725*0.8*72.33))</f>
        <v>95.129737936597905</v>
      </c>
      <c r="W9" s="32">
        <f t="shared" ref="W9:W20" si="7">C9+T9-O9</f>
        <v>553.30399999999997</v>
      </c>
      <c r="X9" s="32">
        <f t="shared" ref="X9:X20" si="8">W9-N9-P9</f>
        <v>536.41399999999999</v>
      </c>
      <c r="Y9" s="32">
        <f t="shared" ref="Y9:Y20" si="9">W9-L9-976.1-O9</f>
        <v>-422.79599999999999</v>
      </c>
    </row>
    <row r="10" spans="1:25" ht="30.75" customHeight="1">
      <c r="A10" s="71">
        <v>44044</v>
      </c>
      <c r="B10" s="66">
        <v>123.07</v>
      </c>
      <c r="C10" s="63">
        <v>537.74099999999999</v>
      </c>
      <c r="D10" s="39">
        <f t="shared" si="1"/>
        <v>55.090769388382299</v>
      </c>
      <c r="E10" s="19">
        <v>4</v>
      </c>
      <c r="F10" s="39">
        <f t="shared" si="2"/>
        <v>3.6182722749886902</v>
      </c>
      <c r="G10" s="15">
        <v>11.625</v>
      </c>
      <c r="H10" s="39">
        <f t="shared" si="3"/>
        <v>10.5156037991859</v>
      </c>
      <c r="I10" s="56">
        <v>0</v>
      </c>
      <c r="J10" s="39">
        <f t="shared" si="4"/>
        <v>0</v>
      </c>
      <c r="K10" s="19">
        <v>0</v>
      </c>
      <c r="L10" s="19">
        <v>0</v>
      </c>
      <c r="M10" s="19">
        <v>94.924999999999997</v>
      </c>
      <c r="N10" s="20">
        <f>E10+G10+I10+K10+L10+M10</f>
        <v>110.55</v>
      </c>
      <c r="O10" s="15">
        <v>0</v>
      </c>
      <c r="P10" s="19">
        <v>0</v>
      </c>
      <c r="Q10" s="64">
        <v>141.19999999999999</v>
      </c>
      <c r="R10" s="65">
        <v>952.71400000000006</v>
      </c>
      <c r="S10" s="39">
        <f t="shared" si="5"/>
        <v>97.604138920192597</v>
      </c>
      <c r="T10" s="20">
        <f t="shared" ref="T10:T19" si="10">IF(N10+O10+P10+(R10-C10)&gt;0,N10+O10+P10+(R10-C10),0)</f>
        <v>525.52300000000002</v>
      </c>
      <c r="U10" s="32">
        <f t="shared" si="0"/>
        <v>525.52300000000002</v>
      </c>
      <c r="V10" s="35">
        <f t="shared" si="6"/>
        <v>95.129737936597905</v>
      </c>
      <c r="W10" s="32">
        <f t="shared" si="7"/>
        <v>1063.2639999999999</v>
      </c>
      <c r="X10" s="32">
        <f t="shared" si="8"/>
        <v>952.71400000000006</v>
      </c>
      <c r="Y10" s="32">
        <f t="shared" si="9"/>
        <v>87.164000000000101</v>
      </c>
    </row>
    <row r="11" spans="1:25" ht="30.75" customHeight="1">
      <c r="A11" s="71">
        <v>44075</v>
      </c>
      <c r="B11" s="66">
        <v>141.19999999999999</v>
      </c>
      <c r="C11" s="63">
        <v>952.61400000000003</v>
      </c>
      <c r="D11" s="39">
        <f t="shared" si="1"/>
        <v>97.593894068230696</v>
      </c>
      <c r="E11" s="19">
        <v>0</v>
      </c>
      <c r="F11" s="39">
        <f t="shared" si="2"/>
        <v>0</v>
      </c>
      <c r="G11" s="15">
        <v>14.5</v>
      </c>
      <c r="H11" s="39">
        <f t="shared" si="3"/>
        <v>15.680761327998299</v>
      </c>
      <c r="I11" s="56">
        <v>0</v>
      </c>
      <c r="J11" s="39">
        <f t="shared" si="4"/>
        <v>0</v>
      </c>
      <c r="K11" s="19">
        <v>0</v>
      </c>
      <c r="L11" s="19">
        <v>0</v>
      </c>
      <c r="M11" s="19">
        <v>77.97</v>
      </c>
      <c r="N11" s="20">
        <f>E11+G11+I11+K11+L11+M11</f>
        <v>92.47</v>
      </c>
      <c r="O11" s="15">
        <v>0</v>
      </c>
      <c r="P11" s="19">
        <v>0</v>
      </c>
      <c r="Q11" s="64">
        <v>141.94999999999999</v>
      </c>
      <c r="R11" s="65">
        <v>973.16399999999999</v>
      </c>
      <c r="S11" s="39">
        <f t="shared" si="5"/>
        <v>99.699211146398895</v>
      </c>
      <c r="T11" s="20">
        <f t="shared" si="10"/>
        <v>113.02</v>
      </c>
      <c r="U11" s="32">
        <f t="shared" si="0"/>
        <v>113.02</v>
      </c>
      <c r="V11" s="35">
        <f t="shared" si="6"/>
        <v>95.129737936597905</v>
      </c>
      <c r="W11" s="32">
        <f t="shared" si="7"/>
        <v>1065.634</v>
      </c>
      <c r="X11" s="32">
        <f t="shared" si="8"/>
        <v>973.16399999999999</v>
      </c>
      <c r="Y11" s="32">
        <f t="shared" si="9"/>
        <v>89.534000000000006</v>
      </c>
    </row>
    <row r="12" spans="1:25" ht="30.75" customHeight="1">
      <c r="A12" s="71">
        <v>44105</v>
      </c>
      <c r="B12" s="66">
        <v>141.9</v>
      </c>
      <c r="C12" s="63">
        <v>973.16399999999999</v>
      </c>
      <c r="D12" s="39">
        <f t="shared" si="1"/>
        <v>99.699211146398895</v>
      </c>
      <c r="E12" s="19">
        <v>32.055</v>
      </c>
      <c r="F12" s="39">
        <f t="shared" si="2"/>
        <v>50.740007914523197</v>
      </c>
      <c r="G12" s="15">
        <v>11.2</v>
      </c>
      <c r="H12" s="39">
        <f t="shared" si="3"/>
        <v>17.728531855955701</v>
      </c>
      <c r="I12" s="56">
        <v>0</v>
      </c>
      <c r="J12" s="39">
        <f t="shared" si="4"/>
        <v>0</v>
      </c>
      <c r="K12" s="19">
        <v>0</v>
      </c>
      <c r="L12" s="19">
        <v>0</v>
      </c>
      <c r="M12" s="19">
        <v>19.920000000000002</v>
      </c>
      <c r="N12" s="20">
        <f>E12+G12+I12+K12+L12+M12</f>
        <v>63.174999999999997</v>
      </c>
      <c r="O12" s="15">
        <v>0</v>
      </c>
      <c r="P12" s="19">
        <v>0</v>
      </c>
      <c r="Q12" s="64">
        <v>141.18</v>
      </c>
      <c r="R12" s="65">
        <v>952.02700000000004</v>
      </c>
      <c r="S12" s="39">
        <f t="shared" si="5"/>
        <v>97.533756787214401</v>
      </c>
      <c r="T12" s="20">
        <f t="shared" si="10"/>
        <v>42.038000000000103</v>
      </c>
      <c r="U12" s="32">
        <f t="shared" si="0"/>
        <v>42.038000000000103</v>
      </c>
      <c r="V12" s="35">
        <f t="shared" si="6"/>
        <v>95.129737936597905</v>
      </c>
      <c r="W12" s="32">
        <f t="shared" si="7"/>
        <v>1015.202</v>
      </c>
      <c r="X12" s="32">
        <f t="shared" si="8"/>
        <v>952.02700000000004</v>
      </c>
      <c r="Y12" s="32">
        <f t="shared" si="9"/>
        <v>39.101999999999997</v>
      </c>
    </row>
    <row r="13" spans="1:25" ht="30.75" customHeight="1">
      <c r="A13" s="71">
        <v>44136</v>
      </c>
      <c r="B13" s="66">
        <v>141.1</v>
      </c>
      <c r="C13" s="63">
        <v>949.67899999999997</v>
      </c>
      <c r="D13" s="39">
        <f t="shared" si="1"/>
        <v>97.293207663149303</v>
      </c>
      <c r="E13" s="19">
        <v>53.734000000000002</v>
      </c>
      <c r="F13" s="39">
        <f t="shared" si="2"/>
        <v>82.751717128160905</v>
      </c>
      <c r="G13" s="15">
        <v>11.2</v>
      </c>
      <c r="H13" s="39">
        <f t="shared" si="3"/>
        <v>17.248282871839098</v>
      </c>
      <c r="I13" s="56">
        <v>0</v>
      </c>
      <c r="J13" s="39">
        <f t="shared" si="4"/>
        <v>0</v>
      </c>
      <c r="K13" s="19">
        <v>0</v>
      </c>
      <c r="L13" s="19">
        <v>0</v>
      </c>
      <c r="M13" s="19">
        <v>2.9</v>
      </c>
      <c r="N13" s="20">
        <f t="shared" ref="N13:N19" si="11">E13+G13+I13+K13+L13</f>
        <v>64.933999999999997</v>
      </c>
      <c r="O13" s="15">
        <v>0</v>
      </c>
      <c r="P13" s="19">
        <v>0</v>
      </c>
      <c r="Q13" s="64">
        <v>138.30000000000001</v>
      </c>
      <c r="R13" s="65">
        <v>875.19500000000005</v>
      </c>
      <c r="S13" s="39">
        <f t="shared" si="5"/>
        <v>89.662432127855794</v>
      </c>
      <c r="T13" s="20">
        <f t="shared" si="10"/>
        <v>0</v>
      </c>
      <c r="U13" s="32">
        <f t="shared" si="0"/>
        <v>-9.5499999999999297</v>
      </c>
      <c r="V13" s="35">
        <f t="shared" si="6"/>
        <v>95.129737936597905</v>
      </c>
      <c r="W13" s="32">
        <f t="shared" si="7"/>
        <v>949.67899999999997</v>
      </c>
      <c r="X13" s="32">
        <f t="shared" si="8"/>
        <v>884.745</v>
      </c>
      <c r="Y13" s="32">
        <f t="shared" si="9"/>
        <v>-26.420999999999999</v>
      </c>
    </row>
    <row r="14" spans="1:25" ht="30.75" customHeight="1">
      <c r="A14" s="71">
        <v>44166</v>
      </c>
      <c r="B14" s="66">
        <v>138.19999999999999</v>
      </c>
      <c r="C14" s="63">
        <v>872.63300000000004</v>
      </c>
      <c r="D14" s="39">
        <f t="shared" si="1"/>
        <v>89.399959020592206</v>
      </c>
      <c r="E14" s="19">
        <v>56.976999999999997</v>
      </c>
      <c r="F14" s="39">
        <f t="shared" si="2"/>
        <v>73.163747496019298</v>
      </c>
      <c r="G14" s="15">
        <v>17.05</v>
      </c>
      <c r="H14" s="39">
        <f t="shared" si="3"/>
        <v>21.8937798551543</v>
      </c>
      <c r="I14" s="56">
        <v>3.8490000000000002</v>
      </c>
      <c r="J14" s="39">
        <f t="shared" si="4"/>
        <v>4.9424726488263397</v>
      </c>
      <c r="K14" s="19">
        <v>0</v>
      </c>
      <c r="L14" s="19">
        <v>0</v>
      </c>
      <c r="M14" s="19">
        <v>0</v>
      </c>
      <c r="N14" s="20">
        <f t="shared" si="11"/>
        <v>77.876000000000005</v>
      </c>
      <c r="O14" s="15">
        <v>0</v>
      </c>
      <c r="P14" s="19">
        <v>0</v>
      </c>
      <c r="Q14" s="64">
        <v>134.9</v>
      </c>
      <c r="R14" s="65">
        <v>790.96299999999997</v>
      </c>
      <c r="S14" s="39">
        <f t="shared" si="5"/>
        <v>81.032988423317306</v>
      </c>
      <c r="T14" s="20">
        <f t="shared" si="10"/>
        <v>0</v>
      </c>
      <c r="U14" s="32">
        <f t="shared" si="0"/>
        <v>-3.7940000000000702</v>
      </c>
      <c r="V14" s="35">
        <f t="shared" si="6"/>
        <v>95.129737936597905</v>
      </c>
      <c r="W14" s="32">
        <f t="shared" si="7"/>
        <v>872.63300000000004</v>
      </c>
      <c r="X14" s="32">
        <f t="shared" si="8"/>
        <v>794.75699999999995</v>
      </c>
      <c r="Y14" s="32">
        <f t="shared" si="9"/>
        <v>-103.467</v>
      </c>
    </row>
    <row r="15" spans="1:25" ht="30.75" customHeight="1">
      <c r="A15" s="71">
        <v>44197</v>
      </c>
      <c r="B15" s="66">
        <v>134.80000000000001</v>
      </c>
      <c r="C15" s="63">
        <v>788.55600000000004</v>
      </c>
      <c r="D15" s="39">
        <f t="shared" si="1"/>
        <v>80.786394836594596</v>
      </c>
      <c r="E15" s="19">
        <v>60.735999999999997</v>
      </c>
      <c r="F15" s="39">
        <f t="shared" si="2"/>
        <v>72.346102534781807</v>
      </c>
      <c r="G15" s="15">
        <v>11.85</v>
      </c>
      <c r="H15" s="39">
        <f t="shared" si="3"/>
        <v>14.115208690680401</v>
      </c>
      <c r="I15" s="56">
        <v>11.366</v>
      </c>
      <c r="J15" s="39">
        <f t="shared" si="4"/>
        <v>13.5386887745378</v>
      </c>
      <c r="K15" s="19">
        <v>0</v>
      </c>
      <c r="L15" s="19">
        <v>0</v>
      </c>
      <c r="M15" s="19">
        <v>0</v>
      </c>
      <c r="N15" s="20">
        <f t="shared" si="11"/>
        <v>83.951999999999998</v>
      </c>
      <c r="O15" s="15">
        <v>0</v>
      </c>
      <c r="P15" s="19">
        <v>0</v>
      </c>
      <c r="Q15" s="64">
        <v>131.4</v>
      </c>
      <c r="R15" s="65">
        <v>707.11599999999999</v>
      </c>
      <c r="S15" s="39">
        <f t="shared" si="5"/>
        <v>72.442987398832102</v>
      </c>
      <c r="T15" s="20">
        <f t="shared" si="10"/>
        <v>2.5119999999999401</v>
      </c>
      <c r="U15" s="32">
        <f t="shared" si="0"/>
        <v>2.5119999999999401</v>
      </c>
      <c r="V15" s="35">
        <f t="shared" si="6"/>
        <v>95.129737936597905</v>
      </c>
      <c r="W15" s="32">
        <f t="shared" si="7"/>
        <v>791.06799999999998</v>
      </c>
      <c r="X15" s="32">
        <f t="shared" si="8"/>
        <v>707.11599999999999</v>
      </c>
      <c r="Y15" s="32">
        <f t="shared" si="9"/>
        <v>-185.03200000000001</v>
      </c>
    </row>
    <row r="16" spans="1:25" ht="30.75" customHeight="1">
      <c r="A16" s="18">
        <v>44228</v>
      </c>
      <c r="B16" s="66">
        <v>131.19999999999999</v>
      </c>
      <c r="C16" s="63">
        <v>704.86400000000003</v>
      </c>
      <c r="D16" s="39">
        <f t="shared" si="1"/>
        <v>72.212273332650298</v>
      </c>
      <c r="E16" s="19">
        <v>56.783999999999999</v>
      </c>
      <c r="F16" s="39">
        <f t="shared" si="2"/>
        <v>73.0792000205915</v>
      </c>
      <c r="G16" s="20">
        <v>10.835000000000001</v>
      </c>
      <c r="H16" s="39">
        <f t="shared" si="3"/>
        <v>13.9443000180176</v>
      </c>
      <c r="I16" s="56">
        <v>10.083</v>
      </c>
      <c r="J16" s="39">
        <f t="shared" si="4"/>
        <v>12.976499961390999</v>
      </c>
      <c r="K16" s="19">
        <v>0</v>
      </c>
      <c r="L16" s="19">
        <v>0</v>
      </c>
      <c r="M16" s="19">
        <v>0</v>
      </c>
      <c r="N16" s="20">
        <f t="shared" si="11"/>
        <v>77.701999999999998</v>
      </c>
      <c r="O16" s="15">
        <v>0</v>
      </c>
      <c r="P16" s="19">
        <v>0</v>
      </c>
      <c r="Q16" s="64">
        <v>127.55</v>
      </c>
      <c r="R16" s="65">
        <v>626.21100000000001</v>
      </c>
      <c r="S16" s="39">
        <f t="shared" si="5"/>
        <v>64.154389919065693</v>
      </c>
      <c r="T16" s="20">
        <f t="shared" si="10"/>
        <v>0</v>
      </c>
      <c r="U16" s="32">
        <f t="shared" si="0"/>
        <v>-0.95100000000002205</v>
      </c>
      <c r="V16" s="35">
        <f t="shared" si="6"/>
        <v>95.129737936597905</v>
      </c>
      <c r="W16" s="32">
        <f t="shared" si="7"/>
        <v>704.86400000000003</v>
      </c>
      <c r="X16" s="32">
        <f t="shared" si="8"/>
        <v>627.16200000000003</v>
      </c>
      <c r="Y16" s="32">
        <f t="shared" si="9"/>
        <v>-271.23599999999999</v>
      </c>
    </row>
    <row r="17" spans="1:25" ht="30.75" customHeight="1">
      <c r="A17" s="18">
        <v>44256</v>
      </c>
      <c r="B17" s="66">
        <v>127.4</v>
      </c>
      <c r="C17" s="63">
        <v>623.10400000000004</v>
      </c>
      <c r="D17" s="39">
        <f t="shared" si="1"/>
        <v>63.836082368609802</v>
      </c>
      <c r="E17" s="19">
        <v>63.005000000000003</v>
      </c>
      <c r="F17" s="39">
        <f t="shared" si="2"/>
        <v>71.9153064718639</v>
      </c>
      <c r="G17" s="20">
        <v>10.685</v>
      </c>
      <c r="H17" s="39">
        <f t="shared" si="3"/>
        <v>12.196096336034699</v>
      </c>
      <c r="I17" s="56">
        <v>13.92</v>
      </c>
      <c r="J17" s="39">
        <f t="shared" si="4"/>
        <v>15.8885971921014</v>
      </c>
      <c r="K17" s="19">
        <v>0</v>
      </c>
      <c r="L17" s="19">
        <v>0</v>
      </c>
      <c r="M17" s="19">
        <v>0</v>
      </c>
      <c r="N17" s="20">
        <f t="shared" si="11"/>
        <v>87.61</v>
      </c>
      <c r="O17" s="15">
        <v>0</v>
      </c>
      <c r="P17" s="19">
        <v>0</v>
      </c>
      <c r="Q17" s="64">
        <v>123</v>
      </c>
      <c r="R17" s="65">
        <v>536.41399999999999</v>
      </c>
      <c r="S17" s="39">
        <f t="shared" si="5"/>
        <v>54.954820202848097</v>
      </c>
      <c r="T17" s="20">
        <f t="shared" si="10"/>
        <v>0.91999999999994497</v>
      </c>
      <c r="U17" s="32">
        <f t="shared" si="0"/>
        <v>0.91999999999994497</v>
      </c>
      <c r="V17" s="35">
        <f t="shared" si="6"/>
        <v>95.129737936597905</v>
      </c>
      <c r="W17" s="32">
        <f t="shared" si="7"/>
        <v>624.024</v>
      </c>
      <c r="X17" s="32">
        <f t="shared" si="8"/>
        <v>536.41399999999999</v>
      </c>
      <c r="Y17" s="32">
        <f t="shared" si="9"/>
        <v>-352.07600000000002</v>
      </c>
    </row>
    <row r="18" spans="1:25" ht="30.75" customHeight="1">
      <c r="A18" s="18">
        <v>44287</v>
      </c>
      <c r="B18" s="66">
        <v>122.8</v>
      </c>
      <c r="C18" s="63">
        <v>532.70799999999997</v>
      </c>
      <c r="D18" s="39">
        <f t="shared" si="1"/>
        <v>54.575145989140502</v>
      </c>
      <c r="E18" s="19">
        <v>58.87</v>
      </c>
      <c r="F18" s="39">
        <f t="shared" si="2"/>
        <v>66.937281120662206</v>
      </c>
      <c r="G18" s="20">
        <v>16.25</v>
      </c>
      <c r="H18" s="39">
        <f t="shared" si="3"/>
        <v>18.476827216082199</v>
      </c>
      <c r="I18" s="56">
        <v>12.827999999999999</v>
      </c>
      <c r="J18" s="39">
        <f t="shared" si="4"/>
        <v>14.5858916632556</v>
      </c>
      <c r="K18" s="19">
        <v>0</v>
      </c>
      <c r="L18" s="19">
        <v>0</v>
      </c>
      <c r="M18" s="19">
        <v>0</v>
      </c>
      <c r="N18" s="20">
        <f t="shared" si="11"/>
        <v>87.947999999999993</v>
      </c>
      <c r="O18" s="15">
        <v>0</v>
      </c>
      <c r="P18" s="19">
        <v>0</v>
      </c>
      <c r="Q18" s="64">
        <v>117.9</v>
      </c>
      <c r="R18" s="65">
        <v>446.29</v>
      </c>
      <c r="S18" s="39">
        <f t="shared" si="5"/>
        <v>45.721749820715097</v>
      </c>
      <c r="T18" s="20">
        <f t="shared" si="10"/>
        <v>1.53000000000006</v>
      </c>
      <c r="U18" s="32">
        <f t="shared" si="0"/>
        <v>1.53000000000006</v>
      </c>
      <c r="V18" s="35">
        <f t="shared" si="6"/>
        <v>95.129737936597905</v>
      </c>
      <c r="W18" s="32">
        <f t="shared" si="7"/>
        <v>534.23800000000006</v>
      </c>
      <c r="X18" s="32">
        <f t="shared" si="8"/>
        <v>446.29</v>
      </c>
      <c r="Y18" s="32">
        <f t="shared" si="9"/>
        <v>-441.86200000000002</v>
      </c>
    </row>
    <row r="19" spans="1:25" ht="30.75" customHeight="1">
      <c r="A19" s="18">
        <v>44317</v>
      </c>
      <c r="B19" s="66">
        <v>112.7</v>
      </c>
      <c r="C19" s="63">
        <v>364.745</v>
      </c>
      <c r="D19" s="39">
        <f t="shared" si="1"/>
        <v>37.367585288392597</v>
      </c>
      <c r="E19" s="19">
        <v>59.084000000000003</v>
      </c>
      <c r="F19" s="39">
        <f t="shared" si="2"/>
        <v>76.366503379906703</v>
      </c>
      <c r="G19" s="20">
        <v>15.845000000000001</v>
      </c>
      <c r="H19" s="39">
        <f t="shared" si="3"/>
        <v>20.4797787227443</v>
      </c>
      <c r="I19" s="56">
        <v>2.44</v>
      </c>
      <c r="J19" s="39">
        <f t="shared" si="4"/>
        <v>3.15371789734907</v>
      </c>
      <c r="K19" s="19">
        <v>0</v>
      </c>
      <c r="L19" s="19">
        <v>0</v>
      </c>
      <c r="M19" s="19">
        <v>0</v>
      </c>
      <c r="N19" s="20">
        <f t="shared" si="11"/>
        <v>77.369</v>
      </c>
      <c r="O19" s="15">
        <v>0</v>
      </c>
      <c r="P19" s="19">
        <v>0</v>
      </c>
      <c r="Q19" s="64">
        <v>113.2</v>
      </c>
      <c r="R19" s="65">
        <v>372.17500000000001</v>
      </c>
      <c r="S19" s="39">
        <f t="shared" si="5"/>
        <v>38.1287777891609</v>
      </c>
      <c r="T19" s="20">
        <f t="shared" si="10"/>
        <v>84.799000000000007</v>
      </c>
      <c r="U19" s="32">
        <f t="shared" si="0"/>
        <v>84.799000000000007</v>
      </c>
      <c r="V19" s="35">
        <f t="shared" si="6"/>
        <v>95.129737936597905</v>
      </c>
      <c r="W19" s="32">
        <f t="shared" si="7"/>
        <v>449.54399999999998</v>
      </c>
      <c r="X19" s="32">
        <f t="shared" si="8"/>
        <v>372.17500000000001</v>
      </c>
      <c r="Y19" s="32">
        <f t="shared" si="9"/>
        <v>-526.55600000000004</v>
      </c>
    </row>
    <row r="20" spans="1:25">
      <c r="A20" s="46" t="s">
        <v>28</v>
      </c>
      <c r="B20" s="28"/>
      <c r="C20" s="47"/>
      <c r="D20" s="39"/>
      <c r="E20" s="47"/>
      <c r="F20" s="39"/>
      <c r="G20" s="48"/>
      <c r="H20" s="39"/>
      <c r="I20" s="50"/>
      <c r="J20" s="39"/>
      <c r="K20" s="47"/>
      <c r="L20" s="47"/>
      <c r="M20" s="47"/>
      <c r="N20" s="48"/>
      <c r="O20" s="57"/>
      <c r="P20" s="47"/>
      <c r="Q20" s="57"/>
      <c r="R20" s="57"/>
      <c r="S20" s="39">
        <f t="shared" si="5"/>
        <v>0</v>
      </c>
      <c r="T20" s="48"/>
      <c r="W20" s="32">
        <f t="shared" si="7"/>
        <v>0</v>
      </c>
      <c r="X20" s="32">
        <f t="shared" si="8"/>
        <v>0</v>
      </c>
      <c r="Y20" s="32">
        <f t="shared" si="9"/>
        <v>-976.1</v>
      </c>
    </row>
    <row r="21" spans="1:25">
      <c r="A21" s="49"/>
      <c r="B21" s="28"/>
      <c r="C21" s="47"/>
      <c r="D21" s="47"/>
      <c r="E21" s="47"/>
      <c r="F21" s="48"/>
      <c r="G21" s="48"/>
      <c r="H21" s="50"/>
      <c r="I21" s="50"/>
      <c r="J21" s="47"/>
      <c r="K21" s="47"/>
      <c r="L21" s="47"/>
      <c r="M21" s="47"/>
      <c r="N21" s="48"/>
      <c r="O21" s="57"/>
      <c r="P21" s="47"/>
      <c r="Q21" s="57"/>
      <c r="R21" s="57"/>
      <c r="S21" s="48"/>
      <c r="T21" s="48"/>
    </row>
    <row r="22" spans="1:25">
      <c r="A22" s="49"/>
      <c r="B22" s="28"/>
      <c r="C22" s="47"/>
      <c r="D22" s="47"/>
      <c r="E22" s="47"/>
      <c r="F22" s="48"/>
      <c r="G22" s="48"/>
      <c r="H22" s="50"/>
      <c r="I22" s="50"/>
      <c r="J22" s="47"/>
      <c r="K22" s="47"/>
      <c r="L22" s="47"/>
      <c r="M22" s="47"/>
      <c r="N22" s="48"/>
      <c r="O22" s="57"/>
      <c r="P22" s="47"/>
      <c r="Q22" s="57"/>
      <c r="R22" s="57"/>
      <c r="S22" s="48"/>
      <c r="T22" s="48"/>
    </row>
    <row r="23" spans="1:25">
      <c r="A23" s="49"/>
      <c r="B23" s="86" t="s">
        <v>29</v>
      </c>
      <c r="C23" s="86"/>
      <c r="D23" s="86"/>
      <c r="E23" s="86"/>
      <c r="F23" s="48"/>
      <c r="G23" s="48"/>
      <c r="H23" s="50"/>
      <c r="I23" s="50"/>
      <c r="J23" s="47"/>
      <c r="K23" s="47"/>
      <c r="L23" s="47"/>
      <c r="M23" s="47"/>
      <c r="N23" s="48"/>
      <c r="O23" s="54"/>
      <c r="P23" s="86" t="s">
        <v>30</v>
      </c>
      <c r="Q23" s="86"/>
      <c r="R23" s="86"/>
      <c r="S23" s="52"/>
      <c r="T23" s="52"/>
    </row>
    <row r="24" spans="1:25">
      <c r="A24" s="49"/>
      <c r="B24" s="86" t="s">
        <v>31</v>
      </c>
      <c r="C24" s="86"/>
      <c r="D24" s="86"/>
      <c r="E24" s="86"/>
      <c r="F24" s="48"/>
      <c r="G24" s="48"/>
      <c r="H24" s="50"/>
      <c r="I24" s="50"/>
      <c r="J24" s="47"/>
      <c r="K24" s="47"/>
      <c r="L24" s="47"/>
      <c r="M24" s="47"/>
      <c r="N24" s="48"/>
      <c r="O24" s="86" t="s">
        <v>32</v>
      </c>
      <c r="P24" s="86"/>
      <c r="Q24" s="86"/>
      <c r="R24" s="86"/>
      <c r="S24" s="86"/>
      <c r="T24" s="86"/>
    </row>
    <row r="25" spans="1:25">
      <c r="A25" s="49"/>
      <c r="B25" s="86" t="s">
        <v>33</v>
      </c>
      <c r="C25" s="86"/>
      <c r="D25" s="86"/>
      <c r="E25" s="86"/>
      <c r="F25" s="48"/>
      <c r="G25" s="48"/>
      <c r="H25" s="50"/>
      <c r="I25" s="50"/>
      <c r="J25" s="47"/>
      <c r="K25" s="47"/>
      <c r="L25" s="47"/>
      <c r="M25" s="47"/>
      <c r="N25" s="48"/>
      <c r="O25" s="54"/>
      <c r="P25" s="86" t="s">
        <v>33</v>
      </c>
      <c r="Q25" s="86"/>
      <c r="R25" s="86"/>
      <c r="S25" s="52"/>
      <c r="T25" s="52"/>
    </row>
  </sheetData>
  <mergeCells count="22">
    <mergeCell ref="B25:E25"/>
    <mergeCell ref="P25:R25"/>
    <mergeCell ref="A4:A6"/>
    <mergeCell ref="B4:B6"/>
    <mergeCell ref="C4:C6"/>
    <mergeCell ref="E5:E6"/>
    <mergeCell ref="G5:G6"/>
    <mergeCell ref="I5:I6"/>
    <mergeCell ref="K5:K6"/>
    <mergeCell ref="L5:L6"/>
    <mergeCell ref="N4:N6"/>
    <mergeCell ref="O4:O6"/>
    <mergeCell ref="P4:P6"/>
    <mergeCell ref="Q4:Q6"/>
    <mergeCell ref="R4:R6"/>
    <mergeCell ref="A1:T1"/>
    <mergeCell ref="E4:L4"/>
    <mergeCell ref="B23:E23"/>
    <mergeCell ref="P23:R23"/>
    <mergeCell ref="B24:E24"/>
    <mergeCell ref="O24:T24"/>
    <mergeCell ref="T4:T6"/>
  </mergeCells>
  <printOptions horizontalCentered="1" verticalCentered="1"/>
  <pageMargins left="0.45" right="0.45" top="0.5" bottom="0.5" header="0.3" footer="0.3"/>
  <pageSetup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AH25"/>
  <sheetViews>
    <sheetView view="pageBreakPreview" topLeftCell="E8" zoomScaleNormal="100" workbookViewId="0">
      <selection activeCell="A8" sqref="A8:T19"/>
    </sheetView>
  </sheetViews>
  <sheetFormatPr defaultColWidth="9" defaultRowHeight="14.4"/>
  <cols>
    <col min="4" max="5" width="9.5546875" customWidth="1"/>
    <col min="7" max="7" width="12.109375" customWidth="1"/>
    <col min="10" max="10" width="10.33203125" customWidth="1"/>
    <col min="11" max="11" width="9.109375"/>
    <col min="14" max="14" width="9.109375"/>
    <col min="15" max="16" width="10" customWidth="1"/>
    <col min="19" max="20" width="10.109375" customWidth="1"/>
    <col min="22" max="22" width="14" customWidth="1"/>
    <col min="23" max="26" width="12.6640625" customWidth="1"/>
    <col min="27" max="27" width="20.44140625" customWidth="1"/>
    <col min="28" max="28" width="12.44140625" customWidth="1"/>
    <col min="29" max="30" width="13.33203125" customWidth="1"/>
    <col min="31" max="31" width="11.5546875" customWidth="1"/>
    <col min="32" max="32" width="10.5546875"/>
    <col min="33" max="33" width="13.109375" customWidth="1"/>
    <col min="34" max="34" width="11.6640625"/>
  </cols>
  <sheetData>
    <row r="1" spans="1:34" ht="15.6">
      <c r="A1" s="81" t="s">
        <v>41</v>
      </c>
      <c r="B1" s="82"/>
      <c r="C1" s="81"/>
      <c r="D1" s="81"/>
      <c r="E1" s="81"/>
      <c r="F1" s="81"/>
      <c r="G1" s="81"/>
      <c r="H1" s="81"/>
      <c r="I1" s="81"/>
      <c r="J1" s="82"/>
      <c r="K1" s="82"/>
      <c r="L1" s="82"/>
      <c r="M1" s="82"/>
      <c r="N1" s="82"/>
      <c r="O1" s="82"/>
      <c r="P1" s="81"/>
      <c r="Q1" s="82"/>
      <c r="R1" s="82"/>
      <c r="S1" s="82"/>
      <c r="T1" s="82"/>
    </row>
    <row r="2" spans="1:34" ht="15.6">
      <c r="A2" s="3" t="s">
        <v>1</v>
      </c>
      <c r="B2" s="80" t="s">
        <v>2</v>
      </c>
      <c r="C2" s="4"/>
      <c r="D2" s="4"/>
      <c r="E2" s="4"/>
      <c r="F2" s="4"/>
      <c r="G2" s="4"/>
      <c r="H2" s="3"/>
      <c r="I2" s="3"/>
      <c r="J2" s="5"/>
      <c r="K2" s="5"/>
      <c r="L2" s="5"/>
      <c r="M2" s="5"/>
      <c r="N2" s="5"/>
      <c r="O2" s="5"/>
      <c r="P2" s="3"/>
      <c r="Q2" s="5"/>
      <c r="R2" s="5"/>
      <c r="S2" s="5"/>
      <c r="T2" s="5"/>
    </row>
    <row r="3" spans="1:34" ht="15.6">
      <c r="A3" s="3" t="s">
        <v>3</v>
      </c>
      <c r="B3" s="80" t="s">
        <v>4</v>
      </c>
      <c r="C3" s="6"/>
      <c r="D3" s="6"/>
      <c r="E3" s="6"/>
      <c r="F3" s="6"/>
      <c r="G3" s="6"/>
      <c r="H3" s="6"/>
      <c r="I3" s="6"/>
      <c r="J3" s="7"/>
      <c r="K3" s="7"/>
      <c r="L3" s="7"/>
      <c r="M3" s="7"/>
      <c r="N3" s="7"/>
      <c r="O3" s="7"/>
      <c r="P3" s="6"/>
      <c r="Q3" s="7"/>
      <c r="R3" s="7"/>
      <c r="S3" s="7"/>
      <c r="T3" s="7"/>
    </row>
    <row r="4" spans="1:34">
      <c r="A4" s="88" t="s">
        <v>5</v>
      </c>
      <c r="B4" s="89" t="s">
        <v>6</v>
      </c>
      <c r="C4" s="87" t="s">
        <v>7</v>
      </c>
      <c r="D4" s="43"/>
      <c r="E4" s="83" t="s">
        <v>8</v>
      </c>
      <c r="F4" s="84"/>
      <c r="G4" s="84"/>
      <c r="H4" s="84"/>
      <c r="I4" s="84"/>
      <c r="J4" s="84"/>
      <c r="K4" s="84"/>
      <c r="L4" s="84"/>
      <c r="M4" s="85"/>
      <c r="N4" s="92" t="s">
        <v>9</v>
      </c>
      <c r="O4" s="92" t="s">
        <v>10</v>
      </c>
      <c r="P4" s="92" t="s">
        <v>11</v>
      </c>
      <c r="Q4" s="89" t="s">
        <v>12</v>
      </c>
      <c r="R4" s="87" t="s">
        <v>13</v>
      </c>
      <c r="S4" s="9"/>
      <c r="T4" s="87" t="s">
        <v>14</v>
      </c>
    </row>
    <row r="5" spans="1:34">
      <c r="A5" s="88"/>
      <c r="B5" s="90"/>
      <c r="C5" s="87"/>
      <c r="D5" s="27"/>
      <c r="E5" s="89" t="s">
        <v>15</v>
      </c>
      <c r="F5" s="27"/>
      <c r="G5" s="89" t="s">
        <v>42</v>
      </c>
      <c r="H5" s="27"/>
      <c r="I5" s="89" t="s">
        <v>17</v>
      </c>
      <c r="J5" s="93" t="s">
        <v>43</v>
      </c>
      <c r="K5" s="27"/>
      <c r="L5" s="92" t="s">
        <v>18</v>
      </c>
      <c r="M5" s="92" t="s">
        <v>19</v>
      </c>
      <c r="N5" s="92"/>
      <c r="O5" s="92"/>
      <c r="P5" s="92"/>
      <c r="Q5" s="90"/>
      <c r="R5" s="87"/>
      <c r="S5" s="9"/>
      <c r="T5" s="87"/>
    </row>
    <row r="6" spans="1:34" ht="87.6" customHeight="1">
      <c r="A6" s="88"/>
      <c r="B6" s="91"/>
      <c r="C6" s="87"/>
      <c r="D6" s="13"/>
      <c r="E6" s="91"/>
      <c r="F6" s="13"/>
      <c r="G6" s="91"/>
      <c r="H6" s="13"/>
      <c r="I6" s="91"/>
      <c r="J6" s="94"/>
      <c r="K6" s="13"/>
      <c r="L6" s="92"/>
      <c r="M6" s="92"/>
      <c r="N6" s="92"/>
      <c r="O6" s="92"/>
      <c r="P6" s="92"/>
      <c r="Q6" s="91"/>
      <c r="R6" s="87"/>
      <c r="S6" s="9"/>
      <c r="T6" s="87"/>
      <c r="V6" s="68"/>
      <c r="W6" s="68"/>
      <c r="X6" s="68" t="s">
        <v>40</v>
      </c>
      <c r="Y6" s="68"/>
      <c r="Z6" s="68" t="s">
        <v>44</v>
      </c>
      <c r="AA6" s="29" t="s">
        <v>45</v>
      </c>
      <c r="AB6" s="29" t="s">
        <v>46</v>
      </c>
      <c r="AC6" s="29" t="s">
        <v>47</v>
      </c>
      <c r="AD6" s="29" t="s">
        <v>48</v>
      </c>
      <c r="AE6" s="29" t="s">
        <v>49</v>
      </c>
      <c r="AF6" s="42" t="s">
        <v>50</v>
      </c>
      <c r="AG6" s="68" t="s">
        <v>51</v>
      </c>
      <c r="AH6" t="s">
        <v>52</v>
      </c>
    </row>
    <row r="7" spans="1:34">
      <c r="A7" s="15">
        <v>1</v>
      </c>
      <c r="B7" s="17">
        <v>2</v>
      </c>
      <c r="C7" s="16">
        <v>3</v>
      </c>
      <c r="D7" s="15"/>
      <c r="E7" s="15">
        <v>4</v>
      </c>
      <c r="F7" s="15"/>
      <c r="G7" s="15">
        <v>5</v>
      </c>
      <c r="H7" s="15"/>
      <c r="I7" s="15">
        <v>6</v>
      </c>
      <c r="J7" s="17"/>
      <c r="K7" s="17"/>
      <c r="L7" s="17">
        <v>7</v>
      </c>
      <c r="M7" s="17">
        <v>8</v>
      </c>
      <c r="N7" s="17">
        <v>9</v>
      </c>
      <c r="O7" s="17">
        <v>10</v>
      </c>
      <c r="P7" s="15">
        <v>11</v>
      </c>
      <c r="Q7" s="59">
        <v>12</v>
      </c>
      <c r="R7" s="17">
        <v>13</v>
      </c>
      <c r="S7" s="17"/>
      <c r="T7" s="17">
        <v>14</v>
      </c>
    </row>
    <row r="8" spans="1:34" ht="30.75" customHeight="1">
      <c r="A8" s="18">
        <v>43617</v>
      </c>
      <c r="B8" s="66">
        <v>108.43</v>
      </c>
      <c r="C8" s="63">
        <v>304.49099999999999</v>
      </c>
      <c r="D8" s="39">
        <f>(C8/976.1)*100</f>
        <v>31.194652187275899</v>
      </c>
      <c r="E8" s="19">
        <v>16.341999999999999</v>
      </c>
      <c r="F8" s="39">
        <f t="shared" ref="F8:F19" si="0">(E8/N8)*100</f>
        <v>33.668465944208698</v>
      </c>
      <c r="G8" s="15">
        <f>27.849</f>
        <v>27.849</v>
      </c>
      <c r="H8" s="39">
        <f>(G8/N8)*100</f>
        <v>57.375664427870902</v>
      </c>
      <c r="I8" s="56">
        <v>4.3470000000000004</v>
      </c>
      <c r="J8" s="63">
        <v>0</v>
      </c>
      <c r="K8" s="39">
        <f>(J8/Q8)*100</f>
        <v>0</v>
      </c>
      <c r="L8" s="19">
        <v>0</v>
      </c>
      <c r="M8" s="19">
        <v>0</v>
      </c>
      <c r="N8" s="20">
        <f>E8+G8+I8+L8+M8+J8</f>
        <v>48.537999999999997</v>
      </c>
      <c r="O8" s="15">
        <v>0</v>
      </c>
      <c r="P8" s="19">
        <v>0</v>
      </c>
      <c r="Q8" s="64">
        <v>105.15</v>
      </c>
      <c r="R8" s="65">
        <v>262.20299999999997</v>
      </c>
      <c r="S8" s="39">
        <f>(R8/976.1)*100</f>
        <v>26.862309189632199</v>
      </c>
      <c r="T8" s="20">
        <f>IF(N8+O8+P8+(R8-C8)&gt;0,N8+O8+P8+(R8-C8),0)</f>
        <v>6.2499999999999902</v>
      </c>
      <c r="U8" s="32">
        <f t="shared" ref="U8:U19" si="1">(N8+O8+P8)+(R8-C8)</f>
        <v>6.2499999999999902</v>
      </c>
      <c r="V8" s="32">
        <f t="shared" ref="V8:V19" si="2">C8+T8-O8</f>
        <v>310.74099999999999</v>
      </c>
      <c r="W8" s="32">
        <f>V8-L8-N8</f>
        <v>262.20299999999997</v>
      </c>
      <c r="X8" s="32">
        <f>V8-L8-976.1-N8</f>
        <v>-713.89700000000005</v>
      </c>
      <c r="Y8" s="32"/>
      <c r="Z8" s="32">
        <f>T8*1*0.0864</f>
        <v>0.53999999999999904</v>
      </c>
      <c r="AA8" s="35">
        <f>(15000000/(0.8*2725*72.33))</f>
        <v>95.129737936597905</v>
      </c>
      <c r="AB8" s="35">
        <f>(15000000/(0.8*2725*72.33))</f>
        <v>95.129737936597905</v>
      </c>
      <c r="AC8" s="69">
        <f>0.8*72.33*2725*E8*9.81</f>
        <v>25278376.164588001</v>
      </c>
      <c r="AD8" s="69">
        <f>AC8/1000</f>
        <v>25278.376164588</v>
      </c>
      <c r="AE8" s="69">
        <f>AD8/1000</f>
        <v>25.278376164588</v>
      </c>
      <c r="AF8" s="34">
        <f t="shared" ref="AF8:AF19" si="3">AD8*0.9</f>
        <v>22750.5385481292</v>
      </c>
      <c r="AG8" s="34">
        <f t="shared" ref="AG8:AG13" si="4">AF8*0.8</f>
        <v>18200.430838503398</v>
      </c>
      <c r="AH8" s="34">
        <f t="shared" ref="AH8:AH19" si="5">AG8/1000</f>
        <v>18.200430838503401</v>
      </c>
    </row>
    <row r="9" spans="1:34" ht="30.75" customHeight="1">
      <c r="A9" s="18">
        <v>43647</v>
      </c>
      <c r="B9" s="66">
        <v>105.76</v>
      </c>
      <c r="C9" s="63">
        <v>269.89499999999998</v>
      </c>
      <c r="D9" s="39">
        <f t="shared" ref="D9:D19" si="6">(C9/976.1)*100</f>
        <v>27.6503432025407</v>
      </c>
      <c r="E9" s="19">
        <v>0</v>
      </c>
      <c r="F9" s="39">
        <f t="shared" si="0"/>
        <v>0</v>
      </c>
      <c r="G9" s="15">
        <v>7.8250000000000002</v>
      </c>
      <c r="H9" s="39">
        <f>(G9/N9)*100</f>
        <v>90.064892762350695</v>
      </c>
      <c r="I9" s="56">
        <v>0</v>
      </c>
      <c r="J9" s="36">
        <v>0.86317999999999995</v>
      </c>
      <c r="K9" s="39">
        <f t="shared" ref="K9:K19" si="7">(J9/Q9)*100</f>
        <v>0.62540211563541503</v>
      </c>
      <c r="L9" s="19">
        <v>0</v>
      </c>
      <c r="M9" s="19">
        <v>0</v>
      </c>
      <c r="N9" s="20">
        <f t="shared" ref="N9:N19" si="8">E9+G9+I9+L9+M9+J9</f>
        <v>8.6881799999999991</v>
      </c>
      <c r="O9" s="15">
        <v>0</v>
      </c>
      <c r="P9" s="19">
        <v>0</v>
      </c>
      <c r="Q9" s="64">
        <v>138.02000000000001</v>
      </c>
      <c r="R9" s="65">
        <v>868.02</v>
      </c>
      <c r="S9" s="39">
        <f t="shared" ref="S9:S19" si="9">(R9/976.1)*100</f>
        <v>88.927363999590199</v>
      </c>
      <c r="T9" s="20">
        <f>IF(N9+O9+P9+(R9-C9)&gt;0,N9+O9+P9+(R9-C9),0)</f>
        <v>606.81317999999999</v>
      </c>
      <c r="U9" s="32">
        <f t="shared" si="1"/>
        <v>606.81317999999999</v>
      </c>
      <c r="V9" s="32">
        <f t="shared" si="2"/>
        <v>876.70817999999997</v>
      </c>
      <c r="W9" s="32">
        <f t="shared" ref="W9:W19" si="10">V9-L9-N9</f>
        <v>868.02</v>
      </c>
      <c r="X9" s="32">
        <f>V9-L9-976.1-N9</f>
        <v>-108.08</v>
      </c>
      <c r="Y9" s="32"/>
      <c r="Z9" s="32">
        <f t="shared" ref="Z9:Z19" si="11">T9*1*0.0864</f>
        <v>52.428658751999997</v>
      </c>
      <c r="AA9" s="32"/>
      <c r="AB9" s="35">
        <f t="shared" ref="AB9:AB21" si="12">(15000000/(0.8*2725*72.33))</f>
        <v>95.129737936597905</v>
      </c>
      <c r="AC9" s="69">
        <f t="shared" ref="AC9:AC19" si="13">0.8*72.33*2725*E9</f>
        <v>0</v>
      </c>
      <c r="AD9" s="69">
        <f t="shared" ref="AD9:AD20" si="14">AC9/1000</f>
        <v>0</v>
      </c>
      <c r="AE9" s="69">
        <f t="shared" ref="AE9:AE20" si="15">AD9/1000</f>
        <v>0</v>
      </c>
      <c r="AF9" s="34">
        <f t="shared" si="3"/>
        <v>0</v>
      </c>
      <c r="AG9" s="34">
        <f t="shared" si="4"/>
        <v>0</v>
      </c>
      <c r="AH9" s="34">
        <f t="shared" si="5"/>
        <v>0</v>
      </c>
    </row>
    <row r="10" spans="1:34" ht="30.75" customHeight="1">
      <c r="A10" s="18">
        <v>43678</v>
      </c>
      <c r="B10" s="66">
        <v>137.96</v>
      </c>
      <c r="C10" s="63">
        <v>866.05</v>
      </c>
      <c r="D10" s="39">
        <f t="shared" si="6"/>
        <v>88.725540415940998</v>
      </c>
      <c r="E10" s="19">
        <v>0</v>
      </c>
      <c r="F10" s="39">
        <f t="shared" si="0"/>
        <v>0</v>
      </c>
      <c r="G10" s="15">
        <v>8.5250000000000004</v>
      </c>
      <c r="H10" s="39">
        <f>(G10/N10)*100</f>
        <v>0.18310883796017</v>
      </c>
      <c r="I10" s="56">
        <v>0</v>
      </c>
      <c r="J10" s="67">
        <v>4647.1760000000004</v>
      </c>
      <c r="K10" s="39">
        <f t="shared" si="7"/>
        <v>3283.7591859807799</v>
      </c>
      <c r="L10" s="19">
        <v>0</v>
      </c>
      <c r="M10" s="19">
        <v>0</v>
      </c>
      <c r="N10" s="20">
        <f t="shared" si="8"/>
        <v>4655.701</v>
      </c>
      <c r="O10" s="15">
        <v>0</v>
      </c>
      <c r="P10" s="19">
        <v>0</v>
      </c>
      <c r="Q10" s="64">
        <v>141.52000000000001</v>
      </c>
      <c r="R10" s="65">
        <v>962.00900000000001</v>
      </c>
      <c r="S10" s="39">
        <f t="shared" si="9"/>
        <v>98.556397910050194</v>
      </c>
      <c r="T10" s="20">
        <f t="shared" ref="T10:T19" si="16">IF(N10+O10+P10+(R10-C10)&gt;0,N10+O10+P10+(R10-C10),0)</f>
        <v>4751.66</v>
      </c>
      <c r="U10" s="32">
        <f t="shared" si="1"/>
        <v>4751.66</v>
      </c>
      <c r="V10" s="32">
        <f t="shared" si="2"/>
        <v>5617.71</v>
      </c>
      <c r="W10" s="32">
        <f t="shared" si="10"/>
        <v>962.00900000000001</v>
      </c>
      <c r="X10" s="32">
        <f>V10-N10-976.1</f>
        <v>-14.090999999999999</v>
      </c>
      <c r="Y10" s="32"/>
      <c r="Z10" s="32">
        <f t="shared" si="11"/>
        <v>410.54342400000002</v>
      </c>
      <c r="AA10" s="32"/>
      <c r="AB10" s="35">
        <f t="shared" si="12"/>
        <v>95.129737936597905</v>
      </c>
      <c r="AC10" s="69">
        <f t="shared" si="13"/>
        <v>0</v>
      </c>
      <c r="AD10" s="69">
        <f t="shared" si="14"/>
        <v>0</v>
      </c>
      <c r="AE10" s="69">
        <f t="shared" si="15"/>
        <v>0</v>
      </c>
      <c r="AF10" s="34">
        <f t="shared" si="3"/>
        <v>0</v>
      </c>
      <c r="AG10" s="34">
        <f t="shared" si="4"/>
        <v>0</v>
      </c>
      <c r="AH10" s="34">
        <f t="shared" si="5"/>
        <v>0</v>
      </c>
    </row>
    <row r="11" spans="1:34" ht="30.75" customHeight="1">
      <c r="A11" s="18">
        <v>43709</v>
      </c>
      <c r="B11" s="66">
        <v>141.36000000000001</v>
      </c>
      <c r="C11" s="63">
        <v>957.31200000000001</v>
      </c>
      <c r="D11" s="39">
        <f t="shared" si="6"/>
        <v>98.075197213400301</v>
      </c>
      <c r="E11" s="19">
        <v>0</v>
      </c>
      <c r="F11" s="39">
        <f t="shared" si="0"/>
        <v>0</v>
      </c>
      <c r="G11" s="45">
        <v>8.25</v>
      </c>
      <c r="H11" s="39">
        <f>(G11/N11)*100</f>
        <v>0.20335724321526299</v>
      </c>
      <c r="I11" s="56">
        <v>0</v>
      </c>
      <c r="J11" s="67">
        <v>4048.65</v>
      </c>
      <c r="K11" s="39">
        <f t="shared" si="7"/>
        <v>2852.1662557238501</v>
      </c>
      <c r="L11" s="19">
        <v>0</v>
      </c>
      <c r="M11" s="19">
        <v>0</v>
      </c>
      <c r="N11" s="20">
        <f t="shared" si="8"/>
        <v>4056.9</v>
      </c>
      <c r="O11" s="15">
        <v>0</v>
      </c>
      <c r="P11" s="19">
        <v>0</v>
      </c>
      <c r="Q11" s="64">
        <v>141.94999999999999</v>
      </c>
      <c r="R11" s="65">
        <v>974.63199999999995</v>
      </c>
      <c r="S11" s="39">
        <f t="shared" si="9"/>
        <v>99.849605573199497</v>
      </c>
      <c r="T11" s="20">
        <f t="shared" si="16"/>
        <v>4074.22</v>
      </c>
      <c r="U11" s="32">
        <f t="shared" si="1"/>
        <v>4074.22</v>
      </c>
      <c r="V11" s="32">
        <f t="shared" si="2"/>
        <v>5031.5320000000002</v>
      </c>
      <c r="W11" s="32">
        <f t="shared" si="10"/>
        <v>974.63199999999995</v>
      </c>
      <c r="X11" s="32">
        <f>V11-L11-976.1-N11</f>
        <v>-1.4679999999998501</v>
      </c>
      <c r="Y11" s="32"/>
      <c r="Z11" s="32">
        <f t="shared" si="11"/>
        <v>352.012608</v>
      </c>
      <c r="AA11" s="32"/>
      <c r="AB11" s="35">
        <f t="shared" si="12"/>
        <v>95.129737936597905</v>
      </c>
      <c r="AC11" s="69">
        <f t="shared" si="13"/>
        <v>0</v>
      </c>
      <c r="AD11" s="69">
        <f t="shared" si="14"/>
        <v>0</v>
      </c>
      <c r="AE11" s="69">
        <f t="shared" si="15"/>
        <v>0</v>
      </c>
      <c r="AF11" s="34">
        <f t="shared" si="3"/>
        <v>0</v>
      </c>
      <c r="AG11" s="34">
        <f t="shared" si="4"/>
        <v>0</v>
      </c>
      <c r="AH11" s="34">
        <f t="shared" si="5"/>
        <v>0</v>
      </c>
    </row>
    <row r="12" spans="1:34" ht="30.75" customHeight="1">
      <c r="A12" s="18">
        <v>43739</v>
      </c>
      <c r="B12" s="66">
        <v>141.96</v>
      </c>
      <c r="C12" s="63">
        <v>974.92600000000004</v>
      </c>
      <c r="D12" s="39">
        <f t="shared" si="6"/>
        <v>99.879725437967394</v>
      </c>
      <c r="E12" s="19">
        <v>10.781000000000001</v>
      </c>
      <c r="F12" s="39">
        <f t="shared" si="0"/>
        <v>19.293473397877602</v>
      </c>
      <c r="G12" s="15">
        <v>45.097999999999999</v>
      </c>
      <c r="H12" s="39">
        <f t="shared" ref="H12:H19" si="17">(G12/N12)*100</f>
        <v>80.706526602122395</v>
      </c>
      <c r="I12" s="56">
        <v>0</v>
      </c>
      <c r="J12" s="19">
        <v>0</v>
      </c>
      <c r="K12" s="39">
        <f t="shared" si="7"/>
        <v>0</v>
      </c>
      <c r="L12" s="19">
        <v>0</v>
      </c>
      <c r="M12" s="19">
        <v>0</v>
      </c>
      <c r="N12" s="20">
        <f t="shared" si="8"/>
        <v>55.878999999999998</v>
      </c>
      <c r="O12" s="15">
        <v>0</v>
      </c>
      <c r="P12" s="19">
        <v>0</v>
      </c>
      <c r="Q12" s="64">
        <v>141.43</v>
      </c>
      <c r="R12" s="65">
        <v>959.36699999999996</v>
      </c>
      <c r="S12" s="39">
        <f t="shared" si="9"/>
        <v>98.2857289212171</v>
      </c>
      <c r="T12" s="20">
        <f t="shared" si="16"/>
        <v>40.319999999999901</v>
      </c>
      <c r="U12" s="32">
        <f t="shared" si="1"/>
        <v>40.319999999999901</v>
      </c>
      <c r="V12" s="32">
        <f t="shared" si="2"/>
        <v>1015.246</v>
      </c>
      <c r="W12" s="32">
        <f t="shared" si="10"/>
        <v>959.36699999999996</v>
      </c>
      <c r="X12" s="32">
        <f>V12-L12-976.1-N12</f>
        <v>-16.733000000000001</v>
      </c>
      <c r="Y12" s="32"/>
      <c r="Z12" s="32">
        <f t="shared" si="11"/>
        <v>3.4836479999999899</v>
      </c>
      <c r="AA12" s="32"/>
      <c r="AB12" s="35">
        <f t="shared" si="12"/>
        <v>95.129737936597905</v>
      </c>
      <c r="AC12" s="69">
        <f t="shared" si="13"/>
        <v>1699941.6114000001</v>
      </c>
      <c r="AD12" s="69">
        <f t="shared" si="14"/>
        <v>1699.9416114000001</v>
      </c>
      <c r="AE12" s="69">
        <f t="shared" si="15"/>
        <v>1.6999416114000001</v>
      </c>
      <c r="AF12" s="34">
        <f t="shared" si="3"/>
        <v>1529.9474502600001</v>
      </c>
      <c r="AG12" s="34">
        <f t="shared" si="4"/>
        <v>1223.957960208</v>
      </c>
      <c r="AH12" s="34">
        <f t="shared" si="5"/>
        <v>1.223957960208</v>
      </c>
    </row>
    <row r="13" spans="1:34" ht="30.75" customHeight="1">
      <c r="A13" s="18">
        <v>43770</v>
      </c>
      <c r="B13" s="66">
        <v>141.36000000000001</v>
      </c>
      <c r="C13" s="63">
        <v>957.31200000000001</v>
      </c>
      <c r="D13" s="39">
        <f t="shared" si="6"/>
        <v>98.075197213400301</v>
      </c>
      <c r="E13" s="19">
        <v>53.325000000000003</v>
      </c>
      <c r="F13" s="39">
        <f t="shared" si="0"/>
        <v>76.333419221849994</v>
      </c>
      <c r="G13" s="15">
        <v>16.533000000000001</v>
      </c>
      <c r="H13" s="39">
        <f t="shared" si="17"/>
        <v>23.666580778149999</v>
      </c>
      <c r="I13" s="56">
        <v>0</v>
      </c>
      <c r="J13" s="19">
        <v>0</v>
      </c>
      <c r="K13" s="39">
        <f t="shared" si="7"/>
        <v>0</v>
      </c>
      <c r="L13" s="19">
        <v>0</v>
      </c>
      <c r="M13" s="19">
        <v>0</v>
      </c>
      <c r="N13" s="20">
        <f t="shared" si="8"/>
        <v>69.858000000000004</v>
      </c>
      <c r="O13" s="15">
        <v>0</v>
      </c>
      <c r="P13" s="19">
        <v>0</v>
      </c>
      <c r="Q13" s="64">
        <v>138.9</v>
      </c>
      <c r="R13" s="65">
        <v>890.56899999999996</v>
      </c>
      <c r="S13" s="39">
        <f t="shared" si="9"/>
        <v>91.237475668476606</v>
      </c>
      <c r="T13" s="20">
        <f t="shared" si="16"/>
        <v>3.11499999999995</v>
      </c>
      <c r="U13" s="32">
        <f t="shared" si="1"/>
        <v>3.11499999999995</v>
      </c>
      <c r="V13" s="32">
        <f t="shared" si="2"/>
        <v>960.42700000000002</v>
      </c>
      <c r="W13" s="32">
        <f t="shared" si="10"/>
        <v>890.56899999999996</v>
      </c>
      <c r="X13" s="32">
        <f>V13-L13-976.1-N13</f>
        <v>-85.531000000000105</v>
      </c>
      <c r="Y13" s="32"/>
      <c r="Z13" s="32">
        <f t="shared" si="11"/>
        <v>0.26913599999999599</v>
      </c>
      <c r="AA13" s="32"/>
      <c r="AB13" s="35">
        <f t="shared" si="12"/>
        <v>95.129737936597905</v>
      </c>
      <c r="AC13" s="69">
        <f t="shared" si="13"/>
        <v>8408254.0050000008</v>
      </c>
      <c r="AD13" s="69">
        <f t="shared" si="14"/>
        <v>8408.2540050000007</v>
      </c>
      <c r="AE13" s="69">
        <f t="shared" si="15"/>
        <v>8.4082540049999999</v>
      </c>
      <c r="AF13" s="34">
        <f t="shared" si="3"/>
        <v>7567.4286044999999</v>
      </c>
      <c r="AG13" s="34">
        <f t="shared" si="4"/>
        <v>6053.9428835999997</v>
      </c>
      <c r="AH13" s="34">
        <f t="shared" si="5"/>
        <v>6.0539428836000004</v>
      </c>
    </row>
    <row r="14" spans="1:34" ht="30.75" customHeight="1">
      <c r="A14" s="18">
        <v>43800</v>
      </c>
      <c r="B14" s="66">
        <v>138.78</v>
      </c>
      <c r="C14" s="63">
        <v>887.49400000000003</v>
      </c>
      <c r="D14" s="39">
        <f t="shared" si="6"/>
        <v>90.922446470648495</v>
      </c>
      <c r="E14" s="19">
        <v>60.716000000000001</v>
      </c>
      <c r="F14" s="39">
        <f t="shared" si="0"/>
        <v>71.286756720264407</v>
      </c>
      <c r="G14" s="15">
        <v>20.541</v>
      </c>
      <c r="H14" s="39">
        <f t="shared" si="17"/>
        <v>24.1172223102798</v>
      </c>
      <c r="I14" s="56">
        <v>3.9144999999999999</v>
      </c>
      <c r="J14" s="19">
        <v>0</v>
      </c>
      <c r="K14" s="39">
        <f t="shared" si="7"/>
        <v>0</v>
      </c>
      <c r="L14" s="19">
        <v>0</v>
      </c>
      <c r="M14" s="19">
        <v>0</v>
      </c>
      <c r="N14" s="20">
        <f t="shared" si="8"/>
        <v>85.171499999999995</v>
      </c>
      <c r="O14" s="15">
        <v>0</v>
      </c>
      <c r="P14" s="19">
        <v>0</v>
      </c>
      <c r="Q14" s="64">
        <v>135.51</v>
      </c>
      <c r="R14" s="65">
        <v>805.69899999999996</v>
      </c>
      <c r="S14" s="39">
        <f t="shared" si="9"/>
        <v>82.542669808421294</v>
      </c>
      <c r="T14" s="20">
        <f t="shared" si="16"/>
        <v>3.3764999999999401</v>
      </c>
      <c r="U14" s="32">
        <f t="shared" si="1"/>
        <v>3.3764999999999401</v>
      </c>
      <c r="V14" s="32">
        <f t="shared" si="2"/>
        <v>890.87049999999999</v>
      </c>
      <c r="W14" s="32">
        <f t="shared" si="10"/>
        <v>805.69899999999996</v>
      </c>
      <c r="X14" s="32">
        <f t="shared" ref="X14:X19" si="18">V14-L14-976.1-N14</f>
        <v>-170.40100000000001</v>
      </c>
      <c r="Y14" s="32"/>
      <c r="Z14" s="32">
        <f t="shared" si="11"/>
        <v>0.29172959999999398</v>
      </c>
      <c r="AA14" s="32"/>
      <c r="AB14" s="35">
        <f t="shared" si="12"/>
        <v>95.129737936597905</v>
      </c>
      <c r="AC14" s="69">
        <f t="shared" si="13"/>
        <v>9573662.4504000004</v>
      </c>
      <c r="AD14" s="69">
        <f t="shared" si="14"/>
        <v>9573.6624503999992</v>
      </c>
      <c r="AE14" s="69">
        <f t="shared" si="15"/>
        <v>9.5736624504000005</v>
      </c>
      <c r="AF14" s="34">
        <f t="shared" si="3"/>
        <v>8616.2962053600004</v>
      </c>
      <c r="AG14" s="34">
        <f t="shared" ref="AG14:AG19" si="19">AF14*0.8</f>
        <v>6893.0369642879996</v>
      </c>
      <c r="AH14" s="34">
        <f t="shared" si="5"/>
        <v>6.8930369642880001</v>
      </c>
    </row>
    <row r="15" spans="1:34" ht="30.75" customHeight="1">
      <c r="A15" s="18">
        <v>43831</v>
      </c>
      <c r="B15" s="66">
        <v>135.41</v>
      </c>
      <c r="C15" s="63">
        <v>803.28099999999995</v>
      </c>
      <c r="D15" s="39">
        <f t="shared" si="6"/>
        <v>82.294949287982803</v>
      </c>
      <c r="E15" s="19">
        <v>59.911999999999999</v>
      </c>
      <c r="F15" s="39">
        <f t="shared" si="0"/>
        <v>66.156294134470201</v>
      </c>
      <c r="G15" s="45">
        <v>18.600000000000001</v>
      </c>
      <c r="H15" s="39">
        <f t="shared" si="17"/>
        <v>20.538574424174602</v>
      </c>
      <c r="I15" s="56">
        <v>12.049300000000001</v>
      </c>
      <c r="J15" s="19">
        <v>0</v>
      </c>
      <c r="K15" s="39">
        <f t="shared" si="7"/>
        <v>0</v>
      </c>
      <c r="L15" s="19">
        <v>0</v>
      </c>
      <c r="M15" s="19">
        <v>0</v>
      </c>
      <c r="N15" s="20">
        <f t="shared" si="8"/>
        <v>90.561300000000003</v>
      </c>
      <c r="O15" s="15">
        <v>0</v>
      </c>
      <c r="P15" s="19">
        <v>0</v>
      </c>
      <c r="Q15" s="64">
        <v>131.88999999999999</v>
      </c>
      <c r="R15" s="65">
        <v>720.404</v>
      </c>
      <c r="S15" s="39">
        <f t="shared" si="9"/>
        <v>73.804323327527896</v>
      </c>
      <c r="T15" s="20">
        <f t="shared" si="16"/>
        <v>7.6843000000000501</v>
      </c>
      <c r="U15" s="32">
        <f t="shared" si="1"/>
        <v>7.6843000000000501</v>
      </c>
      <c r="V15" s="32">
        <f t="shared" si="2"/>
        <v>810.96529999999996</v>
      </c>
      <c r="W15" s="32">
        <f t="shared" si="10"/>
        <v>720.404</v>
      </c>
      <c r="X15" s="32">
        <f t="shared" si="18"/>
        <v>-255.696</v>
      </c>
      <c r="Y15" s="32"/>
      <c r="Z15" s="32">
        <f t="shared" si="11"/>
        <v>0.66392352000000399</v>
      </c>
      <c r="AA15" s="32"/>
      <c r="AB15" s="35">
        <f t="shared" si="12"/>
        <v>95.129737936597905</v>
      </c>
      <c r="AC15" s="69">
        <f t="shared" si="13"/>
        <v>9446888.2127999999</v>
      </c>
      <c r="AD15" s="69">
        <f t="shared" si="14"/>
        <v>9446.8882128000005</v>
      </c>
      <c r="AE15" s="69">
        <f t="shared" si="15"/>
        <v>9.4468882127999994</v>
      </c>
      <c r="AF15" s="34">
        <f t="shared" si="3"/>
        <v>8502.1993915200001</v>
      </c>
      <c r="AG15" s="34">
        <f t="shared" si="19"/>
        <v>6801.7595132160004</v>
      </c>
      <c r="AH15" s="34">
        <f t="shared" si="5"/>
        <v>6.801759513216</v>
      </c>
    </row>
    <row r="16" spans="1:34" ht="30.75" customHeight="1">
      <c r="A16" s="18">
        <v>43862</v>
      </c>
      <c r="B16" s="66">
        <v>131.76</v>
      </c>
      <c r="C16" s="63">
        <v>717.476</v>
      </c>
      <c r="D16" s="39">
        <f t="shared" si="6"/>
        <v>73.504354062083806</v>
      </c>
      <c r="E16" s="19">
        <v>57.042999999999999</v>
      </c>
      <c r="F16" s="39">
        <f t="shared" si="0"/>
        <v>78.309514984281293</v>
      </c>
      <c r="G16" s="20">
        <v>15.8</v>
      </c>
      <c r="H16" s="39">
        <f t="shared" si="17"/>
        <v>21.6904850157187</v>
      </c>
      <c r="I16" s="56">
        <v>0</v>
      </c>
      <c r="J16" s="19">
        <v>0</v>
      </c>
      <c r="K16" s="39">
        <f t="shared" si="7"/>
        <v>0</v>
      </c>
      <c r="L16" s="19">
        <v>0</v>
      </c>
      <c r="M16" s="19">
        <v>0</v>
      </c>
      <c r="N16" s="20">
        <f t="shared" si="8"/>
        <v>72.843000000000004</v>
      </c>
      <c r="O16" s="15">
        <v>0</v>
      </c>
      <c r="P16" s="19">
        <v>0</v>
      </c>
      <c r="Q16" s="64">
        <v>128.16999999999999</v>
      </c>
      <c r="R16" s="65">
        <v>649.12699999999995</v>
      </c>
      <c r="S16" s="39">
        <f t="shared" si="9"/>
        <v>66.502100194652201</v>
      </c>
      <c r="T16" s="20">
        <f t="shared" si="16"/>
        <v>4.4939999999999598</v>
      </c>
      <c r="U16" s="32">
        <f t="shared" si="1"/>
        <v>4.4939999999999598</v>
      </c>
      <c r="V16" s="32">
        <f t="shared" si="2"/>
        <v>721.97</v>
      </c>
      <c r="W16" s="32">
        <f t="shared" si="10"/>
        <v>649.12699999999995</v>
      </c>
      <c r="X16" s="32">
        <f t="shared" si="18"/>
        <v>-326.97300000000001</v>
      </c>
      <c r="Y16" s="32"/>
      <c r="Z16" s="32">
        <f t="shared" si="11"/>
        <v>0.38828159999999601</v>
      </c>
      <c r="AA16" s="32"/>
      <c r="AB16" s="35">
        <f t="shared" si="12"/>
        <v>95.129737936597905</v>
      </c>
      <c r="AC16" s="69">
        <f t="shared" si="13"/>
        <v>8994506.0142000001</v>
      </c>
      <c r="AD16" s="69">
        <f t="shared" si="14"/>
        <v>8994.5060142000002</v>
      </c>
      <c r="AE16" s="69">
        <f t="shared" si="15"/>
        <v>8.9945060142000006</v>
      </c>
      <c r="AF16" s="34">
        <f t="shared" si="3"/>
        <v>8095.0554127799996</v>
      </c>
      <c r="AG16" s="34">
        <f t="shared" si="19"/>
        <v>6476.0443302240001</v>
      </c>
      <c r="AH16" s="34">
        <f t="shared" si="5"/>
        <v>6.4760443302240001</v>
      </c>
    </row>
    <row r="17" spans="1:34" ht="30.75" customHeight="1">
      <c r="A17" s="18">
        <v>43891</v>
      </c>
      <c r="B17" s="66">
        <v>128.02000000000001</v>
      </c>
      <c r="C17" s="63">
        <v>635.95299999999997</v>
      </c>
      <c r="D17" s="39">
        <f t="shared" si="6"/>
        <v>65.152443397192897</v>
      </c>
      <c r="E17" s="19">
        <v>60.933999999999997</v>
      </c>
      <c r="F17" s="39">
        <f t="shared" si="0"/>
        <v>84.239776591920801</v>
      </c>
      <c r="G17" s="20">
        <v>11.4</v>
      </c>
      <c r="H17" s="39">
        <f t="shared" si="17"/>
        <v>15.760223408079201</v>
      </c>
      <c r="I17" s="56">
        <v>0</v>
      </c>
      <c r="J17" s="19">
        <v>0</v>
      </c>
      <c r="K17" s="39">
        <f t="shared" si="7"/>
        <v>0</v>
      </c>
      <c r="L17" s="19">
        <v>0</v>
      </c>
      <c r="M17" s="19">
        <v>0</v>
      </c>
      <c r="N17" s="20">
        <f t="shared" si="8"/>
        <v>72.334000000000003</v>
      </c>
      <c r="O17" s="15">
        <v>0</v>
      </c>
      <c r="P17" s="19">
        <v>0</v>
      </c>
      <c r="Q17" s="64">
        <v>123.82</v>
      </c>
      <c r="R17" s="65">
        <v>551.95500000000004</v>
      </c>
      <c r="S17" s="39">
        <f t="shared" si="9"/>
        <v>56.546972646245301</v>
      </c>
      <c r="T17" s="20">
        <f t="shared" si="16"/>
        <v>0</v>
      </c>
      <c r="U17" s="32">
        <f t="shared" si="1"/>
        <v>-11.6639999999999</v>
      </c>
      <c r="V17" s="32">
        <f t="shared" si="2"/>
        <v>635.95299999999997</v>
      </c>
      <c r="W17" s="32">
        <f t="shared" si="10"/>
        <v>563.61900000000003</v>
      </c>
      <c r="X17" s="32">
        <f t="shared" si="18"/>
        <v>-412.48099999999999</v>
      </c>
      <c r="Y17" s="32"/>
      <c r="Z17" s="32">
        <f t="shared" si="11"/>
        <v>0</v>
      </c>
      <c r="AA17" s="32"/>
      <c r="AB17" s="35">
        <f t="shared" si="12"/>
        <v>95.129737936597905</v>
      </c>
      <c r="AC17" s="69">
        <f t="shared" si="13"/>
        <v>9608036.5595999993</v>
      </c>
      <c r="AD17" s="69">
        <f t="shared" si="14"/>
        <v>9608.0365595999992</v>
      </c>
      <c r="AE17" s="69">
        <f t="shared" si="15"/>
        <v>9.6080365596000004</v>
      </c>
      <c r="AF17" s="34">
        <f t="shared" si="3"/>
        <v>8647.2329036400006</v>
      </c>
      <c r="AG17" s="34">
        <f t="shared" si="19"/>
        <v>6917.7863229120003</v>
      </c>
      <c r="AH17" s="34">
        <f t="shared" si="5"/>
        <v>6.9177863229119998</v>
      </c>
    </row>
    <row r="18" spans="1:34" ht="30.75" customHeight="1">
      <c r="A18" s="18">
        <v>43922</v>
      </c>
      <c r="B18" s="66">
        <v>123.65</v>
      </c>
      <c r="C18" s="63">
        <v>548.73299999999995</v>
      </c>
      <c r="D18" s="39">
        <f t="shared" si="6"/>
        <v>56.216883516033199</v>
      </c>
      <c r="E18" s="19">
        <v>61.896000000000001</v>
      </c>
      <c r="F18" s="39">
        <f t="shared" si="0"/>
        <v>41.5699548678272</v>
      </c>
      <c r="G18" s="20">
        <v>87</v>
      </c>
      <c r="H18" s="39">
        <f t="shared" si="17"/>
        <v>58.4300451321728</v>
      </c>
      <c r="I18" s="56">
        <v>0</v>
      </c>
      <c r="J18" s="19">
        <v>0</v>
      </c>
      <c r="K18" s="39">
        <f t="shared" si="7"/>
        <v>0</v>
      </c>
      <c r="L18" s="19">
        <v>0</v>
      </c>
      <c r="M18" s="19">
        <v>0</v>
      </c>
      <c r="N18" s="20">
        <f t="shared" si="8"/>
        <v>148.89599999999999</v>
      </c>
      <c r="O18" s="15">
        <v>0</v>
      </c>
      <c r="P18" s="19">
        <v>0</v>
      </c>
      <c r="Q18" s="64">
        <v>119.25</v>
      </c>
      <c r="R18" s="65">
        <v>469.16699999999997</v>
      </c>
      <c r="S18" s="39">
        <f t="shared" si="9"/>
        <v>48.065464604036499</v>
      </c>
      <c r="T18" s="20">
        <f t="shared" si="16"/>
        <v>69.33</v>
      </c>
      <c r="U18" s="32">
        <f t="shared" si="1"/>
        <v>69.33</v>
      </c>
      <c r="V18" s="32">
        <f t="shared" si="2"/>
        <v>618.06299999999999</v>
      </c>
      <c r="W18" s="32">
        <f t="shared" si="10"/>
        <v>469.16699999999997</v>
      </c>
      <c r="X18" s="32">
        <f t="shared" si="18"/>
        <v>-506.93299999999999</v>
      </c>
      <c r="Y18" s="32"/>
      <c r="Z18" s="32">
        <f t="shared" si="11"/>
        <v>5.9901119999999999</v>
      </c>
      <c r="AA18" s="32"/>
      <c r="AB18" s="35">
        <f t="shared" si="12"/>
        <v>95.129737936597905</v>
      </c>
      <c r="AC18" s="69">
        <f t="shared" si="13"/>
        <v>9759724.1424000002</v>
      </c>
      <c r="AD18" s="69">
        <f t="shared" si="14"/>
        <v>9759.7241424000003</v>
      </c>
      <c r="AE18" s="69">
        <f t="shared" si="15"/>
        <v>9.7597241423999996</v>
      </c>
      <c r="AF18" s="34">
        <f t="shared" si="3"/>
        <v>8783.7517281599994</v>
      </c>
      <c r="AG18" s="34">
        <f t="shared" si="19"/>
        <v>7027.0013825280002</v>
      </c>
      <c r="AH18" s="34">
        <f t="shared" si="5"/>
        <v>7.0270013825279998</v>
      </c>
    </row>
    <row r="19" spans="1:34" ht="30.75" customHeight="1">
      <c r="A19" s="18">
        <v>43952</v>
      </c>
      <c r="B19" s="66">
        <v>119.1</v>
      </c>
      <c r="C19" s="63">
        <v>466.56400000000002</v>
      </c>
      <c r="D19" s="39">
        <f t="shared" si="6"/>
        <v>47.798791107468503</v>
      </c>
      <c r="E19" s="19">
        <v>59.161999999999999</v>
      </c>
      <c r="F19" s="39">
        <f t="shared" si="0"/>
        <v>40.477004967091297</v>
      </c>
      <c r="G19" s="20">
        <v>87</v>
      </c>
      <c r="H19" s="39">
        <f t="shared" si="17"/>
        <v>59.522995032908703</v>
      </c>
      <c r="I19" s="56">
        <v>0</v>
      </c>
      <c r="J19" s="19">
        <v>0</v>
      </c>
      <c r="K19" s="39">
        <f t="shared" si="7"/>
        <v>0</v>
      </c>
      <c r="L19" s="19">
        <v>0</v>
      </c>
      <c r="M19" s="19">
        <v>0</v>
      </c>
      <c r="N19" s="20">
        <f t="shared" si="8"/>
        <v>146.16200000000001</v>
      </c>
      <c r="O19" s="15">
        <v>0</v>
      </c>
      <c r="P19" s="19">
        <v>0</v>
      </c>
      <c r="Q19" s="64">
        <v>113.91</v>
      </c>
      <c r="R19" s="65">
        <v>382.86200000000002</v>
      </c>
      <c r="S19" s="39">
        <f t="shared" si="9"/>
        <v>39.223645118328001</v>
      </c>
      <c r="T19" s="20">
        <f t="shared" si="16"/>
        <v>62.46</v>
      </c>
      <c r="U19" s="32">
        <f t="shared" si="1"/>
        <v>62.46</v>
      </c>
      <c r="V19" s="32">
        <f t="shared" si="2"/>
        <v>529.024</v>
      </c>
      <c r="W19" s="32">
        <f t="shared" si="10"/>
        <v>382.86200000000002</v>
      </c>
      <c r="X19" s="32">
        <f t="shared" si="18"/>
        <v>-593.23800000000006</v>
      </c>
      <c r="Y19" s="32"/>
      <c r="Z19" s="32">
        <f t="shared" si="11"/>
        <v>5.3965439999999996</v>
      </c>
      <c r="AA19" s="32"/>
      <c r="AB19" s="35">
        <f t="shared" si="12"/>
        <v>95.129737936597905</v>
      </c>
      <c r="AC19" s="69">
        <f t="shared" si="13"/>
        <v>9328628.6627999991</v>
      </c>
      <c r="AD19" s="69">
        <f t="shared" si="14"/>
        <v>9328.6286627999998</v>
      </c>
      <c r="AE19" s="69">
        <f t="shared" si="15"/>
        <v>9.3286286627999999</v>
      </c>
      <c r="AF19" s="34">
        <f t="shared" si="3"/>
        <v>8395.7657965199996</v>
      </c>
      <c r="AG19" s="34">
        <f t="shared" si="19"/>
        <v>6716.6126372159997</v>
      </c>
      <c r="AH19" s="34">
        <f t="shared" si="5"/>
        <v>6.7166126372160004</v>
      </c>
    </row>
    <row r="20" spans="1:34">
      <c r="A20" s="46" t="s">
        <v>28</v>
      </c>
      <c r="B20" s="28"/>
      <c r="C20" s="47"/>
      <c r="D20" s="39"/>
      <c r="E20" s="47"/>
      <c r="F20" s="48"/>
      <c r="G20" s="48"/>
      <c r="H20" s="50"/>
      <c r="I20" s="50"/>
      <c r="J20" s="47"/>
      <c r="K20" s="39"/>
      <c r="L20" s="47"/>
      <c r="M20" s="47"/>
      <c r="N20" s="48"/>
      <c r="O20" s="57"/>
      <c r="P20" s="47"/>
      <c r="Q20" s="57"/>
      <c r="R20" s="57"/>
      <c r="S20" s="39"/>
      <c r="T20" s="48"/>
      <c r="V20" s="32"/>
      <c r="W20" s="32"/>
      <c r="X20" s="32"/>
      <c r="Y20" s="32"/>
      <c r="Z20" s="32">
        <f>SUM(Z8:Z19)</f>
        <v>832.008065472</v>
      </c>
      <c r="AA20" s="32"/>
      <c r="AB20" s="35">
        <f t="shared" si="12"/>
        <v>95.129737936597905</v>
      </c>
      <c r="AC20" s="69">
        <f>Q20*0.8*72.33*2725</f>
        <v>0</v>
      </c>
      <c r="AD20" s="69">
        <f t="shared" si="14"/>
        <v>0</v>
      </c>
      <c r="AE20" s="69">
        <f t="shared" si="15"/>
        <v>0</v>
      </c>
      <c r="AF20" s="32">
        <f>SUM(AF8:AF19)</f>
        <v>82888.2160408692</v>
      </c>
      <c r="AG20" s="32"/>
      <c r="AH20" s="37">
        <f>SUM(AH8:AH19)</f>
        <v>66.310572832695399</v>
      </c>
    </row>
    <row r="21" spans="1:34">
      <c r="A21" s="49"/>
      <c r="B21" s="28"/>
      <c r="C21" s="47"/>
      <c r="D21" s="47"/>
      <c r="E21" s="47"/>
      <c r="F21" s="48"/>
      <c r="G21" s="48"/>
      <c r="H21" s="50"/>
      <c r="I21" s="50"/>
      <c r="J21" s="47"/>
      <c r="K21" s="47"/>
      <c r="L21" s="47"/>
      <c r="M21" s="47"/>
      <c r="N21" s="48"/>
      <c r="O21" s="57"/>
      <c r="P21" s="47"/>
      <c r="Q21" s="57"/>
      <c r="R21" s="57"/>
      <c r="S21" s="48"/>
      <c r="T21" s="48"/>
      <c r="V21" s="32"/>
      <c r="W21" s="32"/>
      <c r="X21" s="32"/>
      <c r="Y21" s="32"/>
      <c r="Z21" s="32"/>
      <c r="AA21" s="32"/>
      <c r="AB21" s="35">
        <f t="shared" si="12"/>
        <v>95.129737936597905</v>
      </c>
      <c r="AH21" s="70">
        <f>AVERAGE(AH8:AH19)</f>
        <v>5.5258810693912803</v>
      </c>
    </row>
    <row r="22" spans="1:34">
      <c r="A22" s="49"/>
      <c r="B22" s="28"/>
      <c r="C22" s="47"/>
      <c r="D22" s="47"/>
      <c r="E22" s="47"/>
      <c r="F22" s="48"/>
      <c r="G22" s="48"/>
      <c r="H22" s="50"/>
      <c r="I22" s="50"/>
      <c r="J22" s="47"/>
      <c r="K22" s="47"/>
      <c r="L22" s="47"/>
      <c r="M22" s="47"/>
      <c r="N22" s="48"/>
      <c r="O22" s="57"/>
      <c r="P22" s="47"/>
      <c r="Q22" s="57"/>
      <c r="R22" s="57"/>
      <c r="S22" s="48"/>
      <c r="T22" s="48"/>
      <c r="AE22" s="32"/>
      <c r="AG22" s="70"/>
    </row>
    <row r="23" spans="1:34">
      <c r="A23" s="49"/>
      <c r="B23" s="86" t="s">
        <v>29</v>
      </c>
      <c r="C23" s="86"/>
      <c r="D23" s="86"/>
      <c r="E23" s="86"/>
      <c r="F23" s="48"/>
      <c r="G23" s="48"/>
      <c r="H23" s="50"/>
      <c r="I23" s="50"/>
      <c r="J23" s="47"/>
      <c r="K23" s="47"/>
      <c r="L23" s="47"/>
      <c r="M23" s="47"/>
      <c r="N23" s="48"/>
      <c r="O23" s="54"/>
      <c r="P23" s="86" t="s">
        <v>30</v>
      </c>
      <c r="Q23" s="86"/>
      <c r="R23" s="86"/>
      <c r="S23" s="52"/>
      <c r="T23" s="52"/>
      <c r="AB23" s="32"/>
    </row>
    <row r="24" spans="1:34">
      <c r="A24" s="49"/>
      <c r="B24" s="86" t="s">
        <v>31</v>
      </c>
      <c r="C24" s="86"/>
      <c r="D24" s="86"/>
      <c r="E24" s="86"/>
      <c r="F24" s="48"/>
      <c r="G24" s="48"/>
      <c r="H24" s="50"/>
      <c r="I24" s="50"/>
      <c r="J24" s="47"/>
      <c r="K24" s="47"/>
      <c r="L24" s="47"/>
      <c r="M24" s="47"/>
      <c r="N24" s="48"/>
      <c r="O24" s="86" t="s">
        <v>32</v>
      </c>
      <c r="P24" s="86"/>
      <c r="Q24" s="86"/>
      <c r="R24" s="86"/>
      <c r="S24" s="86"/>
      <c r="T24" s="86"/>
    </row>
    <row r="25" spans="1:34">
      <c r="A25" s="49"/>
      <c r="B25" s="86" t="s">
        <v>33</v>
      </c>
      <c r="C25" s="86"/>
      <c r="D25" s="86"/>
      <c r="E25" s="86"/>
      <c r="F25" s="48"/>
      <c r="G25" s="48"/>
      <c r="H25" s="50"/>
      <c r="I25" s="50"/>
      <c r="J25" s="47"/>
      <c r="K25" s="47"/>
      <c r="L25" s="47"/>
      <c r="M25" s="47"/>
      <c r="N25" s="48"/>
      <c r="O25" s="54"/>
      <c r="P25" s="86" t="s">
        <v>33</v>
      </c>
      <c r="Q25" s="86"/>
      <c r="R25" s="86"/>
      <c r="S25" s="52"/>
      <c r="T25" s="52"/>
    </row>
  </sheetData>
  <mergeCells count="23">
    <mergeCell ref="B25:E25"/>
    <mergeCell ref="P25:R25"/>
    <mergeCell ref="A4:A6"/>
    <mergeCell ref="B4:B6"/>
    <mergeCell ref="C4:C6"/>
    <mergeCell ref="E5:E6"/>
    <mergeCell ref="G5:G6"/>
    <mergeCell ref="I5:I6"/>
    <mergeCell ref="J5:J6"/>
    <mergeCell ref="L5:L6"/>
    <mergeCell ref="M5:M6"/>
    <mergeCell ref="N4:N6"/>
    <mergeCell ref="O4:O6"/>
    <mergeCell ref="P4:P6"/>
    <mergeCell ref="Q4:Q6"/>
    <mergeCell ref="R4:R6"/>
    <mergeCell ref="A1:T1"/>
    <mergeCell ref="E4:M4"/>
    <mergeCell ref="B23:E23"/>
    <mergeCell ref="P23:R23"/>
    <mergeCell ref="B24:E24"/>
    <mergeCell ref="O24:T24"/>
    <mergeCell ref="T4:T6"/>
  </mergeCells>
  <printOptions horizontalCentered="1" verticalCentered="1"/>
  <pageMargins left="0.45" right="0.45" top="0.5" bottom="0.5" header="0.3" footer="0.3"/>
  <pageSetup scale="3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D25"/>
  <sheetViews>
    <sheetView view="pageBreakPreview" topLeftCell="A8" zoomScaleNormal="100" workbookViewId="0">
      <selection activeCell="A8" sqref="A8:U19"/>
    </sheetView>
  </sheetViews>
  <sheetFormatPr defaultColWidth="9" defaultRowHeight="14.4"/>
  <cols>
    <col min="4" max="5" width="9.5546875" customWidth="1"/>
    <col min="17" max="17" width="10" customWidth="1"/>
    <col min="20" max="21" width="10.109375" customWidth="1"/>
  </cols>
  <sheetData>
    <row r="1" spans="1:30" ht="15.6">
      <c r="A1" s="81" t="s">
        <v>53</v>
      </c>
      <c r="B1" s="82"/>
      <c r="C1" s="81"/>
      <c r="D1" s="81"/>
      <c r="E1" s="81"/>
      <c r="F1" s="81"/>
      <c r="G1" s="81"/>
      <c r="H1" s="81"/>
      <c r="I1" s="81"/>
      <c r="J1" s="82"/>
      <c r="K1" s="82"/>
      <c r="L1" s="82"/>
      <c r="M1" s="82"/>
      <c r="N1" s="82"/>
      <c r="O1" s="82"/>
      <c r="P1" s="82"/>
      <c r="Q1" s="81"/>
      <c r="R1" s="82"/>
      <c r="S1" s="82"/>
      <c r="T1" s="82"/>
      <c r="U1" s="82"/>
    </row>
    <row r="2" spans="1:30" ht="15.6">
      <c r="A2" s="3" t="s">
        <v>1</v>
      </c>
      <c r="B2" s="80" t="s">
        <v>2</v>
      </c>
      <c r="C2" s="4"/>
      <c r="D2" s="4"/>
      <c r="E2" s="4"/>
      <c r="F2" s="4"/>
      <c r="G2" s="4"/>
      <c r="H2" s="3"/>
      <c r="I2" s="3"/>
      <c r="J2" s="5"/>
      <c r="K2" s="5"/>
      <c r="L2" s="5"/>
      <c r="M2" s="5"/>
      <c r="N2" s="5"/>
      <c r="O2" s="5"/>
      <c r="P2" s="5"/>
      <c r="Q2" s="3"/>
      <c r="R2" s="5"/>
      <c r="S2" s="5"/>
      <c r="T2" s="5"/>
      <c r="U2" s="5"/>
    </row>
    <row r="3" spans="1:30" ht="15.6">
      <c r="A3" s="3" t="s">
        <v>3</v>
      </c>
      <c r="B3" s="80" t="s">
        <v>4</v>
      </c>
      <c r="C3" s="6"/>
      <c r="D3" s="6"/>
      <c r="E3" s="6"/>
      <c r="F3" s="6"/>
      <c r="G3" s="6"/>
      <c r="H3" s="6"/>
      <c r="I3" s="6"/>
      <c r="J3" s="7"/>
      <c r="K3" s="7"/>
      <c r="L3" s="7"/>
      <c r="M3" s="7"/>
      <c r="N3" s="7"/>
      <c r="O3" s="7"/>
      <c r="P3" s="7"/>
      <c r="Q3" s="6"/>
      <c r="R3" s="7"/>
      <c r="S3" s="7"/>
      <c r="T3" s="7"/>
      <c r="U3" s="7"/>
    </row>
    <row r="4" spans="1:30">
      <c r="A4" s="88" t="s">
        <v>5</v>
      </c>
      <c r="B4" s="89" t="s">
        <v>6</v>
      </c>
      <c r="C4" s="87" t="s">
        <v>7</v>
      </c>
      <c r="D4" s="43"/>
      <c r="E4" s="83" t="s">
        <v>8</v>
      </c>
      <c r="F4" s="84"/>
      <c r="G4" s="84"/>
      <c r="H4" s="84"/>
      <c r="I4" s="84"/>
      <c r="J4" s="84"/>
      <c r="K4" s="84"/>
      <c r="L4" s="84"/>
      <c r="M4" s="85"/>
      <c r="N4" s="55"/>
      <c r="O4" s="92" t="s">
        <v>9</v>
      </c>
      <c r="P4" s="92" t="s">
        <v>10</v>
      </c>
      <c r="Q4" s="92" t="s">
        <v>11</v>
      </c>
      <c r="R4" s="89" t="s">
        <v>12</v>
      </c>
      <c r="S4" s="87" t="s">
        <v>13</v>
      </c>
      <c r="T4" s="9"/>
      <c r="U4" s="87" t="s">
        <v>14</v>
      </c>
    </row>
    <row r="5" spans="1:30">
      <c r="A5" s="88"/>
      <c r="B5" s="90"/>
      <c r="C5" s="87"/>
      <c r="D5" s="27"/>
      <c r="E5" s="89" t="s">
        <v>15</v>
      </c>
      <c r="F5" s="27"/>
      <c r="G5" s="89" t="s">
        <v>16</v>
      </c>
      <c r="H5" s="27"/>
      <c r="I5" s="89" t="s">
        <v>17</v>
      </c>
      <c r="J5" s="27"/>
      <c r="K5" s="92" t="s">
        <v>18</v>
      </c>
      <c r="L5" s="10"/>
      <c r="M5" s="92" t="s">
        <v>19</v>
      </c>
      <c r="N5" s="10"/>
      <c r="O5" s="92"/>
      <c r="P5" s="92"/>
      <c r="Q5" s="92"/>
      <c r="R5" s="90"/>
      <c r="S5" s="87"/>
      <c r="T5" s="9"/>
      <c r="U5" s="87"/>
    </row>
    <row r="6" spans="1:30" ht="87.6" customHeight="1">
      <c r="A6" s="88"/>
      <c r="B6" s="91"/>
      <c r="C6" s="87"/>
      <c r="D6" s="13"/>
      <c r="E6" s="91"/>
      <c r="F6" s="13"/>
      <c r="G6" s="91"/>
      <c r="H6" s="13"/>
      <c r="I6" s="91"/>
      <c r="J6" s="13"/>
      <c r="K6" s="92"/>
      <c r="L6" s="10"/>
      <c r="M6" s="92"/>
      <c r="N6" s="10"/>
      <c r="O6" s="92"/>
      <c r="P6" s="92"/>
      <c r="Q6" s="92"/>
      <c r="R6" s="91"/>
      <c r="S6" s="87"/>
      <c r="T6" s="9"/>
      <c r="U6" s="87"/>
      <c r="W6" t="s">
        <v>54</v>
      </c>
      <c r="X6" s="29" t="s">
        <v>20</v>
      </c>
      <c r="AD6" t="s">
        <v>40</v>
      </c>
    </row>
    <row r="7" spans="1:30">
      <c r="A7" s="15">
        <v>1</v>
      </c>
      <c r="B7" s="17">
        <v>2</v>
      </c>
      <c r="C7" s="16">
        <v>3</v>
      </c>
      <c r="D7" s="15"/>
      <c r="E7" s="15">
        <v>4</v>
      </c>
      <c r="F7" s="15"/>
      <c r="G7" s="15">
        <v>5</v>
      </c>
      <c r="H7" s="15"/>
      <c r="I7" s="15">
        <v>6</v>
      </c>
      <c r="J7" s="17"/>
      <c r="K7" s="17">
        <v>7</v>
      </c>
      <c r="L7" s="17"/>
      <c r="M7" s="17">
        <v>8</v>
      </c>
      <c r="N7" s="17"/>
      <c r="O7" s="17">
        <v>9</v>
      </c>
      <c r="P7" s="17">
        <v>10</v>
      </c>
      <c r="Q7" s="15">
        <v>11</v>
      </c>
      <c r="R7" s="59">
        <v>12</v>
      </c>
      <c r="S7" s="17">
        <v>13</v>
      </c>
      <c r="T7" s="17"/>
      <c r="U7" s="17">
        <v>14</v>
      </c>
    </row>
    <row r="8" spans="1:30" ht="30.75" customHeight="1">
      <c r="A8" s="18">
        <v>43252</v>
      </c>
      <c r="B8" s="44">
        <v>112.63</v>
      </c>
      <c r="C8" s="19">
        <v>363.714</v>
      </c>
      <c r="D8" s="39">
        <f>(C8/976.1)*100</f>
        <v>37.261960864665497</v>
      </c>
      <c r="E8" s="19">
        <f>(11054+31255)/1000</f>
        <v>42.308999999999997</v>
      </c>
      <c r="F8" s="39">
        <f>(E8/O8)*100</f>
        <v>83.931440814140302</v>
      </c>
      <c r="G8" s="15">
        <f>(3250+4250)/1000</f>
        <v>7.5</v>
      </c>
      <c r="H8" s="39">
        <f>(G8/O8)*100</f>
        <v>14.8782955424627</v>
      </c>
      <c r="I8" s="56">
        <v>0</v>
      </c>
      <c r="J8" s="39">
        <f>(I8/O8)*100</f>
        <v>0</v>
      </c>
      <c r="K8" s="19">
        <v>0</v>
      </c>
      <c r="L8" s="39">
        <f>(K8/O8)*100</f>
        <v>0</v>
      </c>
      <c r="M8" s="19">
        <v>0.6</v>
      </c>
      <c r="N8" s="39">
        <f>(M8/O8)*100</f>
        <v>1.19026364339701</v>
      </c>
      <c r="O8" s="20">
        <f>E8+G8+I8+K8+M8</f>
        <v>50.408999999999999</v>
      </c>
      <c r="P8" s="15">
        <v>0.79</v>
      </c>
      <c r="Q8" s="19">
        <v>3.008</v>
      </c>
      <c r="R8" s="15">
        <v>113.66</v>
      </c>
      <c r="S8" s="60">
        <v>379.09899999999999</v>
      </c>
      <c r="T8" s="39">
        <f>(S8/976.1)*100</f>
        <v>38.838131339002203</v>
      </c>
      <c r="U8" s="20">
        <f>IF(O8+P8+Q8+(S8-C8)&gt;0,O8+P8+Q8+(S8-C8),0)</f>
        <v>69.591999999999999</v>
      </c>
      <c r="V8" s="32">
        <f>(O8+P8+Q8)+(S8-C8)</f>
        <v>69.591999999999999</v>
      </c>
      <c r="W8" s="32">
        <f t="shared" ref="W8:W19" si="0">U8*1*0.0864</f>
        <v>6.0127487999999998</v>
      </c>
      <c r="X8" s="35">
        <f t="shared" ref="X8:X19" si="1">(15000000/(2725*0.9*R8))</f>
        <v>53.811437190483304</v>
      </c>
      <c r="Y8" s="32"/>
      <c r="Z8" s="32"/>
      <c r="AA8" s="32"/>
      <c r="AB8" s="32">
        <f>C8+U8-P8</f>
        <v>432.51600000000002</v>
      </c>
      <c r="AC8" s="32">
        <f>AB8-O8-Q8</f>
        <v>379.09899999999999</v>
      </c>
      <c r="AD8" s="32">
        <f t="shared" ref="AD8:AD20" si="2">AB8-R8-976.1-U8</f>
        <v>-726.83600000000001</v>
      </c>
    </row>
    <row r="9" spans="1:30" ht="30.75" customHeight="1">
      <c r="A9" s="18">
        <v>43282</v>
      </c>
      <c r="B9" s="44">
        <v>113.9</v>
      </c>
      <c r="C9" s="19">
        <v>382.71199999999999</v>
      </c>
      <c r="D9" s="39">
        <f t="shared" ref="D9:D19" si="3">(C9/976.1)*100</f>
        <v>39.2082778403852</v>
      </c>
      <c r="E9" s="19">
        <f>7531/1000</f>
        <v>7.5309999999999997</v>
      </c>
      <c r="F9" s="39">
        <f t="shared" ref="F9:F19" si="4">(E9/O9)*100</f>
        <v>47.949828091175299</v>
      </c>
      <c r="G9" s="15">
        <f>7375/1000</f>
        <v>7.375</v>
      </c>
      <c r="H9" s="39">
        <f t="shared" ref="H9:H19" si="5">(G9/O9)*100</f>
        <v>46.956577104291398</v>
      </c>
      <c r="I9" s="56">
        <v>0</v>
      </c>
      <c r="J9" s="39">
        <f t="shared" ref="J9:J19" si="6">(I9/O9)*100</f>
        <v>0</v>
      </c>
      <c r="K9" s="19">
        <v>0</v>
      </c>
      <c r="L9" s="39">
        <f t="shared" ref="L9:L19" si="7">(K9/O9)*100</f>
        <v>0</v>
      </c>
      <c r="M9" s="19">
        <v>0.8</v>
      </c>
      <c r="N9" s="39">
        <f t="shared" ref="N9:N19" si="8">(M9/O9)*100</f>
        <v>5.0935948045332999</v>
      </c>
      <c r="O9" s="20">
        <f>E9+G9+I9+K9+M9</f>
        <v>15.706</v>
      </c>
      <c r="P9" s="15">
        <v>0.68</v>
      </c>
      <c r="Q9" s="19">
        <v>0</v>
      </c>
      <c r="R9" s="15">
        <v>135.93</v>
      </c>
      <c r="S9" s="60">
        <v>815.85199999999998</v>
      </c>
      <c r="T9" s="39">
        <f t="shared" ref="T9:T20" si="9">(S9/976.1)*100</f>
        <v>83.582829628111895</v>
      </c>
      <c r="U9" s="20">
        <f t="shared" ref="U9:U19" si="10">IF(O9+P9+Q9+(S9-C9)&gt;0,O9+P9+Q9+(S9-C9),0)</f>
        <v>449.52600000000001</v>
      </c>
      <c r="V9" s="32">
        <f>(O9+P9+Q9)+(S9-C9)</f>
        <v>449.52600000000001</v>
      </c>
      <c r="W9" s="32">
        <f t="shared" si="0"/>
        <v>38.839046400000001</v>
      </c>
      <c r="X9" s="35">
        <f t="shared" si="1"/>
        <v>44.995276620836698</v>
      </c>
      <c r="Y9" s="32">
        <f t="shared" ref="Y9:Y20" si="11">B9+W9-R9</f>
        <v>16.8090464</v>
      </c>
      <c r="Z9" s="32">
        <f>Y9-O9-Q9</f>
        <v>1.1030464</v>
      </c>
      <c r="AB9" s="32">
        <f>C9+U9-P9</f>
        <v>831.55799999999999</v>
      </c>
      <c r="AC9" s="32">
        <f t="shared" ref="AC9:AC14" si="12">AB9-O9-Q9</f>
        <v>815.85199999999998</v>
      </c>
      <c r="AD9" s="32">
        <f t="shared" si="2"/>
        <v>-729.99800000000005</v>
      </c>
    </row>
    <row r="10" spans="1:30" ht="30.75" customHeight="1">
      <c r="A10" s="18">
        <v>43313</v>
      </c>
      <c r="B10" s="44">
        <v>135.91999999999999</v>
      </c>
      <c r="C10" s="19">
        <v>815.61</v>
      </c>
      <c r="D10" s="39">
        <f t="shared" si="3"/>
        <v>83.558037086364095</v>
      </c>
      <c r="E10" s="19">
        <v>33.134999999999998</v>
      </c>
      <c r="F10" s="39">
        <f t="shared" si="4"/>
        <v>79.253270826855498</v>
      </c>
      <c r="G10" s="15">
        <v>7.6749999999999998</v>
      </c>
      <c r="H10" s="39">
        <f t="shared" si="5"/>
        <v>18.357291492262402</v>
      </c>
      <c r="I10" s="56">
        <v>0</v>
      </c>
      <c r="J10" s="39">
        <f t="shared" si="6"/>
        <v>0</v>
      </c>
      <c r="K10" s="19">
        <v>0.29899999999999999</v>
      </c>
      <c r="L10" s="39">
        <f t="shared" si="7"/>
        <v>0.715157023607357</v>
      </c>
      <c r="M10" s="19">
        <v>0.7</v>
      </c>
      <c r="N10" s="39">
        <f t="shared" si="8"/>
        <v>1.67428065727475</v>
      </c>
      <c r="O10" s="20">
        <f t="shared" ref="O10:O19" si="13">E10+G10+I10+K10+M10</f>
        <v>41.808999999999997</v>
      </c>
      <c r="P10" s="15">
        <v>0.88700000000000001</v>
      </c>
      <c r="Q10" s="19">
        <v>0</v>
      </c>
      <c r="R10" s="15">
        <v>140.71</v>
      </c>
      <c r="S10" s="60">
        <v>938.78700000000003</v>
      </c>
      <c r="T10" s="39">
        <f t="shared" si="9"/>
        <v>96.177338387460296</v>
      </c>
      <c r="U10" s="20">
        <f t="shared" si="10"/>
        <v>165.87299999999999</v>
      </c>
      <c r="V10" s="32">
        <f>(O10+P10+Q10)+(S10-C10)</f>
        <v>165.87299999999999</v>
      </c>
      <c r="W10" s="32">
        <f t="shared" si="0"/>
        <v>14.3314272</v>
      </c>
      <c r="X10" s="35">
        <f t="shared" si="1"/>
        <v>43.466761076471698</v>
      </c>
      <c r="Y10" s="32">
        <f t="shared" si="11"/>
        <v>9.5414271999999904</v>
      </c>
      <c r="Z10" s="32">
        <f>Y10-O10-Q10</f>
        <v>-32.267572800000003</v>
      </c>
      <c r="AB10" s="32">
        <f>C10+U10-P10</f>
        <v>980.596</v>
      </c>
      <c r="AC10" s="32">
        <f t="shared" si="12"/>
        <v>938.78700000000003</v>
      </c>
      <c r="AD10" s="32">
        <f t="shared" si="2"/>
        <v>-302.08699999999999</v>
      </c>
    </row>
    <row r="11" spans="1:30" ht="30.75" customHeight="1">
      <c r="A11" s="18">
        <v>43344</v>
      </c>
      <c r="B11" s="44">
        <v>140.76</v>
      </c>
      <c r="C11" s="19">
        <v>940.15800000000002</v>
      </c>
      <c r="D11" s="39">
        <f t="shared" si="3"/>
        <v>96.317795307857807</v>
      </c>
      <c r="E11" s="19">
        <v>7.5819999999999999</v>
      </c>
      <c r="F11" s="39">
        <f t="shared" si="4"/>
        <v>42.459539676317398</v>
      </c>
      <c r="G11" s="15">
        <v>9.6750000000000007</v>
      </c>
      <c r="H11" s="39">
        <f t="shared" si="5"/>
        <v>54.180433443467599</v>
      </c>
      <c r="I11" s="56">
        <v>0</v>
      </c>
      <c r="J11" s="39">
        <f t="shared" si="6"/>
        <v>0</v>
      </c>
      <c r="K11" s="19">
        <v>0</v>
      </c>
      <c r="L11" s="39">
        <f t="shared" si="7"/>
        <v>0</v>
      </c>
      <c r="M11" s="19">
        <v>0.6</v>
      </c>
      <c r="N11" s="39">
        <f t="shared" si="8"/>
        <v>3.3600268802150399</v>
      </c>
      <c r="O11" s="20">
        <f t="shared" si="13"/>
        <v>17.856999999999999</v>
      </c>
      <c r="P11" s="15">
        <v>1.0740000000000001</v>
      </c>
      <c r="Q11" s="19">
        <v>0</v>
      </c>
      <c r="R11" s="15">
        <v>140.02000000000001</v>
      </c>
      <c r="S11" s="60">
        <v>919.85599999999999</v>
      </c>
      <c r="T11" s="39">
        <f t="shared" si="9"/>
        <v>94.237885462555099</v>
      </c>
      <c r="U11" s="20">
        <f t="shared" si="10"/>
        <v>0</v>
      </c>
      <c r="V11" s="32">
        <f>(O11+P11+Q11)+(S11-C11)</f>
        <v>-1.37100000000002</v>
      </c>
      <c r="W11" s="32">
        <f t="shared" si="0"/>
        <v>0</v>
      </c>
      <c r="X11" s="35">
        <f t="shared" si="1"/>
        <v>43.680959513429102</v>
      </c>
      <c r="Y11" s="32">
        <f t="shared" si="11"/>
        <v>0.73999999999998101</v>
      </c>
      <c r="Z11" s="32">
        <f>Y11-O11-Q11</f>
        <v>-17.117000000000001</v>
      </c>
      <c r="AB11" s="32">
        <f>C11+U11-P11</f>
        <v>939.08399999999995</v>
      </c>
      <c r="AC11" s="32">
        <f t="shared" si="12"/>
        <v>921.22699999999998</v>
      </c>
      <c r="AD11" s="32">
        <f t="shared" si="2"/>
        <v>-177.036</v>
      </c>
    </row>
    <row r="12" spans="1:30" ht="30.75" customHeight="1">
      <c r="A12" s="18">
        <v>43374</v>
      </c>
      <c r="B12" s="44">
        <v>139.91</v>
      </c>
      <c r="C12" s="19">
        <v>916.95100000000002</v>
      </c>
      <c r="D12" s="39">
        <f t="shared" si="3"/>
        <v>93.940272513062197</v>
      </c>
      <c r="E12" s="19">
        <v>6.3316999999999997</v>
      </c>
      <c r="F12" s="39">
        <f t="shared" si="4"/>
        <v>27.485273498374301</v>
      </c>
      <c r="G12" s="15">
        <v>13.95</v>
      </c>
      <c r="H12" s="39">
        <f t="shared" si="5"/>
        <v>60.555548320722998</v>
      </c>
      <c r="I12" s="56">
        <v>0</v>
      </c>
      <c r="J12" s="39">
        <f t="shared" si="6"/>
        <v>0</v>
      </c>
      <c r="K12" s="19">
        <v>2.4649999999999999</v>
      </c>
      <c r="L12" s="39">
        <f t="shared" si="7"/>
        <v>10.700317319754999</v>
      </c>
      <c r="M12" s="19">
        <v>0.28999999999999998</v>
      </c>
      <c r="N12" s="39">
        <f t="shared" si="8"/>
        <v>1.2588608611476499</v>
      </c>
      <c r="O12" s="20">
        <f t="shared" si="13"/>
        <v>23.0367</v>
      </c>
      <c r="P12" s="15">
        <v>2.2210000000000001</v>
      </c>
      <c r="Q12" s="19">
        <v>0</v>
      </c>
      <c r="R12" s="15">
        <v>137.04</v>
      </c>
      <c r="S12" s="60">
        <v>843.32100000000003</v>
      </c>
      <c r="T12" s="39">
        <f t="shared" si="9"/>
        <v>86.396988013523199</v>
      </c>
      <c r="U12" s="20">
        <f t="shared" si="10"/>
        <v>0</v>
      </c>
      <c r="V12" s="32">
        <f>(O12+P12+Q12)+(S12-C12)</f>
        <v>-48.372300000000003</v>
      </c>
      <c r="W12" s="32">
        <f t="shared" si="0"/>
        <v>0</v>
      </c>
      <c r="X12" s="35">
        <f t="shared" si="1"/>
        <v>44.630822760291402</v>
      </c>
      <c r="Y12" s="32">
        <f t="shared" si="11"/>
        <v>2.87</v>
      </c>
      <c r="Z12" s="32">
        <f>Y12-O12-Q12</f>
        <v>-20.166699999999999</v>
      </c>
      <c r="AB12" s="32">
        <f t="shared" ref="AB12:AB20" si="14">C12+U12-P12</f>
        <v>914.73</v>
      </c>
      <c r="AC12" s="32">
        <f t="shared" si="12"/>
        <v>891.69330000000002</v>
      </c>
      <c r="AD12" s="32">
        <f t="shared" si="2"/>
        <v>-198.41</v>
      </c>
    </row>
    <row r="13" spans="1:30" ht="30.75" customHeight="1">
      <c r="A13" s="18">
        <v>43405</v>
      </c>
      <c r="B13" s="44">
        <v>136.94</v>
      </c>
      <c r="C13" s="19">
        <v>840.827</v>
      </c>
      <c r="D13" s="39">
        <f t="shared" si="3"/>
        <v>86.141481405593694</v>
      </c>
      <c r="E13" s="19">
        <v>60.930999999999997</v>
      </c>
      <c r="F13" s="39">
        <f t="shared" si="4"/>
        <v>81.465090782683106</v>
      </c>
      <c r="G13" s="15">
        <v>13.425000000000001</v>
      </c>
      <c r="H13" s="39">
        <f t="shared" si="5"/>
        <v>17.9493007460492</v>
      </c>
      <c r="I13" s="56">
        <v>0</v>
      </c>
      <c r="J13" s="39">
        <f t="shared" si="6"/>
        <v>0</v>
      </c>
      <c r="K13" s="19">
        <v>0</v>
      </c>
      <c r="L13" s="39">
        <f t="shared" si="7"/>
        <v>0</v>
      </c>
      <c r="M13" s="19">
        <v>0.438</v>
      </c>
      <c r="N13" s="39">
        <f t="shared" si="8"/>
        <v>0.58560847126774895</v>
      </c>
      <c r="O13" s="20">
        <f t="shared" si="13"/>
        <v>74.793999999999997</v>
      </c>
      <c r="P13" s="15">
        <v>1.1000000000000001</v>
      </c>
      <c r="Q13" s="19">
        <v>0</v>
      </c>
      <c r="R13" s="15">
        <v>133.91999999999999</v>
      </c>
      <c r="S13" s="60">
        <v>767.42700000000002</v>
      </c>
      <c r="T13" s="39">
        <f t="shared" si="9"/>
        <v>78.621760065567003</v>
      </c>
      <c r="U13" s="20">
        <f t="shared" si="10"/>
        <v>2.49400000000001</v>
      </c>
      <c r="V13" s="32">
        <f t="shared" ref="V13:V19" si="15">(O13+P13+Q13)+(S13-C13)</f>
        <v>2.49400000000001</v>
      </c>
      <c r="W13" s="32">
        <f t="shared" si="0"/>
        <v>0.21548160000000099</v>
      </c>
      <c r="X13" s="35">
        <f t="shared" si="1"/>
        <v>45.670608953631501</v>
      </c>
      <c r="Y13" s="32">
        <f t="shared" si="11"/>
        <v>3.2354816000000102</v>
      </c>
      <c r="Z13" s="32">
        <f>Y13-O13-Q13</f>
        <v>-71.558518399999997</v>
      </c>
      <c r="AB13" s="32">
        <f t="shared" si="14"/>
        <v>842.221</v>
      </c>
      <c r="AC13" s="32">
        <f t="shared" si="12"/>
        <v>767.42700000000002</v>
      </c>
      <c r="AD13" s="32">
        <f t="shared" si="2"/>
        <v>-270.29300000000001</v>
      </c>
    </row>
    <row r="14" spans="1:30" ht="30.75" customHeight="1">
      <c r="A14" s="18">
        <v>43435</v>
      </c>
      <c r="B14" s="44">
        <v>133.82</v>
      </c>
      <c r="C14" s="19">
        <v>765.08299999999997</v>
      </c>
      <c r="D14" s="39">
        <f t="shared" si="3"/>
        <v>78.381620735580398</v>
      </c>
      <c r="E14" s="19">
        <v>56.561999999999998</v>
      </c>
      <c r="F14" s="39">
        <f t="shared" si="4"/>
        <v>71.759153535814903</v>
      </c>
      <c r="G14" s="15">
        <v>12.9</v>
      </c>
      <c r="H14" s="39">
        <f t="shared" si="5"/>
        <v>16.365989190834998</v>
      </c>
      <c r="I14" s="56">
        <v>8.49</v>
      </c>
      <c r="J14" s="39">
        <f t="shared" si="6"/>
        <v>10.771104513968201</v>
      </c>
      <c r="K14" s="19">
        <v>0</v>
      </c>
      <c r="L14" s="39">
        <f t="shared" si="7"/>
        <v>0</v>
      </c>
      <c r="M14" s="19">
        <v>0.87</v>
      </c>
      <c r="N14" s="39">
        <f t="shared" si="8"/>
        <v>1.1037527593819001</v>
      </c>
      <c r="O14" s="20">
        <f t="shared" si="13"/>
        <v>78.822000000000003</v>
      </c>
      <c r="P14" s="15">
        <v>3.29</v>
      </c>
      <c r="Q14" s="19">
        <v>0</v>
      </c>
      <c r="R14" s="15">
        <v>130.55000000000001</v>
      </c>
      <c r="S14" s="60">
        <v>690.471</v>
      </c>
      <c r="T14" s="39">
        <f t="shared" si="9"/>
        <v>70.737731789775594</v>
      </c>
      <c r="U14" s="20">
        <f t="shared" si="10"/>
        <v>7.50000000000004</v>
      </c>
      <c r="V14" s="32">
        <f t="shared" si="15"/>
        <v>7.50000000000004</v>
      </c>
      <c r="W14" s="32">
        <f t="shared" si="0"/>
        <v>0.64800000000000302</v>
      </c>
      <c r="X14" s="35">
        <f t="shared" si="1"/>
        <v>46.849543861128602</v>
      </c>
      <c r="Y14" s="32">
        <f t="shared" si="11"/>
        <v>3.9179999999999802</v>
      </c>
      <c r="AB14" s="32">
        <f t="shared" si="14"/>
        <v>769.29300000000001</v>
      </c>
      <c r="AC14" s="32">
        <f t="shared" si="12"/>
        <v>690.471</v>
      </c>
      <c r="AD14" s="32">
        <f t="shared" si="2"/>
        <v>-344.85700000000003</v>
      </c>
    </row>
    <row r="15" spans="1:30" ht="30.75" customHeight="1">
      <c r="A15" s="18">
        <v>43466</v>
      </c>
      <c r="B15" s="44">
        <v>130.44</v>
      </c>
      <c r="C15" s="19">
        <v>688.053</v>
      </c>
      <c r="D15" s="39">
        <f t="shared" si="3"/>
        <v>70.490011269337202</v>
      </c>
      <c r="E15" s="19">
        <v>55.140999999999998</v>
      </c>
      <c r="F15" s="39">
        <f t="shared" si="4"/>
        <v>73.340426946864397</v>
      </c>
      <c r="G15" s="15">
        <v>11.625</v>
      </c>
      <c r="H15" s="39">
        <f t="shared" si="5"/>
        <v>15.4618607434994</v>
      </c>
      <c r="I15" s="56">
        <v>5.84</v>
      </c>
      <c r="J15" s="39">
        <f t="shared" si="6"/>
        <v>7.7675068165192496</v>
      </c>
      <c r="K15" s="19">
        <v>0</v>
      </c>
      <c r="L15" s="39">
        <f t="shared" si="7"/>
        <v>0</v>
      </c>
      <c r="M15" s="19">
        <v>2.5790000000000002</v>
      </c>
      <c r="N15" s="39">
        <f t="shared" si="8"/>
        <v>3.4302054931169801</v>
      </c>
      <c r="O15" s="20">
        <f t="shared" si="13"/>
        <v>75.185000000000002</v>
      </c>
      <c r="P15" s="15">
        <v>3.298</v>
      </c>
      <c r="Q15" s="19">
        <v>0</v>
      </c>
      <c r="R15" s="15">
        <v>126.86</v>
      </c>
      <c r="S15" s="60">
        <v>611.98299999999995</v>
      </c>
      <c r="T15" s="39">
        <f t="shared" si="9"/>
        <v>62.6967523819281</v>
      </c>
      <c r="U15" s="20">
        <f t="shared" si="10"/>
        <v>2.4129999999999399</v>
      </c>
      <c r="V15" s="32">
        <f t="shared" si="15"/>
        <v>2.4129999999999399</v>
      </c>
      <c r="W15" s="32">
        <f t="shared" si="0"/>
        <v>0.20848319999999501</v>
      </c>
      <c r="X15" s="35">
        <f t="shared" si="1"/>
        <v>48.212265103817899</v>
      </c>
      <c r="Y15" s="32">
        <f t="shared" si="11"/>
        <v>3.7884831999999902</v>
      </c>
      <c r="AB15" s="32">
        <f t="shared" si="14"/>
        <v>687.16800000000001</v>
      </c>
      <c r="AC15" s="32">
        <f t="shared" ref="AC15:AC20" si="16">AB15-O15-Q15</f>
        <v>611.98299999999995</v>
      </c>
      <c r="AD15" s="32">
        <f t="shared" si="2"/>
        <v>-418.20499999999998</v>
      </c>
    </row>
    <row r="16" spans="1:30" ht="30.75" customHeight="1">
      <c r="A16" s="18">
        <v>43497</v>
      </c>
      <c r="B16" s="44">
        <v>126.75</v>
      </c>
      <c r="C16" s="19">
        <v>609.755</v>
      </c>
      <c r="D16" s="39">
        <f t="shared" si="3"/>
        <v>62.468497080217197</v>
      </c>
      <c r="E16" s="19">
        <v>52.960999999999999</v>
      </c>
      <c r="F16" s="39">
        <f t="shared" si="4"/>
        <v>75.847105662647195</v>
      </c>
      <c r="G16" s="20">
        <f>8.975-M16</f>
        <v>6.23</v>
      </c>
      <c r="H16" s="39">
        <f t="shared" si="5"/>
        <v>8.9221779852776901</v>
      </c>
      <c r="I16" s="56">
        <v>7.89</v>
      </c>
      <c r="J16" s="39">
        <f t="shared" si="6"/>
        <v>11.299515939621299</v>
      </c>
      <c r="K16" s="19">
        <v>0</v>
      </c>
      <c r="L16" s="39">
        <f t="shared" si="7"/>
        <v>0</v>
      </c>
      <c r="M16" s="19">
        <f>(1500+1245)/1000</f>
        <v>2.7450000000000001</v>
      </c>
      <c r="N16" s="39">
        <f t="shared" si="8"/>
        <v>3.9312004124538098</v>
      </c>
      <c r="O16" s="20">
        <f t="shared" si="13"/>
        <v>69.825999999999993</v>
      </c>
      <c r="P16" s="15">
        <v>1.645</v>
      </c>
      <c r="Q16" s="19">
        <v>0</v>
      </c>
      <c r="R16" s="15">
        <v>123.25</v>
      </c>
      <c r="S16" s="60">
        <v>541.15200000000004</v>
      </c>
      <c r="T16" s="39">
        <f t="shared" si="9"/>
        <v>55.440221288802398</v>
      </c>
      <c r="U16" s="20">
        <f t="shared" si="10"/>
        <v>2.8680000000000399</v>
      </c>
      <c r="V16" s="32">
        <f t="shared" si="15"/>
        <v>2.8680000000000399</v>
      </c>
      <c r="W16" s="32">
        <f t="shared" si="0"/>
        <v>0.24779520000000299</v>
      </c>
      <c r="X16" s="35">
        <f t="shared" si="1"/>
        <v>49.624405282517898</v>
      </c>
      <c r="Y16" s="32">
        <f t="shared" si="11"/>
        <v>3.7477952000000001</v>
      </c>
      <c r="AB16" s="32">
        <f t="shared" si="14"/>
        <v>610.97799999999995</v>
      </c>
      <c r="AC16" s="32">
        <f t="shared" si="16"/>
        <v>541.15200000000004</v>
      </c>
      <c r="AD16" s="32">
        <f t="shared" si="2"/>
        <v>-491.24</v>
      </c>
    </row>
    <row r="17" spans="1:30" ht="30.75" customHeight="1">
      <c r="A17" s="18">
        <v>43525</v>
      </c>
      <c r="B17" s="44">
        <v>123.12</v>
      </c>
      <c r="C17" s="19">
        <v>538.68799999999999</v>
      </c>
      <c r="D17" s="39">
        <f t="shared" si="3"/>
        <v>55.1877881364614</v>
      </c>
      <c r="E17" s="19">
        <v>64.227000000000004</v>
      </c>
      <c r="F17" s="39">
        <f t="shared" si="4"/>
        <v>82.148521436611105</v>
      </c>
      <c r="G17" s="20">
        <f>4.632-M17</f>
        <v>1.732</v>
      </c>
      <c r="H17" s="39">
        <f t="shared" si="5"/>
        <v>2.2152870152460902</v>
      </c>
      <c r="I17" s="56">
        <v>9.3249999999999993</v>
      </c>
      <c r="J17" s="39">
        <f t="shared" si="6"/>
        <v>11.9269927350865</v>
      </c>
      <c r="K17" s="19">
        <v>0</v>
      </c>
      <c r="L17" s="39">
        <f t="shared" si="7"/>
        <v>0</v>
      </c>
      <c r="M17" s="19">
        <f>2900/1000</f>
        <v>2.9</v>
      </c>
      <c r="N17" s="39">
        <f t="shared" si="8"/>
        <v>3.7091988130563802</v>
      </c>
      <c r="O17" s="20">
        <f t="shared" si="13"/>
        <v>78.183999999999997</v>
      </c>
      <c r="P17" s="15">
        <v>2.7</v>
      </c>
      <c r="Q17" s="19">
        <v>0</v>
      </c>
      <c r="R17" s="15">
        <v>118.73</v>
      </c>
      <c r="S17" s="60">
        <v>460.26799999999997</v>
      </c>
      <c r="T17" s="39">
        <f t="shared" si="9"/>
        <v>47.153775227948003</v>
      </c>
      <c r="U17" s="20">
        <f t="shared" si="10"/>
        <v>2.464</v>
      </c>
      <c r="V17" s="32">
        <f t="shared" si="15"/>
        <v>2.464</v>
      </c>
      <c r="W17" s="32">
        <f t="shared" si="0"/>
        <v>0.21288960000000001</v>
      </c>
      <c r="X17" s="35">
        <f t="shared" si="1"/>
        <v>51.513585033861197</v>
      </c>
      <c r="Y17" s="32">
        <f t="shared" si="11"/>
        <v>4.6028896000000001</v>
      </c>
      <c r="AB17" s="32">
        <f t="shared" si="14"/>
        <v>538.452</v>
      </c>
      <c r="AC17" s="32">
        <f t="shared" si="16"/>
        <v>460.26799999999997</v>
      </c>
      <c r="AD17" s="32">
        <f t="shared" si="2"/>
        <v>-558.84199999999998</v>
      </c>
    </row>
    <row r="18" spans="1:30" ht="30.75" customHeight="1">
      <c r="A18" s="18">
        <v>43556</v>
      </c>
      <c r="B18" s="44">
        <v>118.59</v>
      </c>
      <c r="C18" s="19">
        <v>457.904</v>
      </c>
      <c r="D18" s="39">
        <f t="shared" si="3"/>
        <v>46.911586927568898</v>
      </c>
      <c r="E18" s="19">
        <f>(1900+1904+1907+2030+2028+2039+2030+2021+2027+2012+2026+2010+2016+2014+2005+1996+1980+1970+1968+1937+1986+1977+1975+1988+1972+1970+1961+1966+1956+1945)/1000</f>
        <v>59.515999999999998</v>
      </c>
      <c r="F18" s="39">
        <f t="shared" si="4"/>
        <v>84.721490697376495</v>
      </c>
      <c r="G18" s="20">
        <f>8433/1000</f>
        <v>8.4329999999999998</v>
      </c>
      <c r="H18" s="39">
        <f t="shared" si="5"/>
        <v>12.004441344360799</v>
      </c>
      <c r="I18" s="56">
        <v>0</v>
      </c>
      <c r="J18" s="39">
        <f t="shared" si="6"/>
        <v>0</v>
      </c>
      <c r="K18" s="19">
        <v>0</v>
      </c>
      <c r="L18" s="39">
        <f t="shared" si="7"/>
        <v>0</v>
      </c>
      <c r="M18" s="19">
        <v>2.2999999999999998</v>
      </c>
      <c r="N18" s="39">
        <f t="shared" si="8"/>
        <v>3.2740679582627501</v>
      </c>
      <c r="O18" s="20">
        <f t="shared" si="13"/>
        <v>70.248999999999995</v>
      </c>
      <c r="P18" s="15">
        <v>2.835</v>
      </c>
      <c r="Q18" s="19">
        <v>0</v>
      </c>
      <c r="R18" s="15">
        <v>113.66</v>
      </c>
      <c r="S18" s="60">
        <v>379.09899999999999</v>
      </c>
      <c r="T18" s="39">
        <f t="shared" si="9"/>
        <v>38.838131339002203</v>
      </c>
      <c r="U18" s="20">
        <f t="shared" si="10"/>
        <v>0</v>
      </c>
      <c r="V18" s="32">
        <f t="shared" si="15"/>
        <v>-5.7210000000000196</v>
      </c>
      <c r="W18" s="32">
        <f t="shared" si="0"/>
        <v>0</v>
      </c>
      <c r="X18" s="35">
        <f t="shared" si="1"/>
        <v>53.811437190483304</v>
      </c>
      <c r="Y18" s="32">
        <f t="shared" si="11"/>
        <v>4.9300000000000104</v>
      </c>
      <c r="AB18" s="32">
        <f t="shared" si="14"/>
        <v>455.06900000000002</v>
      </c>
      <c r="AC18" s="32">
        <f t="shared" si="16"/>
        <v>384.82</v>
      </c>
      <c r="AD18" s="32">
        <f t="shared" si="2"/>
        <v>-634.69100000000003</v>
      </c>
    </row>
    <row r="19" spans="1:30" ht="30.75" customHeight="1">
      <c r="A19" s="18">
        <v>43586</v>
      </c>
      <c r="B19" s="44">
        <v>113.88</v>
      </c>
      <c r="C19" s="19">
        <v>382.411</v>
      </c>
      <c r="D19" s="39">
        <f t="shared" si="3"/>
        <v>39.177440835979901</v>
      </c>
      <c r="E19" s="19">
        <v>59.295000000000002</v>
      </c>
      <c r="F19" s="39">
        <f t="shared" si="4"/>
        <v>87.429961663226194</v>
      </c>
      <c r="G19" s="20">
        <v>8.5250000000000004</v>
      </c>
      <c r="H19" s="39">
        <f t="shared" si="5"/>
        <v>12.5700383367738</v>
      </c>
      <c r="I19" s="56">
        <v>0</v>
      </c>
      <c r="J19" s="39">
        <f t="shared" si="6"/>
        <v>0</v>
      </c>
      <c r="K19" s="19">
        <v>0</v>
      </c>
      <c r="L19" s="39">
        <f t="shared" si="7"/>
        <v>0</v>
      </c>
      <c r="M19" s="19">
        <v>0</v>
      </c>
      <c r="N19" s="39">
        <f t="shared" si="8"/>
        <v>0</v>
      </c>
      <c r="O19" s="20">
        <f t="shared" si="13"/>
        <v>67.819999999999993</v>
      </c>
      <c r="P19" s="15">
        <v>0.79</v>
      </c>
      <c r="Q19" s="19">
        <v>0</v>
      </c>
      <c r="R19" s="15">
        <v>108.61</v>
      </c>
      <c r="S19" s="60">
        <v>306.91500000000002</v>
      </c>
      <c r="T19" s="39">
        <f t="shared" si="9"/>
        <v>31.442987398832098</v>
      </c>
      <c r="U19" s="20">
        <f t="shared" si="10"/>
        <v>0</v>
      </c>
      <c r="V19" s="32">
        <f t="shared" si="15"/>
        <v>-6.8859999999999699</v>
      </c>
      <c r="W19" s="32">
        <f t="shared" si="0"/>
        <v>0</v>
      </c>
      <c r="X19" s="35">
        <f t="shared" si="1"/>
        <v>56.313488178531799</v>
      </c>
      <c r="Y19" s="32">
        <f t="shared" si="11"/>
        <v>5.27</v>
      </c>
      <c r="AB19" s="32">
        <f t="shared" si="14"/>
        <v>381.62099999999998</v>
      </c>
      <c r="AC19" s="32">
        <f t="shared" si="16"/>
        <v>313.80099999999999</v>
      </c>
      <c r="AD19" s="32">
        <f t="shared" si="2"/>
        <v>-703.08900000000006</v>
      </c>
    </row>
    <row r="20" spans="1:30">
      <c r="A20" s="46" t="s">
        <v>28</v>
      </c>
      <c r="B20" s="28"/>
      <c r="C20" s="47"/>
      <c r="D20" s="39"/>
      <c r="E20" s="47"/>
      <c r="F20" s="39"/>
      <c r="G20" s="48"/>
      <c r="H20" s="39"/>
      <c r="I20" s="50"/>
      <c r="J20" s="39"/>
      <c r="K20" s="47"/>
      <c r="L20" s="39"/>
      <c r="M20" s="47"/>
      <c r="N20" s="39"/>
      <c r="O20" s="48"/>
      <c r="P20" s="57"/>
      <c r="Q20" s="47"/>
      <c r="R20" s="57"/>
      <c r="S20" s="57"/>
      <c r="T20" s="39">
        <f t="shared" si="9"/>
        <v>0</v>
      </c>
      <c r="U20" s="48"/>
      <c r="W20" s="32">
        <f>SUM(W8:W19)</f>
        <v>60.715871999999997</v>
      </c>
      <c r="Y20" s="32">
        <f t="shared" si="11"/>
        <v>60.715871999999997</v>
      </c>
      <c r="AB20" s="32">
        <f t="shared" si="14"/>
        <v>0</v>
      </c>
      <c r="AC20" s="32">
        <f t="shared" si="16"/>
        <v>0</v>
      </c>
      <c r="AD20" s="32">
        <f t="shared" si="2"/>
        <v>-976.1</v>
      </c>
    </row>
    <row r="21" spans="1:30">
      <c r="A21" s="49"/>
      <c r="B21" s="28"/>
      <c r="C21" s="47"/>
      <c r="D21" s="47"/>
      <c r="E21" s="47"/>
      <c r="F21" s="48"/>
      <c r="G21" s="48"/>
      <c r="H21" s="50"/>
      <c r="I21" s="50"/>
      <c r="J21" s="47"/>
      <c r="K21" s="47"/>
      <c r="L21" s="47"/>
      <c r="M21" s="47"/>
      <c r="N21" s="48"/>
      <c r="O21" s="48"/>
      <c r="P21" s="57"/>
      <c r="Q21" s="47"/>
      <c r="R21" s="57"/>
      <c r="S21" s="57"/>
      <c r="T21" s="48"/>
      <c r="U21" s="48"/>
    </row>
    <row r="22" spans="1:30">
      <c r="A22" s="49"/>
      <c r="B22" s="28"/>
      <c r="C22" s="47"/>
      <c r="D22" s="47"/>
      <c r="E22" s="47"/>
      <c r="F22" s="48"/>
      <c r="G22" s="48"/>
      <c r="H22" s="50"/>
      <c r="I22" s="50"/>
      <c r="J22" s="47"/>
      <c r="K22" s="47"/>
      <c r="L22" s="47"/>
      <c r="M22" s="47"/>
      <c r="N22" s="48"/>
      <c r="O22" s="48"/>
      <c r="P22" s="57"/>
      <c r="Q22" s="47"/>
      <c r="R22" s="57"/>
      <c r="S22" s="57"/>
      <c r="T22" s="48"/>
      <c r="U22" s="48"/>
    </row>
    <row r="23" spans="1:30">
      <c r="A23" s="49"/>
      <c r="B23" s="86" t="s">
        <v>29</v>
      </c>
      <c r="C23" s="86"/>
      <c r="D23" s="86"/>
      <c r="E23" s="86"/>
      <c r="F23" s="48"/>
      <c r="G23" s="48"/>
      <c r="H23" s="50"/>
      <c r="I23" s="50"/>
      <c r="J23" s="47"/>
      <c r="K23" s="47"/>
      <c r="L23" s="47"/>
      <c r="M23" s="47"/>
      <c r="N23" s="48"/>
      <c r="O23" s="48"/>
      <c r="P23" s="54"/>
      <c r="Q23" s="86" t="s">
        <v>30</v>
      </c>
      <c r="R23" s="86"/>
      <c r="S23" s="86"/>
      <c r="T23" s="52"/>
      <c r="U23" s="52"/>
    </row>
    <row r="24" spans="1:30">
      <c r="A24" s="49"/>
      <c r="B24" s="86" t="s">
        <v>31</v>
      </c>
      <c r="C24" s="86"/>
      <c r="D24" s="86"/>
      <c r="E24" s="86"/>
      <c r="F24" s="48"/>
      <c r="G24" s="48"/>
      <c r="H24" s="50"/>
      <c r="I24" s="50"/>
      <c r="J24" s="47"/>
      <c r="K24" s="47"/>
      <c r="L24" s="47"/>
      <c r="M24" s="47"/>
      <c r="N24" s="48"/>
      <c r="O24" s="48"/>
      <c r="P24" s="86" t="s">
        <v>32</v>
      </c>
      <c r="Q24" s="86"/>
      <c r="R24" s="86"/>
      <c r="S24" s="86"/>
      <c r="T24" s="86"/>
      <c r="U24" s="86"/>
    </row>
    <row r="25" spans="1:30">
      <c r="A25" s="49"/>
      <c r="B25" s="86" t="s">
        <v>33</v>
      </c>
      <c r="C25" s="86"/>
      <c r="D25" s="86"/>
      <c r="E25" s="86"/>
      <c r="F25" s="48"/>
      <c r="G25" s="48"/>
      <c r="H25" s="50"/>
      <c r="I25" s="50"/>
      <c r="J25" s="47"/>
      <c r="K25" s="47"/>
      <c r="L25" s="47"/>
      <c r="M25" s="47"/>
      <c r="N25" s="48"/>
      <c r="O25" s="48"/>
      <c r="P25" s="54"/>
      <c r="Q25" s="86" t="s">
        <v>33</v>
      </c>
      <c r="R25" s="86"/>
      <c r="S25" s="86"/>
      <c r="T25" s="52"/>
      <c r="U25" s="52"/>
    </row>
  </sheetData>
  <mergeCells count="22">
    <mergeCell ref="B25:E25"/>
    <mergeCell ref="Q25:S25"/>
    <mergeCell ref="A4:A6"/>
    <mergeCell ref="B4:B6"/>
    <mergeCell ref="C4:C6"/>
    <mergeCell ref="E5:E6"/>
    <mergeCell ref="G5:G6"/>
    <mergeCell ref="I5:I6"/>
    <mergeCell ref="K5:K6"/>
    <mergeCell ref="M5:M6"/>
    <mergeCell ref="O4:O6"/>
    <mergeCell ref="P4:P6"/>
    <mergeCell ref="Q4:Q6"/>
    <mergeCell ref="R4:R6"/>
    <mergeCell ref="S4:S6"/>
    <mergeCell ref="A1:U1"/>
    <mergeCell ref="E4:M4"/>
    <mergeCell ref="B23:E23"/>
    <mergeCell ref="Q23:S23"/>
    <mergeCell ref="B24:E24"/>
    <mergeCell ref="P24:U24"/>
    <mergeCell ref="U4:U6"/>
  </mergeCells>
  <printOptions horizontalCentered="1" verticalCentered="1"/>
  <pageMargins left="0.45" right="0.45" top="0.5" bottom="0.5" header="0.3" footer="0.3"/>
  <pageSetup scale="6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AA26"/>
  <sheetViews>
    <sheetView topLeftCell="A9" workbookViewId="0">
      <selection activeCell="A8" sqref="A8:U19"/>
    </sheetView>
  </sheetViews>
  <sheetFormatPr defaultColWidth="9" defaultRowHeight="14.4"/>
  <cols>
    <col min="25" max="25" width="9.109375"/>
  </cols>
  <sheetData>
    <row r="1" spans="1:27" ht="15.6">
      <c r="A1" s="81" t="s">
        <v>55</v>
      </c>
      <c r="B1" s="82"/>
      <c r="C1" s="81"/>
      <c r="D1" s="81"/>
      <c r="E1" s="81"/>
      <c r="F1" s="81"/>
      <c r="G1" s="81"/>
      <c r="H1" s="81"/>
      <c r="I1" s="81"/>
      <c r="J1" s="82"/>
      <c r="K1" s="82"/>
      <c r="L1" s="82"/>
      <c r="M1" s="82"/>
      <c r="N1" s="82"/>
      <c r="O1" s="82"/>
      <c r="P1" s="82"/>
      <c r="Q1" s="81"/>
      <c r="R1" s="82"/>
      <c r="S1" s="82"/>
      <c r="T1" s="82"/>
      <c r="U1" s="82"/>
    </row>
    <row r="2" spans="1:27" ht="15.6">
      <c r="A2" s="3" t="s">
        <v>1</v>
      </c>
      <c r="B2" s="80" t="s">
        <v>2</v>
      </c>
      <c r="C2" s="4"/>
      <c r="D2" s="4"/>
      <c r="E2" s="4"/>
      <c r="F2" s="4"/>
      <c r="G2" s="4"/>
      <c r="H2" s="3"/>
      <c r="I2" s="3"/>
      <c r="J2" s="5"/>
      <c r="K2" s="5"/>
      <c r="L2" s="5"/>
      <c r="M2" s="5"/>
      <c r="N2" s="5"/>
      <c r="O2" s="5"/>
      <c r="P2" s="5"/>
      <c r="Q2" s="3"/>
      <c r="R2" s="5"/>
      <c r="S2" s="5"/>
      <c r="T2" s="5"/>
      <c r="U2" s="5"/>
    </row>
    <row r="3" spans="1:27" ht="15.6">
      <c r="A3" s="3" t="s">
        <v>3</v>
      </c>
      <c r="B3" s="80" t="s">
        <v>4</v>
      </c>
      <c r="C3" s="6"/>
      <c r="D3" s="6"/>
      <c r="E3" s="6"/>
      <c r="F3" s="6"/>
      <c r="G3" s="6"/>
      <c r="H3" s="6"/>
      <c r="I3" s="6"/>
      <c r="J3" s="7"/>
      <c r="K3" s="7"/>
      <c r="L3" s="7"/>
      <c r="M3" s="7"/>
      <c r="N3" s="7"/>
      <c r="O3" s="7"/>
      <c r="P3" s="7"/>
      <c r="Q3" s="6"/>
      <c r="R3" s="7"/>
      <c r="S3" s="7"/>
      <c r="T3" s="7"/>
      <c r="U3" s="7"/>
    </row>
    <row r="4" spans="1:27">
      <c r="A4" s="88" t="s">
        <v>5</v>
      </c>
      <c r="B4" s="89" t="s">
        <v>6</v>
      </c>
      <c r="C4" s="87" t="s">
        <v>7</v>
      </c>
      <c r="D4" s="43"/>
      <c r="E4" s="83" t="s">
        <v>8</v>
      </c>
      <c r="F4" s="84"/>
      <c r="G4" s="84"/>
      <c r="H4" s="84"/>
      <c r="I4" s="84"/>
      <c r="J4" s="84"/>
      <c r="K4" s="84"/>
      <c r="L4" s="84"/>
      <c r="M4" s="85"/>
      <c r="N4" s="55"/>
      <c r="O4" s="92" t="s">
        <v>9</v>
      </c>
      <c r="P4" s="92" t="s">
        <v>10</v>
      </c>
      <c r="Q4" s="92" t="s">
        <v>11</v>
      </c>
      <c r="R4" s="89" t="s">
        <v>12</v>
      </c>
      <c r="S4" s="87" t="s">
        <v>13</v>
      </c>
      <c r="T4" s="9"/>
      <c r="U4" s="87" t="s">
        <v>14</v>
      </c>
    </row>
    <row r="5" spans="1:27">
      <c r="A5" s="88"/>
      <c r="B5" s="90"/>
      <c r="C5" s="87"/>
      <c r="D5" s="27"/>
      <c r="E5" s="89" t="s">
        <v>15</v>
      </c>
      <c r="F5" s="27"/>
      <c r="G5" s="89" t="s">
        <v>16</v>
      </c>
      <c r="H5" s="27"/>
      <c r="I5" s="89" t="s">
        <v>17</v>
      </c>
      <c r="J5" s="27"/>
      <c r="K5" s="92" t="s">
        <v>18</v>
      </c>
      <c r="L5" s="10"/>
      <c r="M5" s="92" t="s">
        <v>19</v>
      </c>
      <c r="N5" s="10"/>
      <c r="O5" s="92"/>
      <c r="P5" s="92"/>
      <c r="Q5" s="92"/>
      <c r="R5" s="90"/>
      <c r="S5" s="87"/>
      <c r="T5" s="9"/>
      <c r="U5" s="87"/>
    </row>
    <row r="6" spans="1:27" ht="88.2" customHeight="1">
      <c r="A6" s="88"/>
      <c r="B6" s="91"/>
      <c r="C6" s="87"/>
      <c r="D6" s="13"/>
      <c r="E6" s="91"/>
      <c r="F6" s="13"/>
      <c r="G6" s="91"/>
      <c r="H6" s="13"/>
      <c r="I6" s="91"/>
      <c r="J6" s="13"/>
      <c r="K6" s="92"/>
      <c r="L6" s="10"/>
      <c r="M6" s="92"/>
      <c r="N6" s="10"/>
      <c r="O6" s="92"/>
      <c r="P6" s="92"/>
      <c r="Q6" s="92"/>
      <c r="R6" s="91"/>
      <c r="S6" s="87"/>
      <c r="T6" s="9"/>
      <c r="U6" s="87"/>
      <c r="X6" s="29" t="s">
        <v>20</v>
      </c>
      <c r="AA6" t="s">
        <v>40</v>
      </c>
    </row>
    <row r="7" spans="1:27">
      <c r="A7" s="15">
        <v>1</v>
      </c>
      <c r="B7" s="17">
        <v>2</v>
      </c>
      <c r="C7" s="16">
        <v>3</v>
      </c>
      <c r="D7" s="15"/>
      <c r="E7" s="15">
        <v>4</v>
      </c>
      <c r="F7" s="15"/>
      <c r="G7" s="15">
        <v>5</v>
      </c>
      <c r="H7" s="15"/>
      <c r="I7" s="15">
        <v>6</v>
      </c>
      <c r="J7" s="17"/>
      <c r="K7" s="17">
        <v>7</v>
      </c>
      <c r="L7" s="17"/>
      <c r="M7" s="17">
        <v>8</v>
      </c>
      <c r="N7" s="17"/>
      <c r="O7" s="17">
        <v>9</v>
      </c>
      <c r="P7" s="17">
        <v>10</v>
      </c>
      <c r="Q7" s="15">
        <v>11</v>
      </c>
      <c r="R7" s="59">
        <v>12</v>
      </c>
      <c r="S7" s="17">
        <v>13</v>
      </c>
      <c r="T7" s="17"/>
      <c r="U7" s="17">
        <v>14</v>
      </c>
    </row>
    <row r="8" spans="1:27" ht="30.75" customHeight="1">
      <c r="A8" s="18">
        <v>42887</v>
      </c>
      <c r="B8" s="44">
        <v>113.76</v>
      </c>
      <c r="C8" s="19">
        <v>380.60399999999998</v>
      </c>
      <c r="D8" s="39">
        <f>(C8/976.1)*100</f>
        <v>38.9923163610286</v>
      </c>
      <c r="E8" s="19">
        <v>46.201999999999998</v>
      </c>
      <c r="F8" s="39">
        <f>(E8/O8)*100</f>
        <v>74.195050665638902</v>
      </c>
      <c r="G8" s="15">
        <v>16.068999999999999</v>
      </c>
      <c r="H8" s="39">
        <f>(G8/O8)*100</f>
        <v>25.804949334361101</v>
      </c>
      <c r="I8" s="56">
        <v>0</v>
      </c>
      <c r="J8" s="39">
        <f>(I8/O8)*100</f>
        <v>0</v>
      </c>
      <c r="K8" s="19">
        <v>0</v>
      </c>
      <c r="L8" s="39">
        <f>(K8/O8)*100</f>
        <v>0</v>
      </c>
      <c r="M8" s="19">
        <v>0</v>
      </c>
      <c r="N8" s="39">
        <f>(M8/O8)*100</f>
        <v>0</v>
      </c>
      <c r="O8" s="20">
        <f>E8+G8+I8+K8+M8</f>
        <v>62.271000000000001</v>
      </c>
      <c r="P8" s="15">
        <v>0.7984</v>
      </c>
      <c r="Q8" s="19">
        <v>0</v>
      </c>
      <c r="R8" s="15">
        <v>117.58</v>
      </c>
      <c r="S8" s="60">
        <v>441.00900000000001</v>
      </c>
      <c r="T8" s="39">
        <f>(S8/976.1)*100</f>
        <v>45.180719188607704</v>
      </c>
      <c r="U8" s="20">
        <f>IF(O8+P8+Q8+(S8-C8)&gt;0,O8+P8+Q8+(S8-C8),0)</f>
        <v>123.4744</v>
      </c>
      <c r="V8" s="32">
        <f t="shared" ref="V8:V19" si="0">(O8+P8+Q8)+(S8-C8)</f>
        <v>123.4744</v>
      </c>
      <c r="W8" s="32">
        <f t="shared" ref="W8:W19" si="1">U8*1*0.0864</f>
        <v>10.66818816</v>
      </c>
      <c r="X8" s="35">
        <f>(15000000/(2725*0.9*R8))</f>
        <v>52.017417512079703</v>
      </c>
      <c r="Y8" s="32">
        <f>C8+U8-P8</f>
        <v>503.28</v>
      </c>
      <c r="Z8" s="32">
        <f>Y8-O8-Q8</f>
        <v>441.00900000000001</v>
      </c>
      <c r="AA8" s="32">
        <f>Y8-O8-976.1-Q8</f>
        <v>-535.09100000000001</v>
      </c>
    </row>
    <row r="9" spans="1:27" ht="30.75" customHeight="1">
      <c r="A9" s="18">
        <v>42917</v>
      </c>
      <c r="B9" s="44">
        <v>119</v>
      </c>
      <c r="C9" s="19">
        <v>464.88799999999998</v>
      </c>
      <c r="D9" s="39">
        <f t="shared" ref="D9:D19" si="2">(C9/976.1)*100</f>
        <v>47.627087388587199</v>
      </c>
      <c r="E9" s="19">
        <v>16.52</v>
      </c>
      <c r="F9" s="39">
        <f t="shared" ref="F9:F19" si="3">(E9/O9)*100</f>
        <v>60.628302994715199</v>
      </c>
      <c r="G9" s="15">
        <v>9.44</v>
      </c>
      <c r="H9" s="39">
        <f t="shared" ref="H9:H19" si="4">(G9/O9)*100</f>
        <v>34.644744568408697</v>
      </c>
      <c r="I9" s="56">
        <v>0</v>
      </c>
      <c r="J9" s="39">
        <f t="shared" ref="J9:J19" si="5">(I9/O9)*100</f>
        <v>0</v>
      </c>
      <c r="K9" s="19">
        <v>1.1850000000000001</v>
      </c>
      <c r="L9" s="39">
        <f t="shared" ref="L9:L19" si="6">(K9/O9)*100</f>
        <v>4.3489430416911299</v>
      </c>
      <c r="M9" s="19">
        <v>0.10299999999999999</v>
      </c>
      <c r="N9" s="39">
        <f t="shared" ref="N9:N19" si="7">(M9/O9)*100</f>
        <v>0.37800939518496801</v>
      </c>
      <c r="O9" s="20">
        <f>E9+G9+I9+K9+M9</f>
        <v>27.248000000000001</v>
      </c>
      <c r="P9" s="15">
        <v>0.68500000000000005</v>
      </c>
      <c r="Q9" s="19">
        <v>0</v>
      </c>
      <c r="R9" s="15">
        <v>137.41</v>
      </c>
      <c r="S9" s="60">
        <v>852.64300000000003</v>
      </c>
      <c r="T9" s="39">
        <f t="shared" ref="T9:T19" si="8">(S9/976.1)*100</f>
        <v>87.352013113410493</v>
      </c>
      <c r="U9" s="20">
        <f t="shared" ref="U9:U19" si="9">IF(O9+P9+Q9+(S9-C9)&gt;0,O9+P9+Q9+(S9-C9),0)</f>
        <v>415.68799999999999</v>
      </c>
      <c r="V9" s="32">
        <f t="shared" si="0"/>
        <v>415.68799999999999</v>
      </c>
      <c r="W9" s="32">
        <f t="shared" si="1"/>
        <v>35.915443199999999</v>
      </c>
      <c r="X9" s="35">
        <f t="shared" ref="X9:X19" si="10">(15000000/(2725*0.9*R9))</f>
        <v>44.510646612839899</v>
      </c>
      <c r="Y9" s="32">
        <f t="shared" ref="Y9:Y20" si="11">C9+U9-P9</f>
        <v>879.89099999999996</v>
      </c>
      <c r="Z9" s="32">
        <f t="shared" ref="Z9:Z20" si="12">Y9-O9-Q9</f>
        <v>852.64300000000003</v>
      </c>
      <c r="AA9" s="32">
        <f t="shared" ref="AA9:AA20" si="13">Y9-O9-976.1-Q9</f>
        <v>-123.45699999999999</v>
      </c>
    </row>
    <row r="10" spans="1:27" ht="30.75" customHeight="1">
      <c r="A10" s="18">
        <v>42948</v>
      </c>
      <c r="B10" s="44">
        <v>137.28</v>
      </c>
      <c r="C10" s="19">
        <v>849.36800000000005</v>
      </c>
      <c r="D10" s="39">
        <f t="shared" si="2"/>
        <v>87.016494211658696</v>
      </c>
      <c r="E10" s="19">
        <v>36.542000000000002</v>
      </c>
      <c r="F10" s="39">
        <f t="shared" si="3"/>
        <v>73.823713610376004</v>
      </c>
      <c r="G10" s="15">
        <v>9.968</v>
      </c>
      <c r="H10" s="39">
        <f t="shared" si="4"/>
        <v>20.137780561223501</v>
      </c>
      <c r="I10" s="56">
        <v>0</v>
      </c>
      <c r="J10" s="39">
        <f t="shared" si="5"/>
        <v>0</v>
      </c>
      <c r="K10" s="19">
        <v>2.8220000000000001</v>
      </c>
      <c r="L10" s="39">
        <f t="shared" si="6"/>
        <v>5.7011252752580903</v>
      </c>
      <c r="M10" s="19">
        <v>0.16700000000000001</v>
      </c>
      <c r="N10" s="39">
        <f t="shared" si="7"/>
        <v>0.33738055314248799</v>
      </c>
      <c r="O10" s="20">
        <f t="shared" ref="O10:O12" si="14">E10+G10+I10+K10+M10</f>
        <v>49.499000000000002</v>
      </c>
      <c r="P10" s="15">
        <v>0.88</v>
      </c>
      <c r="Q10" s="19">
        <v>0</v>
      </c>
      <c r="R10" s="15">
        <v>140.44999999999999</v>
      </c>
      <c r="S10" s="60">
        <v>931.65300000000002</v>
      </c>
      <c r="T10" s="39">
        <f t="shared" si="8"/>
        <v>95.446470648499101</v>
      </c>
      <c r="U10" s="20">
        <f t="shared" si="9"/>
        <v>132.66399999999999</v>
      </c>
      <c r="V10" s="32">
        <f t="shared" si="0"/>
        <v>132.66399999999999</v>
      </c>
      <c r="W10" s="32">
        <f t="shared" si="1"/>
        <v>11.462169599999999</v>
      </c>
      <c r="X10" s="35">
        <f t="shared" si="10"/>
        <v>43.547226422715099</v>
      </c>
      <c r="Y10" s="32">
        <f t="shared" si="11"/>
        <v>981.15200000000004</v>
      </c>
      <c r="Z10" s="32">
        <f t="shared" si="12"/>
        <v>931.65300000000002</v>
      </c>
      <c r="AA10" s="32">
        <f t="shared" si="13"/>
        <v>-44.447000000000003</v>
      </c>
    </row>
    <row r="11" spans="1:27" ht="30.75" customHeight="1">
      <c r="A11" s="18">
        <v>42979</v>
      </c>
      <c r="B11" s="44">
        <v>140.57</v>
      </c>
      <c r="C11" s="19">
        <v>934.94600000000003</v>
      </c>
      <c r="D11" s="39">
        <f t="shared" si="2"/>
        <v>95.783833623604096</v>
      </c>
      <c r="E11" s="19">
        <v>27.35</v>
      </c>
      <c r="F11" s="39">
        <f t="shared" si="3"/>
        <v>73.3519283377139</v>
      </c>
      <c r="G11" s="15">
        <v>9.25</v>
      </c>
      <c r="H11" s="39">
        <f t="shared" si="4"/>
        <v>24.808239017325501</v>
      </c>
      <c r="I11" s="56">
        <v>0</v>
      </c>
      <c r="J11" s="39">
        <f t="shared" si="5"/>
        <v>0</v>
      </c>
      <c r="K11" s="19">
        <v>0.45</v>
      </c>
      <c r="L11" s="39">
        <f t="shared" si="6"/>
        <v>1.2068873035455701</v>
      </c>
      <c r="M11" s="19">
        <v>0.23599999999999999</v>
      </c>
      <c r="N11" s="39">
        <f t="shared" si="7"/>
        <v>0.63294534141500802</v>
      </c>
      <c r="O11" s="20">
        <f t="shared" si="14"/>
        <v>37.286000000000001</v>
      </c>
      <c r="P11" s="15">
        <v>1.07</v>
      </c>
      <c r="Q11" s="19">
        <v>0</v>
      </c>
      <c r="R11" s="15">
        <v>141.84</v>
      </c>
      <c r="S11" s="60">
        <v>971.40300000000002</v>
      </c>
      <c r="T11" s="39">
        <f t="shared" si="8"/>
        <v>99.518799303350093</v>
      </c>
      <c r="U11" s="20">
        <f t="shared" si="9"/>
        <v>74.813000000000002</v>
      </c>
      <c r="V11" s="32">
        <f t="shared" si="0"/>
        <v>74.813000000000002</v>
      </c>
      <c r="W11" s="32">
        <f t="shared" si="1"/>
        <v>6.4638432000000003</v>
      </c>
      <c r="X11" s="35">
        <f t="shared" si="10"/>
        <v>43.120473428301899</v>
      </c>
      <c r="Y11" s="32">
        <f t="shared" si="11"/>
        <v>1008.689</v>
      </c>
      <c r="Z11" s="32">
        <f t="shared" si="12"/>
        <v>971.40300000000002</v>
      </c>
      <c r="AA11" s="32">
        <f t="shared" si="13"/>
        <v>-4.6970000000000001</v>
      </c>
    </row>
    <row r="12" spans="1:27" ht="30.75" customHeight="1">
      <c r="A12" s="18">
        <v>43009</v>
      </c>
      <c r="B12" s="44">
        <v>141.86000000000001</v>
      </c>
      <c r="C12" s="19">
        <v>971.99</v>
      </c>
      <c r="D12" s="39">
        <f t="shared" si="2"/>
        <v>99.578936584366303</v>
      </c>
      <c r="E12" s="19">
        <v>47.347000000000001</v>
      </c>
      <c r="F12" s="39">
        <f t="shared" si="3"/>
        <v>78.588145467824106</v>
      </c>
      <c r="G12" s="15">
        <v>12.61</v>
      </c>
      <c r="H12" s="39">
        <f t="shared" si="4"/>
        <v>20.9305027636231</v>
      </c>
      <c r="I12" s="56">
        <v>0</v>
      </c>
      <c r="J12" s="39">
        <f t="shared" si="5"/>
        <v>0</v>
      </c>
      <c r="K12" s="19">
        <v>0</v>
      </c>
      <c r="L12" s="39">
        <f t="shared" si="6"/>
        <v>0</v>
      </c>
      <c r="M12" s="19">
        <v>0.28999999999999998</v>
      </c>
      <c r="N12" s="39">
        <f t="shared" si="7"/>
        <v>0.48135176855279099</v>
      </c>
      <c r="O12" s="20">
        <f t="shared" si="14"/>
        <v>60.247</v>
      </c>
      <c r="P12" s="15">
        <v>2.2200000000000002</v>
      </c>
      <c r="Q12" s="19">
        <v>0</v>
      </c>
      <c r="R12" s="15">
        <v>140.94</v>
      </c>
      <c r="S12" s="60">
        <v>945.09699999999998</v>
      </c>
      <c r="T12" s="39">
        <f t="shared" si="8"/>
        <v>96.8237885462555</v>
      </c>
      <c r="U12" s="20">
        <f>IF(O12+P12+Q12+(S12-C12)&gt;0,O12+P12+Q12+(S12-C12),0)</f>
        <v>35.57399999999997</v>
      </c>
      <c r="V12" s="32">
        <f t="shared" si="0"/>
        <v>35.573999999999998</v>
      </c>
      <c r="W12" s="32">
        <f t="shared" si="1"/>
        <v>3.0735935999999975</v>
      </c>
      <c r="X12" s="35">
        <f t="shared" si="10"/>
        <v>43.395827664753298</v>
      </c>
      <c r="Y12" s="32">
        <f t="shared" si="11"/>
        <v>1005.3439999999999</v>
      </c>
      <c r="Z12" s="32">
        <f t="shared" si="12"/>
        <v>945.09699999999998</v>
      </c>
      <c r="AA12" s="32">
        <f t="shared" si="13"/>
        <v>-31.003000000000043</v>
      </c>
    </row>
    <row r="13" spans="1:27" ht="30.75" customHeight="1">
      <c r="A13" s="18">
        <v>43040</v>
      </c>
      <c r="B13" s="44">
        <v>140.85</v>
      </c>
      <c r="C13" s="19">
        <v>942.62800000000004</v>
      </c>
      <c r="D13" s="39">
        <f t="shared" si="2"/>
        <v>96.570843151316495</v>
      </c>
      <c r="E13" s="19">
        <v>59.307000000000002</v>
      </c>
      <c r="F13" s="39">
        <f t="shared" si="3"/>
        <v>77.031081554986898</v>
      </c>
      <c r="G13" s="15">
        <v>17.504000000000001</v>
      </c>
      <c r="H13" s="39">
        <f t="shared" si="4"/>
        <v>22.735124884726801</v>
      </c>
      <c r="I13" s="56">
        <v>0</v>
      </c>
      <c r="J13" s="39">
        <f t="shared" si="5"/>
        <v>0</v>
      </c>
      <c r="K13" s="19">
        <v>0</v>
      </c>
      <c r="L13" s="39">
        <f t="shared" si="6"/>
        <v>0</v>
      </c>
      <c r="M13" s="19">
        <v>0.18</v>
      </c>
      <c r="N13" s="39">
        <f t="shared" si="7"/>
        <v>0.23379356028626699</v>
      </c>
      <c r="O13" s="20">
        <f t="shared" ref="O13:O19" si="15">E13+G13+I13+K13+M13</f>
        <v>76.991</v>
      </c>
      <c r="P13" s="15">
        <v>2.2090000000000001</v>
      </c>
      <c r="Q13" s="19">
        <v>0</v>
      </c>
      <c r="R13" s="15">
        <v>138.16</v>
      </c>
      <c r="S13" s="60">
        <v>871.60799999999995</v>
      </c>
      <c r="T13" s="39">
        <f t="shared" si="8"/>
        <v>89.294949287982803</v>
      </c>
      <c r="U13" s="20">
        <f t="shared" si="9"/>
        <v>8.1799999999999198</v>
      </c>
      <c r="V13" s="32">
        <f t="shared" si="0"/>
        <v>8.1799999999999198</v>
      </c>
      <c r="W13" s="32">
        <f t="shared" si="1"/>
        <v>0.70675199999999305</v>
      </c>
      <c r="X13" s="35">
        <f t="shared" si="10"/>
        <v>44.269021070283301</v>
      </c>
      <c r="Y13" s="32">
        <f t="shared" si="11"/>
        <v>948.59900000000005</v>
      </c>
      <c r="Z13" s="32">
        <f t="shared" si="12"/>
        <v>871.60799999999995</v>
      </c>
      <c r="AA13" s="32">
        <f t="shared" si="13"/>
        <v>-104.492</v>
      </c>
    </row>
    <row r="14" spans="1:27" ht="30.75" customHeight="1">
      <c r="A14" s="18">
        <v>43070</v>
      </c>
      <c r="B14" s="44">
        <v>138.02000000000001</v>
      </c>
      <c r="C14" s="19">
        <v>868.02</v>
      </c>
      <c r="D14" s="39">
        <f t="shared" si="2"/>
        <v>88.927363999590199</v>
      </c>
      <c r="E14" s="19">
        <v>66.260000000000005</v>
      </c>
      <c r="F14" s="39">
        <f t="shared" si="3"/>
        <v>78.738473238900994</v>
      </c>
      <c r="G14" s="15">
        <v>9.6709999999999994</v>
      </c>
      <c r="H14" s="39">
        <f t="shared" si="4"/>
        <v>11.4922996482555</v>
      </c>
      <c r="I14" s="56">
        <v>6.2610000000000001</v>
      </c>
      <c r="J14" s="39">
        <f t="shared" si="5"/>
        <v>7.4401083753208503</v>
      </c>
      <c r="K14" s="19">
        <v>1.0900000000000001</v>
      </c>
      <c r="L14" s="39">
        <f t="shared" si="6"/>
        <v>1.2952752162753101</v>
      </c>
      <c r="M14" s="19">
        <v>0.87</v>
      </c>
      <c r="N14" s="39">
        <f t="shared" si="7"/>
        <v>1.0338435212472701</v>
      </c>
      <c r="O14" s="20">
        <f t="shared" si="15"/>
        <v>84.152000000000001</v>
      </c>
      <c r="P14" s="15">
        <v>3.29</v>
      </c>
      <c r="Q14" s="19">
        <v>0</v>
      </c>
      <c r="R14" s="15">
        <v>134.66</v>
      </c>
      <c r="S14" s="60">
        <v>785.18700000000001</v>
      </c>
      <c r="T14" s="39">
        <f t="shared" si="8"/>
        <v>80.441245773998602</v>
      </c>
      <c r="U14" s="20">
        <f t="shared" si="9"/>
        <v>4.6090000000000497</v>
      </c>
      <c r="V14" s="32">
        <f t="shared" si="0"/>
        <v>4.6090000000000497</v>
      </c>
      <c r="W14" s="32">
        <f t="shared" si="1"/>
        <v>0.398217600000004</v>
      </c>
      <c r="X14" s="35">
        <f t="shared" si="10"/>
        <v>45.4196342720209</v>
      </c>
      <c r="Y14" s="32">
        <f t="shared" si="11"/>
        <v>869.33900000000006</v>
      </c>
      <c r="Z14" s="32">
        <f t="shared" si="12"/>
        <v>785.18700000000001</v>
      </c>
      <c r="AA14" s="32">
        <f t="shared" si="13"/>
        <v>-190.91300000000001</v>
      </c>
    </row>
    <row r="15" spans="1:27" ht="30.75" customHeight="1">
      <c r="A15" s="18">
        <v>43101</v>
      </c>
      <c r="B15" s="44">
        <v>134.55000000000001</v>
      </c>
      <c r="C15" s="19">
        <v>782.53899999999999</v>
      </c>
      <c r="D15" s="39">
        <f t="shared" si="2"/>
        <v>80.169962094047705</v>
      </c>
      <c r="E15" s="19">
        <v>59.54</v>
      </c>
      <c r="F15" s="39">
        <f t="shared" si="3"/>
        <v>66.558604885137797</v>
      </c>
      <c r="G15" s="15">
        <v>8.7750000000000004</v>
      </c>
      <c r="H15" s="39">
        <f t="shared" si="4"/>
        <v>9.8094013749930102</v>
      </c>
      <c r="I15" s="56">
        <v>14.31</v>
      </c>
      <c r="J15" s="39">
        <f t="shared" si="5"/>
        <v>15.996869934604</v>
      </c>
      <c r="K15" s="19">
        <v>0</v>
      </c>
      <c r="L15" s="39">
        <f t="shared" si="6"/>
        <v>0</v>
      </c>
      <c r="M15" s="19">
        <f>5.64+1.19</f>
        <v>6.83</v>
      </c>
      <c r="N15" s="39">
        <f t="shared" si="7"/>
        <v>7.6351238052652199</v>
      </c>
      <c r="O15" s="20">
        <f t="shared" si="15"/>
        <v>89.454999999999998</v>
      </c>
      <c r="P15" s="15">
        <v>3.29</v>
      </c>
      <c r="Q15" s="19">
        <v>0</v>
      </c>
      <c r="R15" s="15">
        <v>130.94999999999999</v>
      </c>
      <c r="S15" s="60">
        <v>699.26099999999997</v>
      </c>
      <c r="T15" s="39">
        <f t="shared" si="8"/>
        <v>71.638254277225698</v>
      </c>
      <c r="U15" s="20">
        <f t="shared" si="9"/>
        <v>9.4669999999999792</v>
      </c>
      <c r="V15" s="32">
        <f t="shared" si="0"/>
        <v>9.4669999999999792</v>
      </c>
      <c r="W15" s="32">
        <f t="shared" si="1"/>
        <v>0.81794879999999903</v>
      </c>
      <c r="X15" s="35">
        <f t="shared" si="10"/>
        <v>46.706437197940701</v>
      </c>
      <c r="Y15" s="32">
        <f t="shared" si="11"/>
        <v>788.71600000000001</v>
      </c>
      <c r="Z15" s="32">
        <f t="shared" si="12"/>
        <v>699.26099999999997</v>
      </c>
      <c r="AA15" s="32">
        <f t="shared" si="13"/>
        <v>-276.839</v>
      </c>
    </row>
    <row r="16" spans="1:27" ht="30.75" customHeight="1">
      <c r="A16" s="18">
        <v>43132</v>
      </c>
      <c r="B16" s="44">
        <v>130.83000000000001</v>
      </c>
      <c r="C16" s="19">
        <v>696.62400000000002</v>
      </c>
      <c r="D16" s="39">
        <f t="shared" si="2"/>
        <v>71.368097530990696</v>
      </c>
      <c r="E16" s="19">
        <v>68.081000000000003</v>
      </c>
      <c r="F16" s="39">
        <f t="shared" si="3"/>
        <v>78.750968756868104</v>
      </c>
      <c r="G16" s="20">
        <v>5.0999999999999996</v>
      </c>
      <c r="H16" s="39">
        <f t="shared" si="4"/>
        <v>5.8992955547072903</v>
      </c>
      <c r="I16" s="56">
        <v>9.4700000000000006</v>
      </c>
      <c r="J16" s="39">
        <f t="shared" si="5"/>
        <v>10.9541821378584</v>
      </c>
      <c r="K16" s="19">
        <v>0</v>
      </c>
      <c r="L16" s="39">
        <f t="shared" si="6"/>
        <v>0</v>
      </c>
      <c r="M16" s="19">
        <v>3.8</v>
      </c>
      <c r="N16" s="39">
        <f t="shared" si="7"/>
        <v>4.3955535505662198</v>
      </c>
      <c r="O16" s="20">
        <f t="shared" si="15"/>
        <v>86.450999999999993</v>
      </c>
      <c r="P16" s="15">
        <v>2.19</v>
      </c>
      <c r="Q16" s="19">
        <v>0</v>
      </c>
      <c r="R16" s="15">
        <v>127.28</v>
      </c>
      <c r="S16" s="60">
        <v>620.61900000000003</v>
      </c>
      <c r="T16" s="39">
        <f t="shared" si="8"/>
        <v>63.581497797356803</v>
      </c>
      <c r="U16" s="20">
        <f t="shared" si="9"/>
        <v>12.635999999999999</v>
      </c>
      <c r="V16" s="32">
        <f t="shared" si="0"/>
        <v>12.635999999999999</v>
      </c>
      <c r="W16" s="32">
        <f t="shared" si="1"/>
        <v>1.0917504</v>
      </c>
      <c r="X16" s="35">
        <f t="shared" si="10"/>
        <v>48.053173719911499</v>
      </c>
      <c r="Y16" s="32">
        <f t="shared" si="11"/>
        <v>707.07</v>
      </c>
      <c r="Z16" s="32">
        <f t="shared" si="12"/>
        <v>620.61900000000003</v>
      </c>
      <c r="AA16" s="32">
        <f t="shared" si="13"/>
        <v>-355.48099999999999</v>
      </c>
    </row>
    <row r="17" spans="1:27" ht="30.75" customHeight="1">
      <c r="A17" s="18">
        <v>43160</v>
      </c>
      <c r="B17" s="44">
        <v>127.16</v>
      </c>
      <c r="C17" s="19">
        <v>618.13400000000001</v>
      </c>
      <c r="D17" s="39">
        <f t="shared" si="2"/>
        <v>63.326913226103898</v>
      </c>
      <c r="E17" s="19">
        <v>62.35</v>
      </c>
      <c r="F17" s="39">
        <f t="shared" si="3"/>
        <v>72.930800542740798</v>
      </c>
      <c r="G17" s="20">
        <v>9.8119999999999994</v>
      </c>
      <c r="H17" s="39">
        <f t="shared" si="4"/>
        <v>11.4770972722594</v>
      </c>
      <c r="I17" s="56">
        <v>13.21</v>
      </c>
      <c r="J17" s="39">
        <f t="shared" si="5"/>
        <v>15.4517381743321</v>
      </c>
      <c r="K17" s="19">
        <v>0</v>
      </c>
      <c r="L17" s="39">
        <f t="shared" si="6"/>
        <v>0</v>
      </c>
      <c r="M17" s="19">
        <v>0.12</v>
      </c>
      <c r="N17" s="39">
        <f t="shared" si="7"/>
        <v>0.14036401066766499</v>
      </c>
      <c r="O17" s="20">
        <f t="shared" si="15"/>
        <v>85.492000000000004</v>
      </c>
      <c r="P17" s="15">
        <v>3.7</v>
      </c>
      <c r="Q17" s="19">
        <v>0</v>
      </c>
      <c r="R17" s="15">
        <v>122.78</v>
      </c>
      <c r="S17" s="60">
        <v>532.33799999999997</v>
      </c>
      <c r="T17" s="39">
        <f t="shared" si="8"/>
        <v>54.537240036881499</v>
      </c>
      <c r="U17" s="20">
        <f t="shared" si="9"/>
        <v>3.3959999999999702</v>
      </c>
      <c r="V17" s="32">
        <f t="shared" si="0"/>
        <v>3.3959999999999702</v>
      </c>
      <c r="W17" s="32">
        <f t="shared" si="1"/>
        <v>0.29341439999999802</v>
      </c>
      <c r="X17" s="35">
        <f t="shared" si="10"/>
        <v>49.814366762260399</v>
      </c>
      <c r="Y17" s="32">
        <f t="shared" si="11"/>
        <v>617.83000000000004</v>
      </c>
      <c r="Z17" s="32">
        <f t="shared" si="12"/>
        <v>532.33799999999997</v>
      </c>
      <c r="AA17" s="32">
        <f t="shared" si="13"/>
        <v>-443.762</v>
      </c>
    </row>
    <row r="18" spans="1:27" ht="30.75" customHeight="1">
      <c r="A18" s="18">
        <v>43191</v>
      </c>
      <c r="B18" s="44">
        <v>122.6</v>
      </c>
      <c r="C18" s="19">
        <v>529.00199999999995</v>
      </c>
      <c r="D18" s="39">
        <f t="shared" si="2"/>
        <v>54.1954717754328</v>
      </c>
      <c r="E18" s="19">
        <v>60.4</v>
      </c>
      <c r="F18" s="39">
        <f t="shared" si="3"/>
        <v>74.0286799852923</v>
      </c>
      <c r="G18" s="20">
        <v>6.3</v>
      </c>
      <c r="H18" s="39">
        <f t="shared" si="4"/>
        <v>7.7215345017771799</v>
      </c>
      <c r="I18" s="56">
        <v>13.89</v>
      </c>
      <c r="J18" s="39">
        <f t="shared" si="5"/>
        <v>17.024145115823</v>
      </c>
      <c r="K18" s="19">
        <v>0</v>
      </c>
      <c r="L18" s="39">
        <f t="shared" si="6"/>
        <v>0</v>
      </c>
      <c r="M18" s="19">
        <v>1</v>
      </c>
      <c r="N18" s="39">
        <f t="shared" si="7"/>
        <v>1.2256403971074901</v>
      </c>
      <c r="O18" s="20">
        <f t="shared" si="15"/>
        <v>81.59</v>
      </c>
      <c r="P18" s="15">
        <v>4.5970000000000004</v>
      </c>
      <c r="Q18" s="19">
        <v>0</v>
      </c>
      <c r="R18" s="15">
        <v>117.9</v>
      </c>
      <c r="S18" s="60">
        <v>446.29</v>
      </c>
      <c r="T18" s="39">
        <f t="shared" si="8"/>
        <v>45.721749820715097</v>
      </c>
      <c r="U18" s="20">
        <f t="shared" si="9"/>
        <v>3.4750000000000698</v>
      </c>
      <c r="V18" s="32">
        <f t="shared" si="0"/>
        <v>3.4750000000000698</v>
      </c>
      <c r="W18" s="32">
        <f t="shared" si="1"/>
        <v>0.300240000000006</v>
      </c>
      <c r="X18" s="35">
        <f t="shared" si="10"/>
        <v>51.876233681682201</v>
      </c>
      <c r="Y18" s="32">
        <f t="shared" si="11"/>
        <v>527.88</v>
      </c>
      <c r="Z18" s="32">
        <f t="shared" si="12"/>
        <v>446.29</v>
      </c>
      <c r="AA18" s="32">
        <f t="shared" si="13"/>
        <v>-529.80999999999995</v>
      </c>
    </row>
    <row r="19" spans="1:27" ht="30.75" customHeight="1">
      <c r="A19" s="18">
        <v>43221</v>
      </c>
      <c r="B19" s="44">
        <v>117.75</v>
      </c>
      <c r="C19" s="19">
        <v>443.815</v>
      </c>
      <c r="D19" s="39">
        <f t="shared" si="2"/>
        <v>45.468189734658303</v>
      </c>
      <c r="E19" s="19">
        <v>60.8</v>
      </c>
      <c r="F19" s="39">
        <f t="shared" si="3"/>
        <v>80.8209709150848</v>
      </c>
      <c r="G19" s="20">
        <v>7.75</v>
      </c>
      <c r="H19" s="39">
        <f t="shared" si="4"/>
        <v>10.3020152071037</v>
      </c>
      <c r="I19" s="56">
        <v>2.62</v>
      </c>
      <c r="J19" s="39">
        <f t="shared" si="5"/>
        <v>3.4827457861434601</v>
      </c>
      <c r="K19" s="19">
        <v>0</v>
      </c>
      <c r="L19" s="39">
        <f t="shared" si="6"/>
        <v>0</v>
      </c>
      <c r="M19" s="19">
        <v>4.0579999999999998</v>
      </c>
      <c r="N19" s="39">
        <f t="shared" si="7"/>
        <v>5.3942680916679997</v>
      </c>
      <c r="O19" s="20">
        <f t="shared" si="15"/>
        <v>75.227999999999994</v>
      </c>
      <c r="P19" s="15">
        <v>4.87</v>
      </c>
      <c r="Q19" s="19">
        <v>0</v>
      </c>
      <c r="R19" s="15">
        <v>112.78</v>
      </c>
      <c r="S19" s="60">
        <v>365.923</v>
      </c>
      <c r="T19" s="39">
        <f t="shared" si="8"/>
        <v>37.488269644503603</v>
      </c>
      <c r="U19" s="20">
        <f t="shared" si="9"/>
        <v>2.2060000000000199</v>
      </c>
      <c r="V19" s="32">
        <f t="shared" si="0"/>
        <v>2.2060000000000199</v>
      </c>
      <c r="W19" s="32">
        <f t="shared" si="1"/>
        <v>0.190598400000001</v>
      </c>
      <c r="X19" s="35">
        <f t="shared" si="10"/>
        <v>54.231317175654702</v>
      </c>
      <c r="Y19" s="32">
        <f t="shared" si="11"/>
        <v>441.15100000000001</v>
      </c>
      <c r="Z19" s="32">
        <f t="shared" si="12"/>
        <v>365.923</v>
      </c>
      <c r="AA19" s="32">
        <f t="shared" si="13"/>
        <v>-610.17700000000002</v>
      </c>
    </row>
    <row r="20" spans="1:27">
      <c r="A20" s="46" t="s">
        <v>28</v>
      </c>
      <c r="B20" s="28"/>
      <c r="C20" s="47"/>
      <c r="D20" s="39"/>
      <c r="E20" s="47"/>
      <c r="F20" s="39"/>
      <c r="G20" s="48"/>
      <c r="H20" s="39"/>
      <c r="I20" s="50"/>
      <c r="J20" s="39"/>
      <c r="K20" s="47"/>
      <c r="L20" s="39"/>
      <c r="M20" s="47"/>
      <c r="N20" s="39"/>
      <c r="O20" s="48"/>
      <c r="P20" s="57"/>
      <c r="Q20" s="47"/>
      <c r="R20" s="57"/>
      <c r="S20" s="57"/>
      <c r="T20" s="39"/>
      <c r="U20" s="48"/>
      <c r="W20" s="32">
        <f>SUM(W8:W19)</f>
        <v>71.382159359999989</v>
      </c>
      <c r="Y20" s="32">
        <f t="shared" si="11"/>
        <v>0</v>
      </c>
      <c r="Z20" s="32">
        <f t="shared" si="12"/>
        <v>0</v>
      </c>
      <c r="AA20" s="32">
        <f t="shared" si="13"/>
        <v>-976.1</v>
      </c>
    </row>
    <row r="21" spans="1:27">
      <c r="A21" s="49"/>
      <c r="B21" s="28"/>
      <c r="C21" s="47"/>
      <c r="D21" s="47"/>
      <c r="E21" s="47"/>
      <c r="F21" s="48"/>
      <c r="G21" s="48"/>
      <c r="H21" s="50"/>
      <c r="I21" s="50"/>
      <c r="J21" s="47"/>
      <c r="K21" s="47"/>
      <c r="L21" s="47"/>
      <c r="M21" s="47"/>
      <c r="N21" s="48"/>
      <c r="O21" s="48"/>
      <c r="P21" s="57"/>
      <c r="Q21" s="47"/>
      <c r="R21" s="57"/>
      <c r="S21" s="57"/>
      <c r="T21" s="48"/>
      <c r="U21" s="48"/>
    </row>
    <row r="22" spans="1:27">
      <c r="A22" s="49"/>
      <c r="B22" s="28"/>
      <c r="C22" s="47"/>
      <c r="D22" s="47"/>
      <c r="E22" s="47"/>
      <c r="F22" s="48"/>
      <c r="G22" s="48"/>
      <c r="H22" s="50"/>
      <c r="I22" s="50"/>
      <c r="J22" s="47"/>
      <c r="K22" s="47"/>
      <c r="L22" s="47"/>
      <c r="M22" s="47"/>
      <c r="N22" s="48"/>
      <c r="O22" s="48"/>
      <c r="P22" s="57"/>
      <c r="Q22" s="47"/>
      <c r="R22" s="57"/>
      <c r="S22" s="57"/>
      <c r="T22" s="48"/>
      <c r="U22" s="48"/>
    </row>
    <row r="23" spans="1:27">
      <c r="A23" s="49"/>
      <c r="B23" s="28"/>
      <c r="C23" s="47"/>
      <c r="D23" s="47"/>
      <c r="E23" s="47"/>
      <c r="F23" s="48"/>
      <c r="G23" s="48"/>
      <c r="H23" s="50"/>
      <c r="I23" s="50"/>
      <c r="J23" s="47"/>
      <c r="K23" s="47"/>
      <c r="L23" s="47"/>
      <c r="M23" s="47"/>
      <c r="N23" s="48"/>
      <c r="O23" s="48"/>
      <c r="P23" s="57"/>
      <c r="Q23" s="47"/>
      <c r="R23" s="57"/>
      <c r="S23" s="57"/>
      <c r="T23" s="48"/>
      <c r="U23" s="48"/>
    </row>
    <row r="24" spans="1:27" ht="15.6">
      <c r="A24" s="49"/>
      <c r="B24" s="95" t="s">
        <v>29</v>
      </c>
      <c r="C24" s="95"/>
      <c r="D24" s="95"/>
      <c r="E24" s="95"/>
      <c r="F24" s="52"/>
      <c r="G24" s="52"/>
      <c r="H24" s="53"/>
      <c r="I24" s="53"/>
      <c r="J24" s="58"/>
      <c r="K24" s="58"/>
      <c r="L24" s="58"/>
      <c r="M24" s="58"/>
      <c r="N24" s="52"/>
      <c r="O24" s="52"/>
      <c r="P24" s="54"/>
      <c r="Q24" s="95" t="s">
        <v>30</v>
      </c>
      <c r="R24" s="95"/>
      <c r="S24" s="95"/>
      <c r="T24" s="52"/>
      <c r="U24" s="52"/>
    </row>
    <row r="25" spans="1:27">
      <c r="A25" s="49"/>
      <c r="B25" s="86" t="s">
        <v>31</v>
      </c>
      <c r="C25" s="86"/>
      <c r="D25" s="86"/>
      <c r="E25" s="86"/>
      <c r="F25" s="52"/>
      <c r="G25" s="52"/>
      <c r="H25" s="53"/>
      <c r="I25" s="53"/>
      <c r="J25" s="58"/>
      <c r="K25" s="58"/>
      <c r="L25" s="58"/>
      <c r="M25" s="58"/>
      <c r="N25" s="52"/>
      <c r="O25" s="52"/>
      <c r="P25" s="86" t="s">
        <v>32</v>
      </c>
      <c r="Q25" s="86"/>
      <c r="R25" s="86"/>
      <c r="S25" s="86"/>
      <c r="T25" s="86"/>
      <c r="U25" s="86"/>
    </row>
    <row r="26" spans="1:27">
      <c r="A26" s="49"/>
      <c r="B26" s="86" t="s">
        <v>33</v>
      </c>
      <c r="C26" s="86"/>
      <c r="D26" s="86"/>
      <c r="E26" s="86"/>
      <c r="F26" s="52"/>
      <c r="G26" s="52"/>
      <c r="H26" s="53"/>
      <c r="I26" s="53"/>
      <c r="J26" s="58"/>
      <c r="K26" s="58"/>
      <c r="L26" s="58"/>
      <c r="M26" s="58"/>
      <c r="N26" s="52"/>
      <c r="O26" s="52"/>
      <c r="P26" s="54"/>
      <c r="Q26" s="86" t="s">
        <v>33</v>
      </c>
      <c r="R26" s="86"/>
      <c r="S26" s="86"/>
      <c r="T26" s="52"/>
      <c r="U26" s="52"/>
    </row>
  </sheetData>
  <mergeCells count="22">
    <mergeCell ref="B26:E26"/>
    <mergeCell ref="Q26:S26"/>
    <mergeCell ref="A4:A6"/>
    <mergeCell ref="B4:B6"/>
    <mergeCell ref="C4:C6"/>
    <mergeCell ref="E5:E6"/>
    <mergeCell ref="G5:G6"/>
    <mergeCell ref="I5:I6"/>
    <mergeCell ref="K5:K6"/>
    <mergeCell ref="M5:M6"/>
    <mergeCell ref="O4:O6"/>
    <mergeCell ref="P4:P6"/>
    <mergeCell ref="Q4:Q6"/>
    <mergeCell ref="R4:R6"/>
    <mergeCell ref="S4:S6"/>
    <mergeCell ref="A1:U1"/>
    <mergeCell ref="E4:M4"/>
    <mergeCell ref="B24:E24"/>
    <mergeCell ref="Q24:S24"/>
    <mergeCell ref="B25:E25"/>
    <mergeCell ref="P25:U25"/>
    <mergeCell ref="U4:U6"/>
  </mergeCells>
  <printOptions horizontalCentered="1" verticalCentered="1"/>
  <pageMargins left="0.45" right="0.45" top="0.5" bottom="0.5" header="0.3" footer="0.3"/>
  <pageSetup scale="8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AD25"/>
  <sheetViews>
    <sheetView topLeftCell="F9" workbookViewId="0">
      <selection activeCell="A8" sqref="A8:W19"/>
    </sheetView>
  </sheetViews>
  <sheetFormatPr defaultColWidth="9" defaultRowHeight="14.4"/>
  <cols>
    <col min="4" max="5" width="9.44140625" customWidth="1"/>
    <col min="16" max="16" width="10.33203125" customWidth="1"/>
    <col min="17" max="18" width="10" customWidth="1"/>
    <col min="22" max="23" width="9.5546875" customWidth="1"/>
    <col min="26" max="26" width="11.88671875" customWidth="1"/>
    <col min="27" max="27" width="9.44140625" customWidth="1"/>
  </cols>
  <sheetData>
    <row r="1" spans="1:30" ht="15.6">
      <c r="A1" s="81" t="s">
        <v>56</v>
      </c>
      <c r="B1" s="82"/>
      <c r="C1" s="81"/>
      <c r="D1" s="81"/>
      <c r="E1" s="81"/>
      <c r="F1" s="81"/>
      <c r="G1" s="81"/>
      <c r="H1" s="81"/>
      <c r="I1" s="81"/>
      <c r="J1" s="82"/>
      <c r="K1" s="82"/>
      <c r="L1" s="82"/>
      <c r="M1" s="82"/>
      <c r="N1" s="82"/>
      <c r="O1" s="82"/>
      <c r="P1" s="82"/>
      <c r="Q1" s="81"/>
      <c r="R1" s="81"/>
      <c r="S1" s="82"/>
      <c r="T1" s="82"/>
      <c r="U1" s="82"/>
      <c r="V1" s="82"/>
      <c r="W1" s="82"/>
    </row>
    <row r="2" spans="1:30" ht="15.6">
      <c r="A2" s="3" t="s">
        <v>1</v>
      </c>
      <c r="B2" s="80" t="s">
        <v>2</v>
      </c>
      <c r="C2" s="4"/>
      <c r="D2" s="4"/>
      <c r="E2" s="4"/>
      <c r="F2" s="4"/>
      <c r="G2" s="4"/>
      <c r="H2" s="3"/>
      <c r="I2" s="3"/>
      <c r="J2" s="5"/>
      <c r="K2" s="5"/>
      <c r="L2" s="5"/>
      <c r="M2" s="5"/>
      <c r="N2" s="5"/>
      <c r="O2" s="5"/>
      <c r="P2" s="5"/>
      <c r="Q2" s="3"/>
      <c r="R2" s="3"/>
      <c r="S2" s="5"/>
      <c r="T2" s="5"/>
      <c r="U2" s="5"/>
      <c r="V2" s="5"/>
      <c r="W2" s="5"/>
    </row>
    <row r="3" spans="1:30" ht="15.6">
      <c r="A3" s="3" t="s">
        <v>3</v>
      </c>
      <c r="B3" s="80" t="s">
        <v>4</v>
      </c>
      <c r="C3" s="6"/>
      <c r="D3" s="6"/>
      <c r="E3" s="6"/>
      <c r="F3" s="6"/>
      <c r="G3" s="6"/>
      <c r="H3" s="6"/>
      <c r="I3" s="6"/>
      <c r="J3" s="7"/>
      <c r="K3" s="7"/>
      <c r="L3" s="7"/>
      <c r="M3" s="7"/>
      <c r="N3" s="7"/>
      <c r="O3" s="7"/>
      <c r="P3" s="7"/>
      <c r="Q3" s="6"/>
      <c r="R3" s="6"/>
      <c r="S3" s="7"/>
      <c r="T3" s="7"/>
      <c r="U3" s="7"/>
      <c r="V3" s="7"/>
      <c r="W3" s="7"/>
    </row>
    <row r="4" spans="1:30">
      <c r="A4" s="88" t="s">
        <v>5</v>
      </c>
      <c r="B4" s="89" t="s">
        <v>6</v>
      </c>
      <c r="C4" s="87" t="s">
        <v>7</v>
      </c>
      <c r="D4" s="43"/>
      <c r="E4" s="83" t="s">
        <v>8</v>
      </c>
      <c r="F4" s="84"/>
      <c r="G4" s="84"/>
      <c r="H4" s="84"/>
      <c r="I4" s="84"/>
      <c r="J4" s="84"/>
      <c r="K4" s="84"/>
      <c r="L4" s="84"/>
      <c r="M4" s="84"/>
      <c r="N4" s="85"/>
      <c r="O4" s="92" t="s">
        <v>9</v>
      </c>
      <c r="P4" s="92" t="s">
        <v>10</v>
      </c>
      <c r="Q4" s="10"/>
      <c r="R4" s="92" t="s">
        <v>11</v>
      </c>
      <c r="S4" s="27"/>
      <c r="T4" s="89" t="s">
        <v>12</v>
      </c>
      <c r="U4" s="87" t="s">
        <v>13</v>
      </c>
      <c r="V4" s="9"/>
      <c r="W4" s="87" t="s">
        <v>14</v>
      </c>
    </row>
    <row r="5" spans="1:30">
      <c r="A5" s="88"/>
      <c r="B5" s="90"/>
      <c r="C5" s="87"/>
      <c r="D5" s="27"/>
      <c r="E5" s="89" t="s">
        <v>15</v>
      </c>
      <c r="F5" s="27"/>
      <c r="G5" s="89" t="s">
        <v>16</v>
      </c>
      <c r="H5" s="27"/>
      <c r="I5" s="89" t="s">
        <v>17</v>
      </c>
      <c r="J5" s="27"/>
      <c r="K5" s="27"/>
      <c r="L5" s="27"/>
      <c r="M5" s="92" t="s">
        <v>18</v>
      </c>
      <c r="N5" s="92" t="s">
        <v>19</v>
      </c>
      <c r="O5" s="92"/>
      <c r="P5" s="92"/>
      <c r="Q5" s="10"/>
      <c r="R5" s="92"/>
      <c r="S5" s="12"/>
      <c r="T5" s="90"/>
      <c r="U5" s="87"/>
      <c r="V5" s="9"/>
      <c r="W5" s="87"/>
    </row>
    <row r="6" spans="1:30" ht="94.5" customHeight="1">
      <c r="A6" s="88"/>
      <c r="B6" s="91"/>
      <c r="C6" s="87"/>
      <c r="D6" s="13"/>
      <c r="E6" s="91"/>
      <c r="F6" s="13"/>
      <c r="G6" s="91"/>
      <c r="H6" s="13"/>
      <c r="I6" s="91"/>
      <c r="J6" s="13"/>
      <c r="K6" s="13"/>
      <c r="L6" s="13"/>
      <c r="M6" s="92"/>
      <c r="N6" s="92"/>
      <c r="O6" s="92"/>
      <c r="P6" s="92"/>
      <c r="Q6" s="10"/>
      <c r="R6" s="92"/>
      <c r="S6" s="13"/>
      <c r="T6" s="91"/>
      <c r="U6" s="87"/>
      <c r="V6" s="9"/>
      <c r="W6" s="87"/>
      <c r="Y6" s="29" t="s">
        <v>20</v>
      </c>
      <c r="AB6" t="s">
        <v>40</v>
      </c>
    </row>
    <row r="7" spans="1:30">
      <c r="A7" s="15">
        <v>1</v>
      </c>
      <c r="B7" s="17">
        <v>2</v>
      </c>
      <c r="C7" s="16">
        <v>3</v>
      </c>
      <c r="D7" s="15"/>
      <c r="E7" s="15">
        <v>4</v>
      </c>
      <c r="F7" s="15"/>
      <c r="G7" s="15">
        <v>5</v>
      </c>
      <c r="H7" s="15"/>
      <c r="I7" s="15">
        <v>6</v>
      </c>
      <c r="J7" s="17"/>
      <c r="K7" s="17"/>
      <c r="L7" s="17"/>
      <c r="M7" s="17">
        <v>7</v>
      </c>
      <c r="N7" s="17">
        <v>8</v>
      </c>
      <c r="O7" s="17">
        <v>9</v>
      </c>
      <c r="P7" s="17">
        <v>10</v>
      </c>
      <c r="Q7" s="15"/>
      <c r="R7" s="15">
        <v>11</v>
      </c>
      <c r="S7" s="59"/>
      <c r="T7" s="59">
        <v>12</v>
      </c>
      <c r="U7" s="17">
        <v>13</v>
      </c>
      <c r="V7" s="17"/>
      <c r="W7" s="17">
        <v>14</v>
      </c>
    </row>
    <row r="8" spans="1:30" ht="30.75" customHeight="1">
      <c r="A8" s="18">
        <v>42522</v>
      </c>
      <c r="B8" s="44">
        <v>110.53</v>
      </c>
      <c r="C8" s="19">
        <v>333.48500000000001</v>
      </c>
      <c r="D8" s="39">
        <f>(C8/976.1)*100</f>
        <v>34.165044565106001</v>
      </c>
      <c r="E8" s="19">
        <v>46.543999999999997</v>
      </c>
      <c r="F8" s="39">
        <f>(E8/O8)*100</f>
        <v>77.574626243770695</v>
      </c>
      <c r="G8" s="61">
        <v>13.455</v>
      </c>
      <c r="H8" s="39">
        <f>(G8/O8)*100</f>
        <v>22.425373756229298</v>
      </c>
      <c r="I8" s="56">
        <v>0</v>
      </c>
      <c r="J8" s="39">
        <f>(I8/O8)*100</f>
        <v>0</v>
      </c>
      <c r="K8" s="20">
        <f>(I8/333.485)*100</f>
        <v>0</v>
      </c>
      <c r="L8" s="39">
        <f>(K8/O8)*100</f>
        <v>0</v>
      </c>
      <c r="M8" s="19">
        <v>0</v>
      </c>
      <c r="N8" s="96" t="s">
        <v>57</v>
      </c>
      <c r="O8" s="63">
        <f>E8+G8+I8+M8+0</f>
        <v>59.999000000000002</v>
      </c>
      <c r="P8" s="15">
        <v>2.4</v>
      </c>
      <c r="Q8" s="20">
        <f t="shared" ref="Q8:Q19" si="0">(P8/333.485)*100</f>
        <v>0.71967254899020905</v>
      </c>
      <c r="R8" s="19">
        <v>0</v>
      </c>
      <c r="S8" s="20">
        <f>(R8/333.485)*100</f>
        <v>0</v>
      </c>
      <c r="T8" s="64">
        <v>107.64</v>
      </c>
      <c r="U8" s="65">
        <v>293.95800000000003</v>
      </c>
      <c r="V8" s="39">
        <f>(U8/976.1)*100</f>
        <v>30.115561930130099</v>
      </c>
      <c r="W8" s="20">
        <f>IF(O8+P8+R8+(U8-C8)&gt;0,O8+P8+R8+(U8-C8),0)</f>
        <v>22.872</v>
      </c>
      <c r="X8" s="32">
        <f>(O8+P8+R8)+(U8-C8)</f>
        <v>22.872</v>
      </c>
      <c r="Y8" s="35">
        <f>(15000000/(2725*0.9*U8))</f>
        <v>20.8064007479651</v>
      </c>
      <c r="Z8" s="32">
        <f>C8+W8-P8</f>
        <v>353.95699999999999</v>
      </c>
      <c r="AA8" s="32">
        <f>Z8-O8-R8</f>
        <v>293.95800000000003</v>
      </c>
      <c r="AB8" s="32">
        <f>Z8-O8-976.1-R8</f>
        <v>-682.14200000000005</v>
      </c>
    </row>
    <row r="9" spans="1:30" ht="30.75" customHeight="1">
      <c r="A9" s="18">
        <v>42552</v>
      </c>
      <c r="B9" s="44">
        <v>107.68</v>
      </c>
      <c r="C9" s="19">
        <v>294.48399999999998</v>
      </c>
      <c r="D9" s="39">
        <f t="shared" ref="D9:D19" si="1">(C9/976.1)*100</f>
        <v>30.169449851449599</v>
      </c>
      <c r="E9" s="19">
        <v>2.109</v>
      </c>
      <c r="F9" s="39">
        <f t="shared" ref="F9:F19" si="2">(E9/O9)*100</f>
        <v>23.216644649934</v>
      </c>
      <c r="G9" s="61">
        <v>6.9749999999999996</v>
      </c>
      <c r="H9" s="39">
        <f t="shared" ref="H9:H19" si="3">(G9/O9)*100</f>
        <v>76.783355350066003</v>
      </c>
      <c r="I9" s="56">
        <v>0</v>
      </c>
      <c r="J9" s="39">
        <f t="shared" ref="J9:J19" si="4">(I9/O9)*100</f>
        <v>0</v>
      </c>
      <c r="K9" s="20">
        <f t="shared" ref="K9:K19" si="5">(I9/333.485)*100</f>
        <v>0</v>
      </c>
      <c r="L9" s="39">
        <f t="shared" ref="L9:L19" si="6">(K9/O9)*100</f>
        <v>0</v>
      </c>
      <c r="M9" s="19">
        <v>0</v>
      </c>
      <c r="N9" s="97"/>
      <c r="O9" s="63">
        <f>E9+G9+I9+M9+N9</f>
        <v>9.0839999999999996</v>
      </c>
      <c r="P9" s="15">
        <v>0.68500000000000005</v>
      </c>
      <c r="Q9" s="20">
        <f t="shared" si="0"/>
        <v>0.20540654002428901</v>
      </c>
      <c r="R9" s="19">
        <v>0</v>
      </c>
      <c r="S9" s="20">
        <f t="shared" ref="S9:S19" si="7">(R9/333.485)*100</f>
        <v>0</v>
      </c>
      <c r="T9" s="64">
        <v>132.87</v>
      </c>
      <c r="U9" s="65">
        <v>742.64499999999998</v>
      </c>
      <c r="V9" s="39">
        <f t="shared" ref="V9:V20" si="8">(U9/976.1)*100</f>
        <v>76.082880852371702</v>
      </c>
      <c r="W9" s="20">
        <f t="shared" ref="W9:W19" si="9">IF(O9+P9+R9+(U9-C9)&gt;0,O9+P9+R9+(U9-C9),0)</f>
        <v>457.93</v>
      </c>
      <c r="X9" s="32">
        <f>(O9+P9+R9)+(U9-C9)</f>
        <v>457.93</v>
      </c>
      <c r="Y9" s="35">
        <f>(15000000/(2725*0.9*U9))</f>
        <v>8.2357087855844107</v>
      </c>
      <c r="Z9" s="32">
        <f t="shared" ref="Z9:Z20" si="10">C9+W9-P9</f>
        <v>751.72900000000004</v>
      </c>
      <c r="AA9" s="32">
        <f t="shared" ref="AA9:AA20" si="11">Z9-O9-R9</f>
        <v>742.64499999999998</v>
      </c>
      <c r="AB9" s="32">
        <f t="shared" ref="AB9:AB20" si="12">Z9-O9-976.1-R9</f>
        <v>-233.45500000000001</v>
      </c>
    </row>
    <row r="10" spans="1:30" ht="30.75" customHeight="1">
      <c r="A10" s="18">
        <v>42583</v>
      </c>
      <c r="B10" s="44">
        <v>134.08000000000001</v>
      </c>
      <c r="C10" s="19">
        <v>771.22699999999998</v>
      </c>
      <c r="D10" s="39">
        <f t="shared" si="1"/>
        <v>79.011064440118801</v>
      </c>
      <c r="E10" s="19">
        <v>33.034999999999997</v>
      </c>
      <c r="F10" s="39">
        <f t="shared" si="2"/>
        <v>12.9823430702544</v>
      </c>
      <c r="G10" s="61">
        <v>7.202</v>
      </c>
      <c r="H10" s="39">
        <f t="shared" si="3"/>
        <v>2.8302961947017402</v>
      </c>
      <c r="I10" s="56">
        <v>0</v>
      </c>
      <c r="J10" s="39">
        <f t="shared" si="4"/>
        <v>0</v>
      </c>
      <c r="K10" s="20">
        <f t="shared" si="5"/>
        <v>0</v>
      </c>
      <c r="L10" s="39">
        <f t="shared" si="6"/>
        <v>0</v>
      </c>
      <c r="M10" s="19">
        <v>214.22399999999999</v>
      </c>
      <c r="N10" s="97"/>
      <c r="O10" s="63">
        <f t="shared" ref="O10:O12" si="13">E10+G10+I10+M10+N10</f>
        <v>254.46100000000001</v>
      </c>
      <c r="P10" s="15">
        <v>0.88700000000000001</v>
      </c>
      <c r="Q10" s="20">
        <f t="shared" si="0"/>
        <v>0.265978979564298</v>
      </c>
      <c r="R10" s="19">
        <v>0</v>
      </c>
      <c r="S10" s="20">
        <f t="shared" si="7"/>
        <v>0</v>
      </c>
      <c r="T10" s="64">
        <v>139.38</v>
      </c>
      <c r="U10" s="65">
        <v>903.07</v>
      </c>
      <c r="V10" s="39">
        <f t="shared" si="8"/>
        <v>92.518184612232403</v>
      </c>
      <c r="W10" s="20">
        <f t="shared" si="9"/>
        <v>387.19099999999997</v>
      </c>
      <c r="X10" s="32">
        <f t="shared" ref="X10:X19" si="14">(O10+P10+R10)+(U10-C10)</f>
        <v>387.19099999999997</v>
      </c>
      <c r="Y10" s="35">
        <f>(15000000/(2725*0.9*U10))</f>
        <v>6.7726842338582101</v>
      </c>
      <c r="Z10" s="32">
        <f t="shared" si="10"/>
        <v>1157.5309999999999</v>
      </c>
      <c r="AA10" s="32">
        <f t="shared" si="11"/>
        <v>903.07</v>
      </c>
      <c r="AB10" s="32">
        <f t="shared" si="12"/>
        <v>-73.030000000000101</v>
      </c>
      <c r="AD10" t="s">
        <v>58</v>
      </c>
    </row>
    <row r="11" spans="1:30" ht="30.75" customHeight="1">
      <c r="A11" s="18">
        <v>42614</v>
      </c>
      <c r="B11" s="44">
        <v>139.5</v>
      </c>
      <c r="C11" s="19">
        <v>906.21900000000005</v>
      </c>
      <c r="D11" s="39">
        <f t="shared" si="1"/>
        <v>92.840795000512202</v>
      </c>
      <c r="E11" s="19">
        <v>25.686</v>
      </c>
      <c r="F11" s="39">
        <f t="shared" si="2"/>
        <v>24.414493194433899</v>
      </c>
      <c r="G11" s="61">
        <v>11.05</v>
      </c>
      <c r="H11" s="39">
        <f t="shared" si="3"/>
        <v>10.5030035738727</v>
      </c>
      <c r="I11" s="56">
        <v>0</v>
      </c>
      <c r="J11" s="39">
        <f t="shared" si="4"/>
        <v>0</v>
      </c>
      <c r="K11" s="20">
        <f t="shared" si="5"/>
        <v>0</v>
      </c>
      <c r="L11" s="39">
        <f t="shared" si="6"/>
        <v>0</v>
      </c>
      <c r="M11" s="19">
        <v>68.471999999999994</v>
      </c>
      <c r="N11" s="97"/>
      <c r="O11" s="63">
        <f t="shared" si="13"/>
        <v>105.208</v>
      </c>
      <c r="P11" s="15">
        <v>1.0740000000000001</v>
      </c>
      <c r="Q11" s="20">
        <f t="shared" si="0"/>
        <v>0.32205346567311899</v>
      </c>
      <c r="R11" s="19">
        <v>0</v>
      </c>
      <c r="S11" s="20">
        <f t="shared" si="7"/>
        <v>0</v>
      </c>
      <c r="T11" s="64">
        <v>141.96</v>
      </c>
      <c r="U11" s="65">
        <v>974.92600000000004</v>
      </c>
      <c r="V11" s="39">
        <f t="shared" si="8"/>
        <v>99.879725437967394</v>
      </c>
      <c r="W11" s="20">
        <f t="shared" si="9"/>
        <v>174.989</v>
      </c>
      <c r="X11" s="32">
        <f t="shared" si="14"/>
        <v>174.989</v>
      </c>
      <c r="Y11" s="35">
        <f>(15000000/(2725*0.9*U11))</f>
        <v>6.27350993928804</v>
      </c>
      <c r="Z11" s="32">
        <f t="shared" si="10"/>
        <v>1080.134</v>
      </c>
      <c r="AA11" s="32">
        <f t="shared" si="11"/>
        <v>974.92600000000004</v>
      </c>
      <c r="AB11" s="32">
        <f t="shared" si="12"/>
        <v>-1.1739999999999799</v>
      </c>
    </row>
    <row r="12" spans="1:30" ht="30.75" customHeight="1">
      <c r="A12" s="18">
        <v>42644</v>
      </c>
      <c r="B12" s="44">
        <v>141.97</v>
      </c>
      <c r="C12" s="19">
        <v>975.21900000000005</v>
      </c>
      <c r="D12" s="39">
        <f t="shared" si="1"/>
        <v>99.909742854215807</v>
      </c>
      <c r="E12" s="19">
        <v>45.509</v>
      </c>
      <c r="F12" s="39">
        <f t="shared" si="2"/>
        <v>71.136711789164394</v>
      </c>
      <c r="G12" s="61">
        <v>12.991</v>
      </c>
      <c r="H12" s="39">
        <f t="shared" si="3"/>
        <v>20.306687091631002</v>
      </c>
      <c r="I12" s="56">
        <v>0</v>
      </c>
      <c r="J12" s="39">
        <f t="shared" si="4"/>
        <v>0</v>
      </c>
      <c r="K12" s="20">
        <f t="shared" si="5"/>
        <v>0</v>
      </c>
      <c r="L12" s="39">
        <f t="shared" si="6"/>
        <v>0</v>
      </c>
      <c r="M12" s="19">
        <v>5.4740000000000002</v>
      </c>
      <c r="N12" s="97"/>
      <c r="O12" s="63">
        <f t="shared" si="13"/>
        <v>63.973999999999997</v>
      </c>
      <c r="P12" s="15">
        <v>2.2240000000000002</v>
      </c>
      <c r="Q12" s="20">
        <f t="shared" si="0"/>
        <v>0.66689656206426096</v>
      </c>
      <c r="R12" s="19">
        <v>0</v>
      </c>
      <c r="S12" s="20">
        <f t="shared" si="7"/>
        <v>0</v>
      </c>
      <c r="T12" s="64">
        <v>140.51</v>
      </c>
      <c r="U12" s="65">
        <v>933.29899999999998</v>
      </c>
      <c r="V12" s="39">
        <f t="shared" si="8"/>
        <v>95.615100911791799</v>
      </c>
      <c r="W12" s="20">
        <f t="shared" si="9"/>
        <v>24.277999999999899</v>
      </c>
      <c r="X12" s="32">
        <f t="shared" si="14"/>
        <v>24.277999999999899</v>
      </c>
      <c r="Y12" s="35">
        <f t="shared" ref="Y12:Y19" si="15">(15000000/(2725*0.9*U12))</f>
        <v>6.5533210161698801</v>
      </c>
      <c r="Z12" s="32">
        <f t="shared" si="10"/>
        <v>997.27300000000002</v>
      </c>
      <c r="AA12" s="32">
        <f t="shared" si="11"/>
        <v>933.29899999999998</v>
      </c>
      <c r="AB12" s="32">
        <f t="shared" si="12"/>
        <v>-42.801000000000201</v>
      </c>
    </row>
    <row r="13" spans="1:30" ht="30.75" customHeight="1">
      <c r="A13" s="18">
        <v>42675</v>
      </c>
      <c r="B13" s="44">
        <v>140.44</v>
      </c>
      <c r="C13" s="19">
        <v>931.37900000000002</v>
      </c>
      <c r="D13" s="39">
        <f t="shared" si="1"/>
        <v>95.418399754123598</v>
      </c>
      <c r="E13" s="19">
        <v>52.640999999999998</v>
      </c>
      <c r="F13" s="39">
        <f t="shared" si="2"/>
        <v>63.764994603578003</v>
      </c>
      <c r="G13" s="61">
        <v>19.131</v>
      </c>
      <c r="H13" s="39">
        <f t="shared" si="3"/>
        <v>23.1737260265012</v>
      </c>
      <c r="I13" s="56">
        <v>0</v>
      </c>
      <c r="J13" s="39">
        <f t="shared" si="4"/>
        <v>0</v>
      </c>
      <c r="K13" s="20">
        <f t="shared" si="5"/>
        <v>0</v>
      </c>
      <c r="L13" s="39">
        <f t="shared" si="6"/>
        <v>0</v>
      </c>
      <c r="M13" s="19">
        <f>7.167+3.6157</f>
        <v>10.7827</v>
      </c>
      <c r="N13" s="97"/>
      <c r="O13" s="20">
        <f t="shared" ref="O13:O19" si="16">E13+G13+I13+M13+N13</f>
        <v>82.554699999999997</v>
      </c>
      <c r="P13" s="15">
        <v>2.2120000000000002</v>
      </c>
      <c r="Q13" s="20">
        <f t="shared" si="0"/>
        <v>0.66329819931931</v>
      </c>
      <c r="R13" s="19">
        <v>0</v>
      </c>
      <c r="S13" s="20">
        <f t="shared" si="7"/>
        <v>0</v>
      </c>
      <c r="T13" s="15">
        <v>137.66999999999999</v>
      </c>
      <c r="U13" s="60">
        <v>859.19399999999996</v>
      </c>
      <c r="V13" s="39">
        <f t="shared" si="8"/>
        <v>88.023153365433899</v>
      </c>
      <c r="W13" s="20">
        <f t="shared" si="9"/>
        <v>12.5816999999999</v>
      </c>
      <c r="X13" s="32">
        <f t="shared" si="14"/>
        <v>12.5816999999999</v>
      </c>
      <c r="Y13" s="35">
        <f t="shared" si="15"/>
        <v>7.1185412736475504</v>
      </c>
      <c r="Z13" s="32">
        <f t="shared" si="10"/>
        <v>941.74869999999999</v>
      </c>
      <c r="AA13" s="32">
        <f t="shared" si="11"/>
        <v>859.19399999999996</v>
      </c>
      <c r="AB13" s="32">
        <f t="shared" si="12"/>
        <v>-116.90600000000001</v>
      </c>
    </row>
    <row r="14" spans="1:30" ht="30.75" customHeight="1">
      <c r="A14" s="18">
        <v>42705</v>
      </c>
      <c r="B14" s="44">
        <v>137.57</v>
      </c>
      <c r="C14" s="19">
        <v>856.67399999999998</v>
      </c>
      <c r="D14" s="39">
        <f t="shared" si="1"/>
        <v>87.764983095994296</v>
      </c>
      <c r="E14" s="19">
        <v>62.061</v>
      </c>
      <c r="F14" s="39">
        <f t="shared" si="2"/>
        <v>80.563127969467999</v>
      </c>
      <c r="G14" s="61">
        <v>9.2750000000000004</v>
      </c>
      <c r="H14" s="39">
        <f t="shared" si="3"/>
        <v>12.0401381208298</v>
      </c>
      <c r="I14" s="56">
        <v>5.6980000000000004</v>
      </c>
      <c r="J14" s="39">
        <f t="shared" si="4"/>
        <v>7.3967339097022098</v>
      </c>
      <c r="K14" s="20">
        <f t="shared" si="5"/>
        <v>1.70862257672759</v>
      </c>
      <c r="L14" s="39">
        <f t="shared" si="6"/>
        <v>2.2180109779157098</v>
      </c>
      <c r="M14" s="19">
        <v>0</v>
      </c>
      <c r="N14" s="97"/>
      <c r="O14" s="20">
        <f t="shared" si="16"/>
        <v>77.034000000000006</v>
      </c>
      <c r="P14" s="15">
        <v>2.0270000000000001</v>
      </c>
      <c r="Q14" s="20">
        <f t="shared" si="0"/>
        <v>0.60782344033464797</v>
      </c>
      <c r="R14" s="19">
        <v>0</v>
      </c>
      <c r="S14" s="20">
        <f t="shared" si="7"/>
        <v>0</v>
      </c>
      <c r="T14" s="15">
        <v>134.44999999999999</v>
      </c>
      <c r="U14" s="60">
        <v>780.13300000000004</v>
      </c>
      <c r="V14" s="39">
        <f t="shared" si="8"/>
        <v>79.923470955844707</v>
      </c>
      <c r="W14" s="20">
        <f t="shared" si="9"/>
        <v>2.5200000000000502</v>
      </c>
      <c r="X14" s="32">
        <f t="shared" si="14"/>
        <v>2.5200000000000502</v>
      </c>
      <c r="Y14" s="35">
        <f t="shared" si="15"/>
        <v>7.8399554320485603</v>
      </c>
      <c r="Z14" s="32">
        <f t="shared" si="10"/>
        <v>857.16700000000003</v>
      </c>
      <c r="AA14" s="32">
        <f t="shared" si="11"/>
        <v>780.13300000000004</v>
      </c>
      <c r="AB14" s="32">
        <f t="shared" si="12"/>
        <v>-195.96700000000001</v>
      </c>
    </row>
    <row r="15" spans="1:30" ht="30.75" customHeight="1">
      <c r="A15" s="18">
        <v>42736</v>
      </c>
      <c r="B15" s="44">
        <v>134.33000000000001</v>
      </c>
      <c r="C15" s="19">
        <v>777.24400000000003</v>
      </c>
      <c r="D15" s="39">
        <f t="shared" si="1"/>
        <v>79.627497182665707</v>
      </c>
      <c r="E15" s="19">
        <v>59.762999999999998</v>
      </c>
      <c r="F15" s="39">
        <f t="shared" si="2"/>
        <v>76.070160253554505</v>
      </c>
      <c r="G15" s="61">
        <v>4.6500000000000004</v>
      </c>
      <c r="H15" s="39">
        <f t="shared" si="3"/>
        <v>5.9188167457963701</v>
      </c>
      <c r="I15" s="56">
        <v>14.15</v>
      </c>
      <c r="J15" s="39">
        <f t="shared" si="4"/>
        <v>18.0110230006492</v>
      </c>
      <c r="K15" s="20">
        <f t="shared" si="5"/>
        <v>4.2430694034214396</v>
      </c>
      <c r="L15" s="39">
        <f t="shared" si="6"/>
        <v>5.4008495136660297</v>
      </c>
      <c r="M15" s="19">
        <v>0</v>
      </c>
      <c r="N15" s="97"/>
      <c r="O15" s="20">
        <f t="shared" si="16"/>
        <v>78.563000000000002</v>
      </c>
      <c r="P15" s="15">
        <v>2.968</v>
      </c>
      <c r="Q15" s="20">
        <f t="shared" si="0"/>
        <v>0.88999505225122599</v>
      </c>
      <c r="R15" s="19">
        <v>0</v>
      </c>
      <c r="S15" s="20">
        <f t="shared" si="7"/>
        <v>0</v>
      </c>
      <c r="T15" s="15">
        <v>130.91999999999999</v>
      </c>
      <c r="U15" s="60">
        <v>698.60199999999998</v>
      </c>
      <c r="V15" s="39">
        <f t="shared" si="8"/>
        <v>71.570740702796797</v>
      </c>
      <c r="W15" s="20">
        <f t="shared" si="9"/>
        <v>2.8889999999999501</v>
      </c>
      <c r="X15" s="32">
        <f t="shared" si="14"/>
        <v>2.8889999999999501</v>
      </c>
      <c r="Y15" s="35">
        <f t="shared" si="15"/>
        <v>8.7549247655608404</v>
      </c>
      <c r="Z15" s="32">
        <f t="shared" si="10"/>
        <v>777.16499999999996</v>
      </c>
      <c r="AA15" s="32">
        <f t="shared" si="11"/>
        <v>698.60199999999998</v>
      </c>
      <c r="AB15" s="32">
        <f t="shared" si="12"/>
        <v>-277.49799999999999</v>
      </c>
    </row>
    <row r="16" spans="1:30" ht="30.75" customHeight="1">
      <c r="A16" s="18">
        <v>42767</v>
      </c>
      <c r="B16" s="44">
        <v>130.81</v>
      </c>
      <c r="C16" s="19">
        <v>696.18499999999995</v>
      </c>
      <c r="D16" s="39">
        <f t="shared" si="1"/>
        <v>71.323122630878004</v>
      </c>
      <c r="E16" s="19">
        <v>56.965000000000003</v>
      </c>
      <c r="F16" s="39">
        <f t="shared" si="2"/>
        <v>78.5096061082169</v>
      </c>
      <c r="G16" s="62">
        <v>5.65</v>
      </c>
      <c r="H16" s="39">
        <f t="shared" si="3"/>
        <v>7.7868739491165702</v>
      </c>
      <c r="I16" s="56">
        <v>9.9429999999999996</v>
      </c>
      <c r="J16" s="39">
        <f t="shared" si="4"/>
        <v>13.703519942666601</v>
      </c>
      <c r="K16" s="20">
        <f t="shared" si="5"/>
        <v>2.9815433977540202</v>
      </c>
      <c r="L16" s="39">
        <f t="shared" si="6"/>
        <v>4.1091863030320797</v>
      </c>
      <c r="M16" s="19">
        <v>0</v>
      </c>
      <c r="N16" s="97"/>
      <c r="O16" s="20">
        <f t="shared" si="16"/>
        <v>72.558000000000007</v>
      </c>
      <c r="P16" s="15">
        <v>2.5259999999999998</v>
      </c>
      <c r="Q16" s="20">
        <f t="shared" si="0"/>
        <v>0.75745535781219497</v>
      </c>
      <c r="R16" s="19">
        <v>0</v>
      </c>
      <c r="S16" s="20">
        <f t="shared" si="7"/>
        <v>0</v>
      </c>
      <c r="T16" s="15">
        <v>127.42</v>
      </c>
      <c r="U16" s="60">
        <v>623.51800000000003</v>
      </c>
      <c r="V16" s="39">
        <f t="shared" si="8"/>
        <v>63.878496055732001</v>
      </c>
      <c r="W16" s="20">
        <f t="shared" si="9"/>
        <v>2.41700000000009</v>
      </c>
      <c r="X16" s="32">
        <f t="shared" si="14"/>
        <v>2.41700000000009</v>
      </c>
      <c r="Y16" s="35">
        <f t="shared" si="15"/>
        <v>9.8091922784431809</v>
      </c>
      <c r="Z16" s="32">
        <f t="shared" si="10"/>
        <v>696.07600000000002</v>
      </c>
      <c r="AA16" s="32">
        <f t="shared" si="11"/>
        <v>623.51800000000003</v>
      </c>
      <c r="AB16" s="32">
        <f t="shared" si="12"/>
        <v>-352.58199999999999</v>
      </c>
    </row>
    <row r="17" spans="1:28" ht="30.75" customHeight="1">
      <c r="A17" s="18">
        <v>42795</v>
      </c>
      <c r="B17" s="44">
        <v>127.29</v>
      </c>
      <c r="C17" s="19">
        <v>620.82600000000002</v>
      </c>
      <c r="D17" s="39">
        <f t="shared" si="1"/>
        <v>63.602704640917899</v>
      </c>
      <c r="E17" s="19">
        <v>59.77</v>
      </c>
      <c r="F17" s="39">
        <f t="shared" si="2"/>
        <v>74.188082988375896</v>
      </c>
      <c r="G17" s="62">
        <v>6.5575000000000001</v>
      </c>
      <c r="H17" s="39">
        <f t="shared" si="3"/>
        <v>8.1393400400916001</v>
      </c>
      <c r="I17" s="56">
        <v>14.238</v>
      </c>
      <c r="J17" s="39">
        <f t="shared" si="4"/>
        <v>17.6725769715325</v>
      </c>
      <c r="K17" s="20">
        <f t="shared" si="5"/>
        <v>4.2694573968844196</v>
      </c>
      <c r="L17" s="39">
        <f t="shared" si="6"/>
        <v>5.29936188180353</v>
      </c>
      <c r="M17" s="19">
        <v>0</v>
      </c>
      <c r="N17" s="97"/>
      <c r="O17" s="20">
        <f t="shared" si="16"/>
        <v>80.5655</v>
      </c>
      <c r="P17" s="15">
        <v>3.3</v>
      </c>
      <c r="Q17" s="20">
        <f t="shared" si="0"/>
        <v>0.98954975486153796</v>
      </c>
      <c r="R17" s="19">
        <v>0</v>
      </c>
      <c r="S17" s="20">
        <f t="shared" si="7"/>
        <v>0</v>
      </c>
      <c r="T17" s="15">
        <v>123.17</v>
      </c>
      <c r="U17" s="60">
        <v>539.63599999999997</v>
      </c>
      <c r="V17" s="39">
        <f t="shared" si="8"/>
        <v>55.284909333060099</v>
      </c>
      <c r="W17" s="20">
        <f t="shared" si="9"/>
        <v>2.67549999999994</v>
      </c>
      <c r="X17" s="32">
        <f t="shared" si="14"/>
        <v>2.67549999999994</v>
      </c>
      <c r="Y17" s="35">
        <f t="shared" si="15"/>
        <v>11.3339509429881</v>
      </c>
      <c r="Z17" s="32">
        <f t="shared" si="10"/>
        <v>620.20150000000001</v>
      </c>
      <c r="AA17" s="32">
        <f t="shared" si="11"/>
        <v>539.63599999999997</v>
      </c>
      <c r="AB17" s="32">
        <f t="shared" si="12"/>
        <v>-436.464</v>
      </c>
    </row>
    <row r="18" spans="1:28" ht="30.75" customHeight="1">
      <c r="A18" s="18">
        <v>42826</v>
      </c>
      <c r="B18" s="44">
        <v>123.04</v>
      </c>
      <c r="C18" s="19">
        <v>537.17200000000003</v>
      </c>
      <c r="D18" s="39">
        <f t="shared" si="1"/>
        <v>55.0324761807192</v>
      </c>
      <c r="E18" s="19">
        <v>61.259</v>
      </c>
      <c r="F18" s="39">
        <f t="shared" si="2"/>
        <v>80.561546554445002</v>
      </c>
      <c r="G18" s="62">
        <v>5.5</v>
      </c>
      <c r="H18" s="39">
        <f t="shared" si="3"/>
        <v>7.2330352446081001</v>
      </c>
      <c r="I18" s="56">
        <v>9.2810000000000006</v>
      </c>
      <c r="J18" s="39">
        <f t="shared" si="4"/>
        <v>12.2054182009469</v>
      </c>
      <c r="K18" s="20">
        <f t="shared" si="5"/>
        <v>2.7830337196575599</v>
      </c>
      <c r="L18" s="39">
        <f t="shared" si="6"/>
        <v>3.6599601784028901</v>
      </c>
      <c r="M18" s="19">
        <v>0</v>
      </c>
      <c r="N18" s="97"/>
      <c r="O18" s="20">
        <f t="shared" si="16"/>
        <v>76.040000000000006</v>
      </c>
      <c r="P18" s="15">
        <v>3.8340000000000001</v>
      </c>
      <c r="Q18" s="20">
        <f t="shared" si="0"/>
        <v>1.14967689701186</v>
      </c>
      <c r="R18" s="19">
        <v>0</v>
      </c>
      <c r="S18" s="20">
        <f t="shared" si="7"/>
        <v>0</v>
      </c>
      <c r="T18" s="15">
        <v>118.7</v>
      </c>
      <c r="U18" s="60">
        <v>459.762</v>
      </c>
      <c r="V18" s="39">
        <f t="shared" si="8"/>
        <v>47.101936277020798</v>
      </c>
      <c r="W18" s="20">
        <f t="shared" si="9"/>
        <v>2.46399999999998</v>
      </c>
      <c r="X18" s="32">
        <f t="shared" si="14"/>
        <v>2.46399999999998</v>
      </c>
      <c r="Y18" s="35">
        <f t="shared" si="15"/>
        <v>13.3029870913001</v>
      </c>
      <c r="Z18" s="32">
        <f t="shared" si="10"/>
        <v>535.80200000000002</v>
      </c>
      <c r="AA18" s="32">
        <f t="shared" si="11"/>
        <v>459.762</v>
      </c>
      <c r="AB18" s="32">
        <f t="shared" si="12"/>
        <v>-516.33799999999997</v>
      </c>
    </row>
    <row r="19" spans="1:28" ht="30.75" customHeight="1">
      <c r="A19" s="18">
        <v>42856</v>
      </c>
      <c r="B19" s="44">
        <v>118.53</v>
      </c>
      <c r="C19" s="19">
        <v>456.88099999999997</v>
      </c>
      <c r="D19" s="39">
        <f t="shared" si="1"/>
        <v>46.806782091998798</v>
      </c>
      <c r="E19" s="19">
        <v>68.295000000000002</v>
      </c>
      <c r="F19" s="39">
        <f t="shared" si="2"/>
        <v>85.374085880367502</v>
      </c>
      <c r="G19" s="62">
        <v>11.7</v>
      </c>
      <c r="H19" s="39">
        <f t="shared" si="3"/>
        <v>14.625914119632499</v>
      </c>
      <c r="I19" s="56">
        <v>0</v>
      </c>
      <c r="J19" s="39">
        <f t="shared" si="4"/>
        <v>0</v>
      </c>
      <c r="K19" s="20">
        <f t="shared" si="5"/>
        <v>0</v>
      </c>
      <c r="L19" s="39">
        <f t="shared" si="6"/>
        <v>0</v>
      </c>
      <c r="M19" s="19">
        <v>0</v>
      </c>
      <c r="N19" s="98"/>
      <c r="O19" s="20">
        <f t="shared" si="16"/>
        <v>79.995000000000005</v>
      </c>
      <c r="P19" s="15">
        <v>3.6162000000000001</v>
      </c>
      <c r="Q19" s="20">
        <f t="shared" si="0"/>
        <v>1.0843666131909999</v>
      </c>
      <c r="R19" s="19">
        <v>0</v>
      </c>
      <c r="S19" s="20">
        <f t="shared" si="7"/>
        <v>0</v>
      </c>
      <c r="T19" s="15">
        <v>113.92</v>
      </c>
      <c r="U19" s="60">
        <v>383.01299999999998</v>
      </c>
      <c r="V19" s="39">
        <f t="shared" si="8"/>
        <v>39.2391148447905</v>
      </c>
      <c r="W19" s="20">
        <f t="shared" si="9"/>
        <v>9.7432000000000194</v>
      </c>
      <c r="X19" s="32">
        <f t="shared" si="14"/>
        <v>9.7432000000000194</v>
      </c>
      <c r="Y19" s="35">
        <f t="shared" si="15"/>
        <v>15.9686693429997</v>
      </c>
      <c r="Z19" s="32">
        <f t="shared" si="10"/>
        <v>463.00799999999998</v>
      </c>
      <c r="AA19" s="32">
        <f t="shared" si="11"/>
        <v>383.01299999999998</v>
      </c>
      <c r="AB19" s="32">
        <f t="shared" si="12"/>
        <v>-593.08699999999999</v>
      </c>
    </row>
    <row r="20" spans="1:28">
      <c r="A20" s="46" t="s">
        <v>28</v>
      </c>
      <c r="B20" s="28"/>
      <c r="C20" s="47"/>
      <c r="D20" s="39"/>
      <c r="E20" s="47"/>
      <c r="F20" s="39"/>
      <c r="G20" s="48"/>
      <c r="H20" s="39"/>
      <c r="I20" s="50"/>
      <c r="J20" s="39"/>
      <c r="K20" s="47"/>
      <c r="L20" s="39"/>
      <c r="M20" s="47"/>
      <c r="N20" s="47"/>
      <c r="O20" s="48"/>
      <c r="P20" s="57"/>
      <c r="Q20" s="47"/>
      <c r="R20" s="47"/>
      <c r="S20" s="57"/>
      <c r="T20" s="57"/>
      <c r="U20" s="57"/>
      <c r="V20" s="39">
        <f t="shared" si="8"/>
        <v>0</v>
      </c>
      <c r="W20" s="48"/>
      <c r="Z20" s="32">
        <f t="shared" si="10"/>
        <v>0</v>
      </c>
      <c r="AA20" s="32">
        <f t="shared" si="11"/>
        <v>0</v>
      </c>
      <c r="AB20" s="32">
        <f t="shared" si="12"/>
        <v>-976.1</v>
      </c>
    </row>
    <row r="21" spans="1:28">
      <c r="A21" s="49"/>
      <c r="B21" s="28"/>
      <c r="C21" s="47"/>
      <c r="D21" s="47"/>
      <c r="E21" s="47"/>
      <c r="F21" s="48"/>
      <c r="G21" s="48"/>
      <c r="H21" s="50"/>
      <c r="I21" s="50"/>
      <c r="J21" s="47"/>
      <c r="K21" s="47"/>
      <c r="L21" s="47"/>
      <c r="M21" s="47"/>
      <c r="N21" s="47"/>
      <c r="O21" s="48"/>
      <c r="P21" s="57"/>
      <c r="Q21" s="47"/>
      <c r="R21" s="47"/>
      <c r="S21" s="57"/>
      <c r="T21" s="57"/>
      <c r="U21" s="57"/>
      <c r="V21" s="48"/>
      <c r="W21" s="48"/>
    </row>
    <row r="22" spans="1:28">
      <c r="A22" s="49"/>
      <c r="B22" s="28"/>
      <c r="C22" s="47"/>
      <c r="D22" s="47"/>
      <c r="E22" s="47"/>
      <c r="F22" s="48"/>
      <c r="G22" s="48"/>
      <c r="H22" s="50"/>
      <c r="I22" s="50"/>
      <c r="J22" s="47"/>
      <c r="K22" s="47"/>
      <c r="L22" s="47"/>
      <c r="M22" s="47"/>
      <c r="N22" s="47"/>
      <c r="O22" s="48"/>
      <c r="P22" s="57"/>
      <c r="Q22" s="47"/>
      <c r="R22" s="47"/>
      <c r="S22" s="57"/>
      <c r="T22" s="57"/>
      <c r="U22" s="57"/>
      <c r="V22" s="48"/>
      <c r="W22" s="48"/>
    </row>
    <row r="23" spans="1:28" ht="15.6">
      <c r="A23" s="49"/>
      <c r="B23" s="95" t="s">
        <v>29</v>
      </c>
      <c r="C23" s="95"/>
      <c r="D23" s="95"/>
      <c r="E23" s="95"/>
      <c r="F23" s="52"/>
      <c r="G23" s="52"/>
      <c r="H23" s="53"/>
      <c r="I23" s="53"/>
      <c r="J23" s="58"/>
      <c r="K23" s="58"/>
      <c r="L23" s="58"/>
      <c r="M23" s="58"/>
      <c r="N23" s="58"/>
      <c r="O23" s="52"/>
      <c r="P23" s="54"/>
      <c r="Q23" s="51"/>
      <c r="R23" s="95" t="s">
        <v>30</v>
      </c>
      <c r="S23" s="95"/>
      <c r="T23" s="95"/>
      <c r="U23" s="95"/>
      <c r="V23" s="52"/>
      <c r="W23" s="52"/>
    </row>
    <row r="24" spans="1:28">
      <c r="A24" s="49"/>
      <c r="B24" s="86" t="s">
        <v>31</v>
      </c>
      <c r="C24" s="86"/>
      <c r="D24" s="86"/>
      <c r="E24" s="86"/>
      <c r="F24" s="52"/>
      <c r="G24" s="52"/>
      <c r="H24" s="53"/>
      <c r="I24" s="53"/>
      <c r="J24" s="58"/>
      <c r="K24" s="58"/>
      <c r="L24" s="58"/>
      <c r="M24" s="58"/>
      <c r="N24" s="58"/>
      <c r="O24" s="52"/>
      <c r="P24" s="86" t="s">
        <v>32</v>
      </c>
      <c r="Q24" s="86"/>
      <c r="R24" s="86"/>
      <c r="S24" s="86"/>
      <c r="T24" s="86"/>
      <c r="U24" s="86"/>
      <c r="V24" s="86"/>
      <c r="W24" s="86"/>
    </row>
    <row r="25" spans="1:28">
      <c r="A25" s="49"/>
      <c r="B25" s="86" t="s">
        <v>33</v>
      </c>
      <c r="C25" s="86"/>
      <c r="D25" s="86"/>
      <c r="E25" s="86"/>
      <c r="F25" s="52"/>
      <c r="G25" s="52"/>
      <c r="H25" s="53"/>
      <c r="I25" s="53"/>
      <c r="J25" s="58"/>
      <c r="K25" s="58"/>
      <c r="L25" s="58"/>
      <c r="M25" s="58"/>
      <c r="N25" s="58"/>
      <c r="O25" s="52"/>
      <c r="P25" s="54"/>
      <c r="Q25" s="54"/>
      <c r="R25" s="86" t="s">
        <v>33</v>
      </c>
      <c r="S25" s="86"/>
      <c r="T25" s="86"/>
      <c r="U25" s="86"/>
      <c r="V25" s="52"/>
      <c r="W25" s="52"/>
    </row>
  </sheetData>
  <mergeCells count="23">
    <mergeCell ref="B25:E25"/>
    <mergeCell ref="R25:U25"/>
    <mergeCell ref="A4:A6"/>
    <mergeCell ref="B4:B6"/>
    <mergeCell ref="C4:C6"/>
    <mergeCell ref="E5:E6"/>
    <mergeCell ref="G5:G6"/>
    <mergeCell ref="I5:I6"/>
    <mergeCell ref="M5:M6"/>
    <mergeCell ref="N5:N6"/>
    <mergeCell ref="N8:N19"/>
    <mergeCell ref="O4:O6"/>
    <mergeCell ref="P4:P6"/>
    <mergeCell ref="R4:R6"/>
    <mergeCell ref="T4:T6"/>
    <mergeCell ref="U4:U6"/>
    <mergeCell ref="A1:W1"/>
    <mergeCell ref="E4:N4"/>
    <mergeCell ref="B23:E23"/>
    <mergeCell ref="R23:U23"/>
    <mergeCell ref="B24:E24"/>
    <mergeCell ref="P24:W24"/>
    <mergeCell ref="W4:W6"/>
  </mergeCells>
  <printOptions horizontalCentered="1" verticalCentered="1"/>
  <pageMargins left="0.45" right="0.45" top="0.5" bottom="0.5" header="0.3" footer="0.3"/>
  <pageSetup scale="85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AB25"/>
  <sheetViews>
    <sheetView view="pageBreakPreview" topLeftCell="A10" zoomScaleNormal="100" workbookViewId="0">
      <selection activeCell="A8" sqref="A8:T19"/>
    </sheetView>
  </sheetViews>
  <sheetFormatPr defaultColWidth="9" defaultRowHeight="14.4"/>
  <cols>
    <col min="4" max="5" width="10" customWidth="1"/>
    <col min="19" max="20" width="10" customWidth="1"/>
  </cols>
  <sheetData>
    <row r="1" spans="1:28" ht="15.6">
      <c r="A1" s="81" t="s">
        <v>59</v>
      </c>
      <c r="B1" s="82"/>
      <c r="C1" s="81"/>
      <c r="D1" s="81"/>
      <c r="E1" s="81"/>
      <c r="F1" s="81"/>
      <c r="G1" s="81"/>
      <c r="H1" s="81"/>
      <c r="I1" s="81"/>
      <c r="J1" s="82"/>
      <c r="K1" s="82"/>
      <c r="L1" s="82"/>
      <c r="M1" s="82"/>
      <c r="N1" s="82"/>
      <c r="O1" s="82"/>
      <c r="P1" s="81"/>
      <c r="Q1" s="82"/>
      <c r="R1" s="82"/>
      <c r="S1" s="82"/>
      <c r="T1" s="82"/>
    </row>
    <row r="2" spans="1:28" ht="15.6">
      <c r="A2" s="3" t="s">
        <v>1</v>
      </c>
      <c r="B2" s="80" t="s">
        <v>2</v>
      </c>
      <c r="C2" s="4"/>
      <c r="D2" s="4"/>
      <c r="E2" s="4"/>
      <c r="F2" s="4"/>
      <c r="G2" s="4"/>
      <c r="H2" s="3"/>
      <c r="I2" s="3"/>
      <c r="J2" s="5"/>
      <c r="K2" s="5"/>
      <c r="L2" s="5"/>
      <c r="M2" s="5"/>
      <c r="N2" s="5"/>
      <c r="O2" s="5"/>
      <c r="P2" s="3"/>
      <c r="Q2" s="5"/>
      <c r="R2" s="5"/>
      <c r="S2" s="5"/>
      <c r="T2" s="5"/>
    </row>
    <row r="3" spans="1:28" ht="15.6">
      <c r="A3" s="3" t="s">
        <v>3</v>
      </c>
      <c r="B3" s="80" t="s">
        <v>4</v>
      </c>
      <c r="C3" s="6"/>
      <c r="D3" s="6"/>
      <c r="E3" s="6"/>
      <c r="F3" s="6"/>
      <c r="G3" s="6"/>
      <c r="H3" s="6"/>
      <c r="I3" s="6"/>
      <c r="J3" s="7"/>
      <c r="K3" s="7"/>
      <c r="L3" s="7"/>
      <c r="M3" s="7"/>
      <c r="N3" s="7"/>
      <c r="O3" s="7"/>
      <c r="P3" s="6"/>
      <c r="Q3" s="7"/>
      <c r="R3" s="7"/>
      <c r="S3" s="7"/>
      <c r="T3" s="7"/>
    </row>
    <row r="4" spans="1:28">
      <c r="A4" s="88" t="s">
        <v>5</v>
      </c>
      <c r="B4" s="89" t="s">
        <v>6</v>
      </c>
      <c r="C4" s="87" t="s">
        <v>7</v>
      </c>
      <c r="D4" s="43"/>
      <c r="E4" s="83" t="s">
        <v>8</v>
      </c>
      <c r="F4" s="84"/>
      <c r="G4" s="84"/>
      <c r="H4" s="84"/>
      <c r="I4" s="84"/>
      <c r="J4" s="84"/>
      <c r="K4" s="84"/>
      <c r="L4" s="85"/>
      <c r="M4" s="55"/>
      <c r="N4" s="92" t="s">
        <v>9</v>
      </c>
      <c r="O4" s="92" t="s">
        <v>10</v>
      </c>
      <c r="P4" s="92" t="s">
        <v>11</v>
      </c>
      <c r="Q4" s="89" t="s">
        <v>12</v>
      </c>
      <c r="R4" s="87" t="s">
        <v>13</v>
      </c>
      <c r="S4" s="9"/>
      <c r="T4" s="87" t="s">
        <v>14</v>
      </c>
    </row>
    <row r="5" spans="1:28">
      <c r="A5" s="88"/>
      <c r="B5" s="90"/>
      <c r="C5" s="87"/>
      <c r="D5" s="27"/>
      <c r="E5" s="89" t="s">
        <v>15</v>
      </c>
      <c r="F5" s="27"/>
      <c r="G5" s="89" t="s">
        <v>16</v>
      </c>
      <c r="H5" s="27"/>
      <c r="I5" s="89" t="s">
        <v>17</v>
      </c>
      <c r="J5" s="27"/>
      <c r="K5" s="92" t="s">
        <v>18</v>
      </c>
      <c r="L5" s="92" t="s">
        <v>19</v>
      </c>
      <c r="M5" s="10"/>
      <c r="N5" s="92"/>
      <c r="O5" s="92"/>
      <c r="P5" s="92"/>
      <c r="Q5" s="90"/>
      <c r="R5" s="87"/>
      <c r="S5" s="9"/>
      <c r="T5" s="87"/>
    </row>
    <row r="6" spans="1:28" ht="86.4" customHeight="1">
      <c r="A6" s="88"/>
      <c r="B6" s="91"/>
      <c r="C6" s="87"/>
      <c r="D6" s="13"/>
      <c r="E6" s="91"/>
      <c r="F6" s="13"/>
      <c r="G6" s="91"/>
      <c r="H6" s="13"/>
      <c r="I6" s="91"/>
      <c r="J6" s="13"/>
      <c r="K6" s="92"/>
      <c r="L6" s="92"/>
      <c r="M6" s="10"/>
      <c r="N6" s="92"/>
      <c r="O6" s="92"/>
      <c r="P6" s="92"/>
      <c r="Q6" s="91"/>
      <c r="R6" s="87"/>
      <c r="S6" s="9"/>
      <c r="T6" s="87"/>
      <c r="V6" s="29" t="s">
        <v>20</v>
      </c>
    </row>
    <row r="7" spans="1:28">
      <c r="A7" s="15">
        <v>1</v>
      </c>
      <c r="B7" s="17">
        <v>2</v>
      </c>
      <c r="C7" s="16">
        <v>3</v>
      </c>
      <c r="D7" s="15"/>
      <c r="E7" s="15">
        <v>4</v>
      </c>
      <c r="F7" s="15"/>
      <c r="G7" s="15">
        <v>5</v>
      </c>
      <c r="H7" s="15"/>
      <c r="I7" s="15">
        <v>6</v>
      </c>
      <c r="J7" s="17"/>
      <c r="K7" s="17">
        <v>7</v>
      </c>
      <c r="L7" s="17">
        <v>8</v>
      </c>
      <c r="M7" s="17"/>
      <c r="N7" s="17">
        <v>9</v>
      </c>
      <c r="O7" s="17">
        <v>10</v>
      </c>
      <c r="P7" s="15">
        <v>11</v>
      </c>
      <c r="Q7" s="59">
        <v>12</v>
      </c>
      <c r="R7" s="17">
        <v>13</v>
      </c>
      <c r="S7" s="17"/>
      <c r="T7" s="17">
        <v>14</v>
      </c>
    </row>
    <row r="8" spans="1:28" ht="30.75" customHeight="1">
      <c r="A8" s="18">
        <v>42156</v>
      </c>
      <c r="B8" s="44">
        <v>109.23</v>
      </c>
      <c r="C8" s="19">
        <v>315.375</v>
      </c>
      <c r="D8" s="39">
        <f>(C8/976.1)*100</f>
        <v>32.309701874807899</v>
      </c>
      <c r="E8" s="19">
        <v>37.481999999999999</v>
      </c>
      <c r="F8" s="39">
        <f>(E8/N8)*100</f>
        <v>77.079049107510102</v>
      </c>
      <c r="G8" s="15">
        <v>11.05</v>
      </c>
      <c r="H8" s="39">
        <f>(G8/N8)*100</f>
        <v>22.723533766554201</v>
      </c>
      <c r="I8" s="56">
        <v>0</v>
      </c>
      <c r="J8" s="39">
        <f>(I8/N8)*100</f>
        <v>0</v>
      </c>
      <c r="K8" s="19">
        <v>0</v>
      </c>
      <c r="L8" s="19">
        <v>9.6000000000000002E-2</v>
      </c>
      <c r="M8" s="39">
        <f>(L8/N8)*100</f>
        <v>0.19741712593567501</v>
      </c>
      <c r="N8" s="20">
        <f>E8+G8+I8+K8+L8</f>
        <v>48.628</v>
      </c>
      <c r="O8" s="15">
        <v>2.6320000000000001</v>
      </c>
      <c r="P8" s="19">
        <v>0</v>
      </c>
      <c r="Q8" s="15">
        <v>112.81</v>
      </c>
      <c r="R8" s="60">
        <v>366.36500000000001</v>
      </c>
      <c r="S8" s="39">
        <f>(R8/976.1)*100</f>
        <v>37.533551890175197</v>
      </c>
      <c r="T8" s="20">
        <f>IF(N8+O8+P8+(R8-C8)&gt;0,N8+O8+P8+(R8-C8),0)</f>
        <v>102.25</v>
      </c>
      <c r="U8" s="32">
        <f t="shared" ref="U8:U19" si="0">(N8+O8+P8)+(R8-C8)</f>
        <v>102.25</v>
      </c>
      <c r="V8" s="35">
        <f>(15000000/(2725*0.9*R8))</f>
        <v>16.6943019968347</v>
      </c>
      <c r="W8" s="32">
        <f>C8+T8-N8</f>
        <v>368.99700000000001</v>
      </c>
      <c r="X8" s="32">
        <f>W8-K8-O8</f>
        <v>366.36500000000001</v>
      </c>
      <c r="Y8" s="32">
        <f>W8-N8-976.1</f>
        <v>-655.73099999999999</v>
      </c>
    </row>
    <row r="9" spans="1:28" ht="30.75" customHeight="1">
      <c r="A9" s="18">
        <v>42186</v>
      </c>
      <c r="B9" s="44">
        <v>112.73</v>
      </c>
      <c r="C9" s="19">
        <v>365.18700000000001</v>
      </c>
      <c r="D9" s="39">
        <f t="shared" ref="D9:D19" si="1">(C9/976.1)*100</f>
        <v>37.412867534064098</v>
      </c>
      <c r="E9" s="19">
        <v>36.865000000000002</v>
      </c>
      <c r="F9" s="39">
        <f t="shared" ref="F9:F19" si="2">(E9/N9)*100</f>
        <v>72.020239513939103</v>
      </c>
      <c r="G9" s="15">
        <v>14.218999999999999</v>
      </c>
      <c r="H9" s="39">
        <f t="shared" ref="H9:H19" si="3">(G9/N9)*100</f>
        <v>27.778537519292001</v>
      </c>
      <c r="I9" s="56">
        <v>0</v>
      </c>
      <c r="J9" s="39">
        <f t="shared" ref="J9:J19" si="4">(I9/N9)*100</f>
        <v>0</v>
      </c>
      <c r="K9" s="19">
        <v>0</v>
      </c>
      <c r="L9" s="19">
        <v>0.10299999999999999</v>
      </c>
      <c r="M9" s="39">
        <f t="shared" ref="M9:M19" si="5">(L9/N9)*100</f>
        <v>0.201222966768906</v>
      </c>
      <c r="N9" s="20">
        <f>E9+G9+I9+K9+L9</f>
        <v>51.186999999999998</v>
      </c>
      <c r="O9" s="15">
        <v>0.71899999999999997</v>
      </c>
      <c r="P9" s="19">
        <v>0</v>
      </c>
      <c r="Q9" s="15">
        <v>126.19</v>
      </c>
      <c r="R9" s="60">
        <v>594.96299999999997</v>
      </c>
      <c r="S9" s="39">
        <f t="shared" ref="S9:S19" si="6">(R9/976.1)*100</f>
        <v>60.953078578014498</v>
      </c>
      <c r="T9" s="20">
        <f t="shared" ref="T9:T19" si="7">IF(N9+O9+P9+(R9-C9)&gt;0,N9+O9+P9+(R9-C9),0)</f>
        <v>281.68200000000002</v>
      </c>
      <c r="U9" s="32">
        <f t="shared" si="0"/>
        <v>281.68200000000002</v>
      </c>
      <c r="V9" s="35">
        <f>(15000000/(2725*0.9*R9))</f>
        <v>10.279980353518299</v>
      </c>
      <c r="W9" s="32">
        <f t="shared" ref="W9:W20" si="8">C9+T9-N9</f>
        <v>595.68200000000002</v>
      </c>
      <c r="X9" s="32">
        <f t="shared" ref="X9:X20" si="9">W9-K9-O9</f>
        <v>594.96299999999997</v>
      </c>
      <c r="Y9" s="32">
        <f t="shared" ref="Y9:Y20" si="10">W9-N9-976.1</f>
        <v>-431.60500000000002</v>
      </c>
    </row>
    <row r="10" spans="1:28" ht="30.75" customHeight="1">
      <c r="A10" s="18">
        <v>42217</v>
      </c>
      <c r="B10" s="44">
        <v>126.35</v>
      </c>
      <c r="C10" s="19">
        <v>601.65</v>
      </c>
      <c r="D10" s="39">
        <f t="shared" si="1"/>
        <v>61.6381518287061</v>
      </c>
      <c r="E10" s="19">
        <v>2.76</v>
      </c>
      <c r="F10" s="39">
        <f t="shared" si="2"/>
        <v>23.535431056536201</v>
      </c>
      <c r="G10" s="15">
        <v>8.8000000000000007</v>
      </c>
      <c r="H10" s="39">
        <f t="shared" si="3"/>
        <v>75.040504817941496</v>
      </c>
      <c r="I10" s="56">
        <v>0</v>
      </c>
      <c r="J10" s="39">
        <f t="shared" si="4"/>
        <v>0</v>
      </c>
      <c r="K10" s="19">
        <v>0</v>
      </c>
      <c r="L10" s="19">
        <v>0.16700000000000001</v>
      </c>
      <c r="M10" s="39">
        <f t="shared" si="5"/>
        <v>1.4240641255223001</v>
      </c>
      <c r="N10" s="20">
        <f t="shared" ref="N10:N12" si="11">E10+G10+I10+K10+L10</f>
        <v>11.727</v>
      </c>
      <c r="O10" s="15">
        <v>0.91500000000000004</v>
      </c>
      <c r="P10" s="19">
        <v>0</v>
      </c>
      <c r="Q10" s="15">
        <v>130.54</v>
      </c>
      <c r="R10" s="60">
        <v>690.25099999999998</v>
      </c>
      <c r="S10" s="39">
        <f t="shared" si="6"/>
        <v>70.715193115459499</v>
      </c>
      <c r="T10" s="20">
        <f t="shared" si="7"/>
        <v>101.24299999999999</v>
      </c>
      <c r="U10" s="32">
        <f t="shared" si="0"/>
        <v>101.24299999999999</v>
      </c>
      <c r="V10" s="35">
        <f>(15000000/(2725*0.9*R10))</f>
        <v>8.8608462009766509</v>
      </c>
      <c r="W10" s="32">
        <f t="shared" si="8"/>
        <v>691.16600000000005</v>
      </c>
      <c r="X10" s="32">
        <f t="shared" si="9"/>
        <v>690.25099999999998</v>
      </c>
      <c r="Y10" s="32">
        <f t="shared" si="10"/>
        <v>-296.661</v>
      </c>
    </row>
    <row r="11" spans="1:28" ht="30.75" customHeight="1">
      <c r="A11" s="18">
        <v>42248</v>
      </c>
      <c r="B11" s="44">
        <v>130.63999999999999</v>
      </c>
      <c r="C11" s="19">
        <v>692.22900000000004</v>
      </c>
      <c r="D11" s="39">
        <f t="shared" si="1"/>
        <v>70.9178362872657</v>
      </c>
      <c r="E11" s="19">
        <v>11.627000000000001</v>
      </c>
      <c r="F11" s="39">
        <f t="shared" si="2"/>
        <v>50.56756404123</v>
      </c>
      <c r="G11" s="15">
        <v>11.13</v>
      </c>
      <c r="H11" s="39">
        <f t="shared" si="3"/>
        <v>48.406036619840798</v>
      </c>
      <c r="I11" s="56">
        <v>0</v>
      </c>
      <c r="J11" s="39">
        <f t="shared" si="4"/>
        <v>0</v>
      </c>
      <c r="K11" s="19">
        <v>0</v>
      </c>
      <c r="L11" s="19">
        <v>0.23599999999999999</v>
      </c>
      <c r="M11" s="39">
        <f t="shared" si="5"/>
        <v>1.0263993389292401</v>
      </c>
      <c r="N11" s="20">
        <f t="shared" si="11"/>
        <v>22.992999999999999</v>
      </c>
      <c r="O11" s="15">
        <v>0.96799999999999997</v>
      </c>
      <c r="P11" s="19">
        <v>0</v>
      </c>
      <c r="Q11" s="15">
        <v>135.1</v>
      </c>
      <c r="R11" s="60">
        <v>995.78700000000003</v>
      </c>
      <c r="S11" s="39">
        <f t="shared" si="6"/>
        <v>102.016904005737</v>
      </c>
      <c r="T11" s="20">
        <f t="shared" si="7"/>
        <v>327.51900000000001</v>
      </c>
      <c r="U11" s="32">
        <f t="shared" si="0"/>
        <v>327.51900000000001</v>
      </c>
      <c r="V11" s="35">
        <f>(15000000/(2725*0.9*R11))</f>
        <v>6.1420845532933601</v>
      </c>
      <c r="W11" s="32">
        <f t="shared" si="8"/>
        <v>996.755</v>
      </c>
      <c r="X11" s="32">
        <f t="shared" si="9"/>
        <v>995.78700000000003</v>
      </c>
      <c r="Y11" s="32">
        <f t="shared" si="10"/>
        <v>-2.33800000000008</v>
      </c>
    </row>
    <row r="12" spans="1:28" ht="30.75" customHeight="1">
      <c r="A12" s="18">
        <v>42278</v>
      </c>
      <c r="B12" s="44">
        <v>135.08000000000001</v>
      </c>
      <c r="C12" s="19">
        <v>795.30399999999997</v>
      </c>
      <c r="D12" s="39">
        <f t="shared" si="1"/>
        <v>81.477717446982894</v>
      </c>
      <c r="E12" s="19">
        <v>31.986000000000001</v>
      </c>
      <c r="F12" s="39">
        <f t="shared" si="2"/>
        <v>71.457933068227504</v>
      </c>
      <c r="G12" s="15">
        <v>11.84</v>
      </c>
      <c r="H12" s="39">
        <f t="shared" si="3"/>
        <v>26.451007551047802</v>
      </c>
      <c r="I12" s="56">
        <v>0.66</v>
      </c>
      <c r="J12" s="39">
        <f t="shared" si="4"/>
        <v>1.4744649479469201</v>
      </c>
      <c r="K12" s="19">
        <v>0</v>
      </c>
      <c r="L12" s="19">
        <v>0.27600000000000002</v>
      </c>
      <c r="M12" s="39">
        <f t="shared" si="5"/>
        <v>0.61659443277780301</v>
      </c>
      <c r="N12" s="20">
        <f t="shared" si="11"/>
        <v>44.762</v>
      </c>
      <c r="O12" s="15">
        <v>1.99</v>
      </c>
      <c r="P12" s="19">
        <v>0</v>
      </c>
      <c r="Q12" s="15">
        <v>134.19</v>
      </c>
      <c r="R12" s="60">
        <v>773.875</v>
      </c>
      <c r="S12" s="39">
        <f t="shared" si="6"/>
        <v>79.282348120069699</v>
      </c>
      <c r="T12" s="20">
        <f t="shared" si="7"/>
        <v>25.323</v>
      </c>
      <c r="U12" s="32">
        <f t="shared" si="0"/>
        <v>25.323</v>
      </c>
      <c r="V12" s="35">
        <f>(15000000/(2725*0.9*R12))</f>
        <v>7.9033538375969501</v>
      </c>
      <c r="W12" s="32">
        <f t="shared" si="8"/>
        <v>775.86500000000001</v>
      </c>
      <c r="X12" s="32">
        <f t="shared" si="9"/>
        <v>773.875</v>
      </c>
      <c r="Y12" s="32">
        <f t="shared" si="10"/>
        <v>-244.99700000000001</v>
      </c>
    </row>
    <row r="13" spans="1:28" ht="30.75" customHeight="1">
      <c r="A13" s="18">
        <v>42309</v>
      </c>
      <c r="B13" s="44">
        <v>134.12</v>
      </c>
      <c r="C13" s="19">
        <v>772.19</v>
      </c>
      <c r="D13" s="39">
        <f t="shared" si="1"/>
        <v>79.109722364511796</v>
      </c>
      <c r="E13" s="19">
        <v>44.082999999999998</v>
      </c>
      <c r="F13" s="39">
        <f t="shared" si="2"/>
        <v>79.092507535524604</v>
      </c>
      <c r="G13" s="15">
        <v>11.4</v>
      </c>
      <c r="H13" s="39">
        <f t="shared" si="3"/>
        <v>20.453566814984899</v>
      </c>
      <c r="I13" s="56">
        <v>0</v>
      </c>
      <c r="J13" s="39">
        <f t="shared" si="4"/>
        <v>0</v>
      </c>
      <c r="K13" s="19">
        <v>0</v>
      </c>
      <c r="L13" s="19">
        <v>0.253</v>
      </c>
      <c r="M13" s="39">
        <f t="shared" si="5"/>
        <v>0.453925649490455</v>
      </c>
      <c r="N13" s="20">
        <f t="shared" ref="N13:N19" si="12">E13+G13+I13+K13+L13</f>
        <v>55.735999999999997</v>
      </c>
      <c r="O13" s="15">
        <v>2.04</v>
      </c>
      <c r="P13" s="19">
        <v>0</v>
      </c>
      <c r="Q13" s="15">
        <v>131.79</v>
      </c>
      <c r="R13" s="60">
        <v>718.15200000000004</v>
      </c>
      <c r="S13" s="39">
        <f t="shared" si="6"/>
        <v>73.573609261346206</v>
      </c>
      <c r="T13" s="20">
        <f t="shared" si="7"/>
        <v>3.7379999999999902</v>
      </c>
      <c r="U13" s="32">
        <f t="shared" si="0"/>
        <v>3.7379999999999902</v>
      </c>
      <c r="V13" s="35">
        <f t="shared" ref="V13:V19" si="13">(15000000/(2725*0.9*R13))</f>
        <v>8.5165925195088708</v>
      </c>
      <c r="W13" s="32">
        <f t="shared" si="8"/>
        <v>720.19200000000001</v>
      </c>
      <c r="X13" s="32">
        <f t="shared" si="9"/>
        <v>718.15200000000004</v>
      </c>
      <c r="Y13" s="32">
        <f t="shared" si="10"/>
        <v>-311.64400000000001</v>
      </c>
    </row>
    <row r="14" spans="1:28" ht="30.75" customHeight="1">
      <c r="A14" s="18">
        <v>42339</v>
      </c>
      <c r="B14" s="44">
        <v>131.71</v>
      </c>
      <c r="C14" s="19">
        <v>716.35</v>
      </c>
      <c r="D14" s="39">
        <f t="shared" si="1"/>
        <v>73.388997028992904</v>
      </c>
      <c r="E14" s="19">
        <v>43.731999999999999</v>
      </c>
      <c r="F14" s="39">
        <f t="shared" si="2"/>
        <v>69.894036983170594</v>
      </c>
      <c r="G14" s="15">
        <v>12.688000000000001</v>
      </c>
      <c r="H14" s="39">
        <f t="shared" si="3"/>
        <v>20.278412632453801</v>
      </c>
      <c r="I14" s="56">
        <v>5.9130000000000003</v>
      </c>
      <c r="J14" s="39">
        <f t="shared" si="4"/>
        <v>9.4503667950582599</v>
      </c>
      <c r="K14" s="19">
        <v>0</v>
      </c>
      <c r="L14" s="19">
        <v>0.23599999999999999</v>
      </c>
      <c r="M14" s="39">
        <f t="shared" si="5"/>
        <v>0.37718358931739399</v>
      </c>
      <c r="N14" s="20">
        <f t="shared" si="12"/>
        <v>62.569000000000003</v>
      </c>
      <c r="O14" s="15">
        <v>2.105</v>
      </c>
      <c r="P14" s="19">
        <v>0</v>
      </c>
      <c r="Q14" s="15">
        <v>128.91</v>
      </c>
      <c r="R14" s="60">
        <v>654.78700000000003</v>
      </c>
      <c r="S14" s="39">
        <f t="shared" si="6"/>
        <v>67.081958815695103</v>
      </c>
      <c r="T14" s="20">
        <f t="shared" si="7"/>
        <v>3.1110000000000002</v>
      </c>
      <c r="U14" s="32">
        <f t="shared" si="0"/>
        <v>3.1110000000000002</v>
      </c>
      <c r="V14" s="35">
        <f t="shared" si="13"/>
        <v>9.3407595921579603</v>
      </c>
      <c r="W14" s="32">
        <f t="shared" si="8"/>
        <v>656.89200000000005</v>
      </c>
      <c r="X14" s="32">
        <f t="shared" si="9"/>
        <v>654.78700000000003</v>
      </c>
      <c r="Y14" s="32">
        <f t="shared" si="10"/>
        <v>-381.77699999999999</v>
      </c>
      <c r="AB14">
        <f>70.5*25</f>
        <v>1762.5</v>
      </c>
    </row>
    <row r="15" spans="1:28" ht="30.75" customHeight="1">
      <c r="A15" s="18">
        <v>42370</v>
      </c>
      <c r="B15" s="44">
        <v>128.82</v>
      </c>
      <c r="C15" s="19">
        <v>652.88099999999997</v>
      </c>
      <c r="D15" s="39">
        <f t="shared" si="1"/>
        <v>66.886691937301507</v>
      </c>
      <c r="E15" s="19">
        <v>43.39</v>
      </c>
      <c r="F15" s="39">
        <f t="shared" si="2"/>
        <v>63.011542192610001</v>
      </c>
      <c r="G15" s="15">
        <v>6.25</v>
      </c>
      <c r="H15" s="39">
        <f t="shared" si="3"/>
        <v>9.0763341485091598</v>
      </c>
      <c r="I15" s="56">
        <v>19.046399999999998</v>
      </c>
      <c r="J15" s="39">
        <f t="shared" si="4"/>
        <v>27.659438516186398</v>
      </c>
      <c r="K15" s="19">
        <v>0</v>
      </c>
      <c r="L15" s="19">
        <v>0.17399999999999999</v>
      </c>
      <c r="M15" s="39">
        <f t="shared" si="5"/>
        <v>0.25268514269449499</v>
      </c>
      <c r="N15" s="20">
        <f t="shared" si="12"/>
        <v>68.860399999999998</v>
      </c>
      <c r="O15" s="15">
        <v>2.2549999999999999</v>
      </c>
      <c r="P15" s="19">
        <v>0</v>
      </c>
      <c r="Q15" s="15">
        <v>125.45</v>
      </c>
      <c r="R15" s="60">
        <v>583.67100000000005</v>
      </c>
      <c r="S15" s="39">
        <f t="shared" si="6"/>
        <v>59.796229894478003</v>
      </c>
      <c r="T15" s="20">
        <f t="shared" si="7"/>
        <v>1.9054000000000699</v>
      </c>
      <c r="U15" s="32">
        <f t="shared" si="0"/>
        <v>1.9054000000000699</v>
      </c>
      <c r="V15" s="35">
        <f t="shared" si="13"/>
        <v>10.4788621519149</v>
      </c>
      <c r="W15" s="32">
        <f t="shared" si="8"/>
        <v>585.92600000000004</v>
      </c>
      <c r="X15" s="32">
        <f t="shared" si="9"/>
        <v>583.67100000000005</v>
      </c>
      <c r="Y15" s="32">
        <f t="shared" si="10"/>
        <v>-459.03440000000001</v>
      </c>
    </row>
    <row r="16" spans="1:28" ht="30.75" customHeight="1">
      <c r="A16" s="18">
        <v>42401</v>
      </c>
      <c r="B16" s="44">
        <v>125.32</v>
      </c>
      <c r="C16" s="19">
        <v>581.09699999999998</v>
      </c>
      <c r="D16" s="39">
        <f t="shared" si="1"/>
        <v>59.532527404979</v>
      </c>
      <c r="E16" s="19">
        <v>46.773000000000003</v>
      </c>
      <c r="F16" s="39">
        <f t="shared" si="2"/>
        <v>75.127815104589104</v>
      </c>
      <c r="G16" s="20">
        <v>7.29</v>
      </c>
      <c r="H16" s="39">
        <f t="shared" si="3"/>
        <v>11.709357366695601</v>
      </c>
      <c r="I16" s="56">
        <v>8.0459999999999994</v>
      </c>
      <c r="J16" s="39">
        <f t="shared" si="4"/>
        <v>12.9236610936122</v>
      </c>
      <c r="K16" s="19">
        <v>0</v>
      </c>
      <c r="L16" s="19">
        <v>0.1489</v>
      </c>
      <c r="M16" s="39">
        <f t="shared" si="5"/>
        <v>0.239166435103015</v>
      </c>
      <c r="N16" s="20">
        <f t="shared" si="12"/>
        <v>62.257899999999999</v>
      </c>
      <c r="O16" s="15">
        <v>2.2000000000000002</v>
      </c>
      <c r="P16" s="19">
        <v>0</v>
      </c>
      <c r="Q16" s="15">
        <v>122.15</v>
      </c>
      <c r="R16" s="60">
        <v>520.66399999999999</v>
      </c>
      <c r="S16" s="39">
        <f t="shared" si="6"/>
        <v>53.341256018850501</v>
      </c>
      <c r="T16" s="20">
        <f t="shared" si="7"/>
        <v>4.0248999999999997</v>
      </c>
      <c r="U16" s="32">
        <f t="shared" si="0"/>
        <v>4.0248999999999997</v>
      </c>
      <c r="V16" s="35">
        <f t="shared" si="13"/>
        <v>11.7469384306776</v>
      </c>
      <c r="W16" s="32">
        <f t="shared" si="8"/>
        <v>522.86400000000003</v>
      </c>
      <c r="X16" s="32">
        <f t="shared" si="9"/>
        <v>520.66399999999999</v>
      </c>
      <c r="Y16" s="32">
        <f t="shared" si="10"/>
        <v>-515.49390000000005</v>
      </c>
    </row>
    <row r="17" spans="1:25" ht="30.75" customHeight="1">
      <c r="A17" s="18">
        <v>42430</v>
      </c>
      <c r="B17" s="44">
        <v>122.02</v>
      </c>
      <c r="C17" s="19">
        <v>518.25599999999997</v>
      </c>
      <c r="D17" s="39">
        <f t="shared" si="1"/>
        <v>53.0945599836082</v>
      </c>
      <c r="E17" s="19">
        <v>46.332999999999998</v>
      </c>
      <c r="F17" s="39">
        <f t="shared" si="2"/>
        <v>71.3353143138674</v>
      </c>
      <c r="G17" s="20">
        <v>5.79</v>
      </c>
      <c r="H17" s="39">
        <f t="shared" si="3"/>
        <v>8.9144124031962608</v>
      </c>
      <c r="I17" s="56">
        <v>12.693</v>
      </c>
      <c r="J17" s="39">
        <f t="shared" si="4"/>
        <v>19.542424289079499</v>
      </c>
      <c r="K17" s="19">
        <v>0</v>
      </c>
      <c r="L17" s="19">
        <v>0.13500000000000001</v>
      </c>
      <c r="M17" s="39">
        <f t="shared" si="5"/>
        <v>0.207848993856908</v>
      </c>
      <c r="N17" s="20">
        <f t="shared" si="12"/>
        <v>64.950999999999993</v>
      </c>
      <c r="O17" s="15">
        <v>2.2000000000000002</v>
      </c>
      <c r="P17" s="19">
        <v>0</v>
      </c>
      <c r="Q17" s="15">
        <v>118.48</v>
      </c>
      <c r="R17" s="60">
        <v>456.04599999999999</v>
      </c>
      <c r="S17" s="39">
        <f t="shared" si="6"/>
        <v>46.721237578116998</v>
      </c>
      <c r="T17" s="20">
        <f t="shared" si="7"/>
        <v>4.94100000000003</v>
      </c>
      <c r="U17" s="32">
        <f t="shared" si="0"/>
        <v>4.94100000000003</v>
      </c>
      <c r="V17" s="35">
        <f t="shared" si="13"/>
        <v>13.411383832048401</v>
      </c>
      <c r="W17" s="32">
        <f t="shared" si="8"/>
        <v>458.24599999999998</v>
      </c>
      <c r="X17" s="32">
        <f t="shared" si="9"/>
        <v>456.04599999999999</v>
      </c>
      <c r="Y17" s="32">
        <f t="shared" si="10"/>
        <v>-582.80499999999995</v>
      </c>
    </row>
    <row r="18" spans="1:25" ht="30.75" customHeight="1">
      <c r="A18" s="18">
        <v>42461</v>
      </c>
      <c r="B18" s="44">
        <v>118.36</v>
      </c>
      <c r="C18" s="19">
        <v>454.02</v>
      </c>
      <c r="D18" s="39">
        <f t="shared" si="1"/>
        <v>46.5136768773691</v>
      </c>
      <c r="E18" s="19">
        <v>45.494999999999997</v>
      </c>
      <c r="F18" s="39">
        <f t="shared" si="2"/>
        <v>73.217952761988101</v>
      </c>
      <c r="G18" s="20">
        <v>7.5</v>
      </c>
      <c r="H18" s="39">
        <f t="shared" si="3"/>
        <v>12.070219710186</v>
      </c>
      <c r="I18" s="56">
        <v>9.0259999999999998</v>
      </c>
      <c r="J18" s="39">
        <f t="shared" si="4"/>
        <v>14.5261070805518</v>
      </c>
      <c r="K18" s="19">
        <v>0</v>
      </c>
      <c r="L18" s="19">
        <v>0.1154</v>
      </c>
      <c r="M18" s="39">
        <f t="shared" si="5"/>
        <v>0.18572044727406201</v>
      </c>
      <c r="N18" s="20">
        <f t="shared" si="12"/>
        <v>62.136400000000002</v>
      </c>
      <c r="O18" s="15">
        <v>2.5575999999999999</v>
      </c>
      <c r="P18" s="19">
        <v>0</v>
      </c>
      <c r="Q18" s="15">
        <v>114.84</v>
      </c>
      <c r="R18" s="60">
        <v>391.35199999999998</v>
      </c>
      <c r="S18" s="39">
        <f t="shared" si="6"/>
        <v>40.093433049892397</v>
      </c>
      <c r="T18" s="20">
        <f t="shared" si="7"/>
        <v>2.0259999999999998</v>
      </c>
      <c r="U18" s="32">
        <f t="shared" si="0"/>
        <v>2.0259999999999998</v>
      </c>
      <c r="V18" s="35">
        <f t="shared" si="13"/>
        <v>15.6284060157361</v>
      </c>
      <c r="W18" s="32">
        <f t="shared" si="8"/>
        <v>393.90960000000001</v>
      </c>
      <c r="X18" s="32">
        <f t="shared" si="9"/>
        <v>391.35199999999998</v>
      </c>
      <c r="Y18" s="32">
        <f t="shared" si="10"/>
        <v>-644.32680000000005</v>
      </c>
    </row>
    <row r="19" spans="1:25" ht="30.75" customHeight="1">
      <c r="A19" s="18">
        <v>42491</v>
      </c>
      <c r="B19" s="44">
        <v>114.37</v>
      </c>
      <c r="C19" s="19">
        <v>392.74799999999999</v>
      </c>
      <c r="D19" s="39">
        <f t="shared" si="1"/>
        <v>40.236451183280401</v>
      </c>
      <c r="E19" s="19">
        <v>49.064999999999998</v>
      </c>
      <c r="F19" s="39">
        <f t="shared" si="2"/>
        <v>88.020809974436006</v>
      </c>
      <c r="G19" s="20">
        <v>6.58</v>
      </c>
      <c r="H19" s="39">
        <f t="shared" si="3"/>
        <v>11.804278602502601</v>
      </c>
      <c r="I19" s="56">
        <v>0</v>
      </c>
      <c r="J19" s="39">
        <f t="shared" si="4"/>
        <v>0</v>
      </c>
      <c r="K19" s="19">
        <v>0</v>
      </c>
      <c r="L19" s="19">
        <v>9.7500000000000003E-2</v>
      </c>
      <c r="M19" s="39">
        <f t="shared" si="5"/>
        <v>0.17491142306139801</v>
      </c>
      <c r="N19" s="20">
        <f t="shared" si="12"/>
        <v>55.7425</v>
      </c>
      <c r="O19" s="15">
        <v>2.98</v>
      </c>
      <c r="P19" s="19">
        <v>0</v>
      </c>
      <c r="Q19" s="15">
        <v>110.68</v>
      </c>
      <c r="R19" s="60">
        <v>335.57299999999998</v>
      </c>
      <c r="S19" s="39">
        <f t="shared" si="6"/>
        <v>34.3789570740703</v>
      </c>
      <c r="T19" s="20">
        <f t="shared" si="7"/>
        <v>1.5474999999999799</v>
      </c>
      <c r="U19" s="32">
        <f t="shared" si="0"/>
        <v>1.5474999999999799</v>
      </c>
      <c r="V19" s="35">
        <f t="shared" si="13"/>
        <v>18.2261622689261</v>
      </c>
      <c r="W19" s="32">
        <f t="shared" si="8"/>
        <v>338.553</v>
      </c>
      <c r="X19" s="32">
        <f t="shared" si="9"/>
        <v>335.57299999999998</v>
      </c>
      <c r="Y19" s="32">
        <f t="shared" si="10"/>
        <v>-693.28949999999998</v>
      </c>
    </row>
    <row r="20" spans="1:25">
      <c r="A20" s="46" t="s">
        <v>28</v>
      </c>
      <c r="B20" s="28"/>
      <c r="C20" s="47"/>
      <c r="D20" s="39"/>
      <c r="E20" s="47"/>
      <c r="F20" s="39"/>
      <c r="G20" s="48"/>
      <c r="H20" s="39"/>
      <c r="I20" s="50"/>
      <c r="J20" s="39"/>
      <c r="K20" s="47"/>
      <c r="L20" s="47"/>
      <c r="M20" s="39"/>
      <c r="N20" s="48"/>
      <c r="O20" s="57"/>
      <c r="P20" s="47"/>
      <c r="Q20" s="57"/>
      <c r="R20" s="57"/>
      <c r="S20" s="39"/>
      <c r="T20" s="48"/>
      <c r="W20" s="32">
        <f t="shared" si="8"/>
        <v>0</v>
      </c>
      <c r="X20" s="32">
        <f t="shared" si="9"/>
        <v>0</v>
      </c>
      <c r="Y20" s="32">
        <f t="shared" si="10"/>
        <v>-976.1</v>
      </c>
    </row>
    <row r="21" spans="1:25">
      <c r="A21" s="49"/>
      <c r="B21" s="28"/>
      <c r="C21" s="47"/>
      <c r="D21" s="47"/>
      <c r="E21" s="47"/>
      <c r="F21" s="48"/>
      <c r="G21" s="48"/>
      <c r="H21" s="50"/>
      <c r="I21" s="50"/>
      <c r="J21" s="47"/>
      <c r="K21" s="47"/>
      <c r="L21" s="47"/>
      <c r="M21" s="48"/>
      <c r="N21" s="48"/>
      <c r="O21" s="57"/>
      <c r="P21" s="47"/>
      <c r="Q21" s="57"/>
      <c r="R21" s="57"/>
      <c r="S21" s="48"/>
      <c r="T21" s="48"/>
    </row>
    <row r="22" spans="1:25">
      <c r="A22" s="49"/>
      <c r="B22" s="28"/>
      <c r="C22" s="47"/>
      <c r="D22" s="47"/>
      <c r="E22" s="47"/>
      <c r="F22" s="48"/>
      <c r="G22" s="48"/>
      <c r="H22" s="50"/>
      <c r="I22" s="50"/>
      <c r="J22" s="47"/>
      <c r="K22" s="47"/>
      <c r="L22" s="47"/>
      <c r="M22" s="48"/>
      <c r="N22" s="48"/>
      <c r="O22" s="57"/>
      <c r="P22" s="47"/>
      <c r="Q22" s="57"/>
      <c r="R22" s="57"/>
      <c r="S22" s="48"/>
      <c r="T22" s="48"/>
    </row>
    <row r="23" spans="1:25" ht="15.6">
      <c r="A23" s="49"/>
      <c r="B23" s="95" t="s">
        <v>29</v>
      </c>
      <c r="C23" s="95"/>
      <c r="D23" s="95"/>
      <c r="E23" s="95"/>
      <c r="F23" s="52"/>
      <c r="G23" s="52"/>
      <c r="H23" s="53"/>
      <c r="I23" s="53"/>
      <c r="J23" s="58"/>
      <c r="K23" s="58"/>
      <c r="L23" s="58"/>
      <c r="M23" s="52"/>
      <c r="N23" s="52"/>
      <c r="O23" s="54"/>
      <c r="P23" s="95" t="s">
        <v>30</v>
      </c>
      <c r="Q23" s="95"/>
      <c r="R23" s="95"/>
      <c r="S23" s="52"/>
      <c r="T23" s="52"/>
    </row>
    <row r="24" spans="1:25">
      <c r="A24" s="49"/>
      <c r="B24" s="86" t="s">
        <v>31</v>
      </c>
      <c r="C24" s="86"/>
      <c r="D24" s="86"/>
      <c r="E24" s="86"/>
      <c r="F24" s="52"/>
      <c r="G24" s="52"/>
      <c r="H24" s="53"/>
      <c r="I24" s="53"/>
      <c r="J24" s="58"/>
      <c r="K24" s="58"/>
      <c r="L24" s="58"/>
      <c r="M24" s="52"/>
      <c r="N24" s="52"/>
      <c r="O24" s="86" t="s">
        <v>32</v>
      </c>
      <c r="P24" s="86"/>
      <c r="Q24" s="86"/>
      <c r="R24" s="86"/>
      <c r="S24" s="86"/>
      <c r="T24" s="86"/>
    </row>
    <row r="25" spans="1:25">
      <c r="A25" s="49"/>
      <c r="B25" s="86" t="s">
        <v>33</v>
      </c>
      <c r="C25" s="86"/>
      <c r="D25" s="86"/>
      <c r="E25" s="86"/>
      <c r="F25" s="52"/>
      <c r="G25" s="52"/>
      <c r="H25" s="53"/>
      <c r="I25" s="53"/>
      <c r="J25" s="58"/>
      <c r="K25" s="58"/>
      <c r="L25" s="58"/>
      <c r="M25" s="52"/>
      <c r="N25" s="52"/>
      <c r="O25" s="54"/>
      <c r="P25" s="86" t="s">
        <v>33</v>
      </c>
      <c r="Q25" s="86"/>
      <c r="R25" s="86"/>
      <c r="S25" s="52"/>
      <c r="T25" s="52"/>
    </row>
  </sheetData>
  <mergeCells count="22">
    <mergeCell ref="B25:E25"/>
    <mergeCell ref="P25:R25"/>
    <mergeCell ref="A4:A6"/>
    <mergeCell ref="B4:B6"/>
    <mergeCell ref="C4:C6"/>
    <mergeCell ref="E5:E6"/>
    <mergeCell ref="G5:G6"/>
    <mergeCell ref="I5:I6"/>
    <mergeCell ref="K5:K6"/>
    <mergeCell ref="L5:L6"/>
    <mergeCell ref="N4:N6"/>
    <mergeCell ref="O4:O6"/>
    <mergeCell ref="P4:P6"/>
    <mergeCell ref="Q4:Q6"/>
    <mergeCell ref="R4:R6"/>
    <mergeCell ref="A1:T1"/>
    <mergeCell ref="E4:L4"/>
    <mergeCell ref="B23:E23"/>
    <mergeCell ref="P23:R23"/>
    <mergeCell ref="B24:E24"/>
    <mergeCell ref="O24:T24"/>
    <mergeCell ref="T4:T6"/>
  </mergeCells>
  <printOptions horizontalCentered="1" verticalCentered="1"/>
  <pageMargins left="0.45" right="0.45" top="0.5" bottom="0.5" header="0.3" footer="0.3"/>
  <pageSetup scale="74" orientation="landscape" r:id="rId1"/>
  <colBreaks count="1" manualBreakCount="1">
    <brk id="25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Z26"/>
  <sheetViews>
    <sheetView topLeftCell="F11" workbookViewId="0">
      <selection activeCell="A8" sqref="A8:U19"/>
    </sheetView>
  </sheetViews>
  <sheetFormatPr defaultColWidth="9" defaultRowHeight="14.4"/>
  <cols>
    <col min="4" max="5" width="9.33203125" customWidth="1"/>
    <col min="17" max="17" width="9.6640625" customWidth="1"/>
    <col min="20" max="21" width="9.33203125" customWidth="1"/>
  </cols>
  <sheetData>
    <row r="1" spans="1:26" ht="15.6">
      <c r="A1" s="81" t="s">
        <v>60</v>
      </c>
      <c r="B1" s="82"/>
      <c r="C1" s="81"/>
      <c r="D1" s="81"/>
      <c r="E1" s="81"/>
      <c r="F1" s="81"/>
      <c r="G1" s="81"/>
      <c r="H1" s="81"/>
      <c r="I1" s="81"/>
      <c r="J1" s="82"/>
      <c r="K1" s="82"/>
      <c r="L1" s="82"/>
      <c r="M1" s="82"/>
      <c r="N1" s="82"/>
      <c r="O1" s="82"/>
      <c r="P1" s="82"/>
      <c r="Q1" s="81"/>
      <c r="R1" s="82"/>
      <c r="S1" s="82"/>
      <c r="T1" s="82"/>
      <c r="U1" s="82"/>
    </row>
    <row r="2" spans="1:26" ht="15.6">
      <c r="A2" s="3" t="s">
        <v>1</v>
      </c>
      <c r="B2" s="80" t="s">
        <v>2</v>
      </c>
      <c r="C2" s="4"/>
      <c r="D2" s="4"/>
      <c r="E2" s="4"/>
      <c r="F2" s="4"/>
      <c r="G2" s="4"/>
      <c r="H2" s="3"/>
      <c r="I2" s="3"/>
      <c r="J2" s="5"/>
      <c r="K2" s="5"/>
      <c r="L2" s="5"/>
      <c r="M2" s="5"/>
      <c r="N2" s="5"/>
      <c r="O2" s="5"/>
      <c r="P2" s="5"/>
      <c r="Q2" s="3"/>
      <c r="R2" s="5"/>
      <c r="S2" s="5"/>
      <c r="T2" s="5"/>
      <c r="U2" s="5"/>
    </row>
    <row r="3" spans="1:26" ht="15.6">
      <c r="A3" s="3" t="s">
        <v>3</v>
      </c>
      <c r="B3" s="80" t="s">
        <v>4</v>
      </c>
      <c r="C3" s="6"/>
      <c r="D3" s="6"/>
      <c r="E3" s="6"/>
      <c r="F3" s="6"/>
      <c r="G3" s="6"/>
      <c r="H3" s="6"/>
      <c r="I3" s="6"/>
      <c r="J3" s="7"/>
      <c r="K3" s="7"/>
      <c r="L3" s="7"/>
      <c r="M3" s="7"/>
      <c r="N3" s="7"/>
      <c r="O3" s="7"/>
      <c r="P3" s="7"/>
      <c r="Q3" s="6"/>
      <c r="R3" s="7"/>
      <c r="S3" s="7"/>
      <c r="T3" s="7"/>
      <c r="U3" s="7"/>
    </row>
    <row r="4" spans="1:26">
      <c r="A4" s="88" t="s">
        <v>5</v>
      </c>
      <c r="B4" s="89" t="s">
        <v>6</v>
      </c>
      <c r="C4" s="87" t="s">
        <v>7</v>
      </c>
      <c r="D4" s="43"/>
      <c r="E4" s="83" t="s">
        <v>8</v>
      </c>
      <c r="F4" s="84"/>
      <c r="G4" s="84"/>
      <c r="H4" s="84"/>
      <c r="I4" s="84"/>
      <c r="J4" s="84"/>
      <c r="K4" s="84"/>
      <c r="L4" s="84"/>
      <c r="M4" s="85"/>
      <c r="N4" s="55"/>
      <c r="O4" s="92" t="s">
        <v>9</v>
      </c>
      <c r="P4" s="92" t="s">
        <v>10</v>
      </c>
      <c r="Q4" s="92" t="s">
        <v>11</v>
      </c>
      <c r="R4" s="89" t="s">
        <v>12</v>
      </c>
      <c r="S4" s="87" t="s">
        <v>13</v>
      </c>
      <c r="T4" s="9"/>
      <c r="U4" s="87" t="s">
        <v>14</v>
      </c>
    </row>
    <row r="5" spans="1:26">
      <c r="A5" s="88"/>
      <c r="B5" s="90"/>
      <c r="C5" s="87"/>
      <c r="D5" s="27"/>
      <c r="E5" s="89" t="s">
        <v>15</v>
      </c>
      <c r="F5" s="27"/>
      <c r="G5" s="89" t="s">
        <v>16</v>
      </c>
      <c r="H5" s="27"/>
      <c r="I5" s="89" t="s">
        <v>17</v>
      </c>
      <c r="J5" s="27"/>
      <c r="K5" s="92" t="s">
        <v>18</v>
      </c>
      <c r="L5" s="10"/>
      <c r="M5" s="92" t="s">
        <v>19</v>
      </c>
      <c r="N5" s="10"/>
      <c r="O5" s="92"/>
      <c r="P5" s="92"/>
      <c r="Q5" s="92"/>
      <c r="R5" s="90"/>
      <c r="S5" s="87"/>
      <c r="T5" s="9"/>
      <c r="U5" s="87"/>
    </row>
    <row r="6" spans="1:26" ht="91.05" customHeight="1">
      <c r="A6" s="88"/>
      <c r="B6" s="91"/>
      <c r="C6" s="87"/>
      <c r="D6" s="13"/>
      <c r="E6" s="91"/>
      <c r="F6" s="13"/>
      <c r="G6" s="91"/>
      <c r="H6" s="13"/>
      <c r="I6" s="91"/>
      <c r="J6" s="13"/>
      <c r="K6" s="92"/>
      <c r="L6" s="10"/>
      <c r="M6" s="92"/>
      <c r="N6" s="10"/>
      <c r="O6" s="92"/>
      <c r="P6" s="92"/>
      <c r="Q6" s="92"/>
      <c r="R6" s="91"/>
      <c r="S6" s="87"/>
      <c r="T6" s="9"/>
      <c r="U6" s="87"/>
      <c r="V6" s="29" t="s">
        <v>20</v>
      </c>
    </row>
    <row r="7" spans="1:26">
      <c r="A7" s="15">
        <v>1</v>
      </c>
      <c r="B7" s="17">
        <v>2</v>
      </c>
      <c r="C7" s="16">
        <v>3</v>
      </c>
      <c r="D7" s="15"/>
      <c r="E7" s="15">
        <v>4</v>
      </c>
      <c r="F7" s="15"/>
      <c r="G7" s="15">
        <v>5</v>
      </c>
      <c r="H7" s="15"/>
      <c r="I7" s="15">
        <v>6</v>
      </c>
      <c r="J7" s="17"/>
      <c r="K7" s="17">
        <v>7</v>
      </c>
      <c r="L7" s="17"/>
      <c r="M7" s="17">
        <v>8</v>
      </c>
      <c r="N7" s="17"/>
      <c r="O7" s="17">
        <v>9</v>
      </c>
      <c r="P7" s="17">
        <v>10</v>
      </c>
      <c r="Q7" s="15">
        <v>11</v>
      </c>
      <c r="R7" s="59">
        <v>12</v>
      </c>
      <c r="S7" s="17">
        <v>13</v>
      </c>
      <c r="T7" s="17"/>
      <c r="U7" s="17">
        <v>14</v>
      </c>
    </row>
    <row r="8" spans="1:26" ht="30.75" customHeight="1">
      <c r="A8" s="18">
        <v>41791</v>
      </c>
      <c r="B8" s="44">
        <v>113.25</v>
      </c>
      <c r="C8" s="19">
        <v>372.92700000000002</v>
      </c>
      <c r="D8" s="39">
        <f>(C8/976.1)*100</f>
        <v>38.205819075914398</v>
      </c>
      <c r="E8" s="19">
        <v>57.481999999999999</v>
      </c>
      <c r="F8" s="39">
        <f>(E8/O8)*100</f>
        <v>78.465150563761</v>
      </c>
      <c r="G8" s="45">
        <v>15.68</v>
      </c>
      <c r="H8" s="39">
        <f>(G8/O8)*100</f>
        <v>21.4038057277021</v>
      </c>
      <c r="I8" s="56">
        <v>0</v>
      </c>
      <c r="J8" s="39">
        <f>(I8/O8)*100</f>
        <v>0</v>
      </c>
      <c r="K8" s="19">
        <v>0</v>
      </c>
      <c r="L8" s="39">
        <f>(K8/O8)*100</f>
        <v>0</v>
      </c>
      <c r="M8" s="19">
        <v>9.6000000000000002E-2</v>
      </c>
      <c r="N8" s="39">
        <f>(M8/O8)*100</f>
        <v>0.13104370853695199</v>
      </c>
      <c r="O8" s="20">
        <f>E8+G8+I8+K8+M8</f>
        <v>73.257999999999996</v>
      </c>
      <c r="P8" s="15">
        <v>2.3260000000000001</v>
      </c>
      <c r="Q8" s="19">
        <v>0</v>
      </c>
      <c r="R8" s="15">
        <v>108.23</v>
      </c>
      <c r="S8" s="60">
        <v>301.79599999999999</v>
      </c>
      <c r="T8" s="39">
        <f>(S8/976.1)*100</f>
        <v>30.918553426902999</v>
      </c>
      <c r="U8" s="20">
        <f>IF(O8+P8+Q8+(S8-C8)&gt;0,O8+P8+Q8+(S8-C8),0)</f>
        <v>4.4529999999999701</v>
      </c>
      <c r="V8" s="35">
        <f t="shared" ref="V8:V19" si="0">(15000000/(2725*0.9*R8))</f>
        <v>56.511207161326197</v>
      </c>
      <c r="W8" s="32">
        <f>C8-S8</f>
        <v>71.131</v>
      </c>
      <c r="X8" s="32">
        <f>C8+U8-P8</f>
        <v>375.05399999999997</v>
      </c>
      <c r="Y8" s="32">
        <f>X8-O8-Q8</f>
        <v>301.79599999999999</v>
      </c>
      <c r="Z8" s="32">
        <f>X8-O8-976.1</f>
        <v>-674.30399999999997</v>
      </c>
    </row>
    <row r="9" spans="1:26" ht="30.75" customHeight="1">
      <c r="A9" s="18">
        <v>41821</v>
      </c>
      <c r="B9" s="44">
        <v>108.04</v>
      </c>
      <c r="C9" s="19">
        <v>299.23700000000002</v>
      </c>
      <c r="D9" s="39">
        <f t="shared" ref="D9:D20" si="1">(C9/976.1)*100</f>
        <v>30.656387665198199</v>
      </c>
      <c r="E9" s="19">
        <v>21.195</v>
      </c>
      <c r="F9" s="39">
        <f t="shared" ref="F9:F19" si="2">(E9/O9)*100</f>
        <v>60.475932319456703</v>
      </c>
      <c r="G9" s="15">
        <v>13.75</v>
      </c>
      <c r="H9" s="39">
        <f t="shared" ref="H9:H19" si="3">(G9/O9)*100</f>
        <v>39.233029931235201</v>
      </c>
      <c r="I9" s="56">
        <v>0</v>
      </c>
      <c r="J9" s="39">
        <f t="shared" ref="J9:J19" si="4">(I9/O9)*100</f>
        <v>0</v>
      </c>
      <c r="K9" s="19">
        <v>0</v>
      </c>
      <c r="L9" s="39">
        <f t="shared" ref="L9:L19" si="5">(K9/O9)*100</f>
        <v>0</v>
      </c>
      <c r="M9" s="19">
        <v>0.10199999999999999</v>
      </c>
      <c r="N9" s="39">
        <f t="shared" ref="N9:N19" si="6">(M9/O9)*100</f>
        <v>0.29103774930807202</v>
      </c>
      <c r="O9" s="20">
        <f>E9+G9+I9+K9+M9</f>
        <v>35.046999999999997</v>
      </c>
      <c r="P9" s="15">
        <v>0.51500000000000001</v>
      </c>
      <c r="Q9" s="19">
        <v>0</v>
      </c>
      <c r="R9" s="15">
        <v>126.19</v>
      </c>
      <c r="S9" s="60">
        <v>594.96299999999997</v>
      </c>
      <c r="T9" s="39">
        <f t="shared" ref="T9:T20" si="7">(S9/976.1)*100</f>
        <v>60.953078578014498</v>
      </c>
      <c r="U9" s="20">
        <f t="shared" ref="U9:U19" si="8">IF(O9+P9+Q9+(S9-C9)&gt;0,O9+P9+Q9+(S9-C9),0)</f>
        <v>331.28800000000001</v>
      </c>
      <c r="V9" s="35">
        <f t="shared" si="0"/>
        <v>48.468245907523098</v>
      </c>
      <c r="W9" s="32">
        <f>O8+P8</f>
        <v>75.584000000000003</v>
      </c>
      <c r="X9" s="32">
        <f t="shared" ref="X9:X20" si="9">C9+U9-O9</f>
        <v>595.47799999999995</v>
      </c>
      <c r="Y9" s="32">
        <f t="shared" ref="Y9:Y20" si="10">X9-O9-Q9</f>
        <v>560.43100000000004</v>
      </c>
      <c r="Z9" s="32">
        <f>X9-O9-976.1</f>
        <v>-415.66899999999998</v>
      </c>
    </row>
    <row r="10" spans="1:26" ht="30.75" customHeight="1">
      <c r="A10" s="18">
        <v>41852</v>
      </c>
      <c r="B10" s="44">
        <v>128.13999999999999</v>
      </c>
      <c r="C10" s="19">
        <v>638.49199999999996</v>
      </c>
      <c r="D10" s="39">
        <f t="shared" si="1"/>
        <v>65.412560188505296</v>
      </c>
      <c r="E10" s="19">
        <v>0</v>
      </c>
      <c r="F10" s="39">
        <f t="shared" si="2"/>
        <v>0</v>
      </c>
      <c r="G10" s="15">
        <v>10.56</v>
      </c>
      <c r="H10" s="39">
        <f t="shared" si="3"/>
        <v>91.932408785813195</v>
      </c>
      <c r="I10" s="56">
        <v>0</v>
      </c>
      <c r="J10" s="39">
        <f t="shared" si="4"/>
        <v>0</v>
      </c>
      <c r="K10" s="19">
        <v>0.59</v>
      </c>
      <c r="L10" s="39">
        <f t="shared" si="5"/>
        <v>5.1363751120861503</v>
      </c>
      <c r="M10" s="19">
        <v>0.3367</v>
      </c>
      <c r="N10" s="39">
        <f t="shared" si="6"/>
        <v>2.9312161021006902</v>
      </c>
      <c r="O10" s="20">
        <f t="shared" ref="O10:O12" si="11">E10+G10+I10+K10+M10</f>
        <v>11.486700000000001</v>
      </c>
      <c r="P10" s="15">
        <v>0.85699999999999998</v>
      </c>
      <c r="Q10" s="19">
        <v>0</v>
      </c>
      <c r="R10" s="15">
        <v>140.19</v>
      </c>
      <c r="S10" s="60">
        <v>924.52</v>
      </c>
      <c r="T10" s="39">
        <f t="shared" si="7"/>
        <v>94.715705358057605</v>
      </c>
      <c r="U10" s="20">
        <f t="shared" si="8"/>
        <v>298.37169999999998</v>
      </c>
      <c r="V10" s="35">
        <f t="shared" si="0"/>
        <v>43.627990235183198</v>
      </c>
      <c r="W10" s="32">
        <f>W9-W8</f>
        <v>4.4529999999999701</v>
      </c>
      <c r="X10" s="32">
        <f t="shared" si="9"/>
        <v>925.37699999999995</v>
      </c>
      <c r="Y10" s="32">
        <f t="shared" si="10"/>
        <v>913.89030000000002</v>
      </c>
      <c r="Z10" s="32">
        <f>X10-O10-976.1</f>
        <v>-62.209700000000197</v>
      </c>
    </row>
    <row r="11" spans="1:26" ht="30.75" customHeight="1">
      <c r="A11" s="18">
        <v>41883</v>
      </c>
      <c r="B11" s="44">
        <v>140.85</v>
      </c>
      <c r="C11" s="19">
        <v>942.62800000000004</v>
      </c>
      <c r="D11" s="39">
        <f t="shared" si="1"/>
        <v>96.570843151316495</v>
      </c>
      <c r="E11" s="19">
        <v>9.7970000000000006</v>
      </c>
      <c r="F11" s="39">
        <f t="shared" si="2"/>
        <v>4.5584191400561096</v>
      </c>
      <c r="G11" s="15">
        <v>13.33</v>
      </c>
      <c r="H11" s="39">
        <f t="shared" si="3"/>
        <v>6.2022789769264097</v>
      </c>
      <c r="I11" s="56">
        <v>0</v>
      </c>
      <c r="J11" s="39">
        <f t="shared" si="4"/>
        <v>0</v>
      </c>
      <c r="K11" s="19">
        <v>191.21600000000001</v>
      </c>
      <c r="L11" s="39">
        <f t="shared" si="5"/>
        <v>88.970365855360797</v>
      </c>
      <c r="M11" s="19">
        <v>0.57799999999999996</v>
      </c>
      <c r="N11" s="39">
        <f t="shared" si="6"/>
        <v>0.26893602765667401</v>
      </c>
      <c r="O11" s="20">
        <f t="shared" si="11"/>
        <v>214.92099999999999</v>
      </c>
      <c r="P11" s="15">
        <v>1.0860000000000001</v>
      </c>
      <c r="Q11" s="19">
        <v>0</v>
      </c>
      <c r="R11" s="15">
        <v>141.54</v>
      </c>
      <c r="S11" s="60">
        <v>962.596</v>
      </c>
      <c r="T11" s="39">
        <f t="shared" si="7"/>
        <v>98.616535191066504</v>
      </c>
      <c r="U11" s="20">
        <f t="shared" si="8"/>
        <v>235.97499999999999</v>
      </c>
      <c r="V11" s="35">
        <f t="shared" si="0"/>
        <v>43.211869090506802</v>
      </c>
      <c r="X11" s="32">
        <f t="shared" si="9"/>
        <v>963.68200000000002</v>
      </c>
      <c r="Y11" s="32">
        <f t="shared" si="10"/>
        <v>748.76099999999997</v>
      </c>
      <c r="Z11" s="32">
        <f t="shared" ref="Z11:Z20" si="12">X11-O11-976.1</f>
        <v>-227.339</v>
      </c>
    </row>
    <row r="12" spans="1:26" ht="30.75" customHeight="1">
      <c r="A12" s="18">
        <v>41913</v>
      </c>
      <c r="B12" s="44">
        <v>141.47</v>
      </c>
      <c r="C12" s="19">
        <v>960.54100000000005</v>
      </c>
      <c r="D12" s="39">
        <f t="shared" si="1"/>
        <v>98.406003483249705</v>
      </c>
      <c r="E12" s="19">
        <v>54.429000000000002</v>
      </c>
      <c r="F12" s="39">
        <f t="shared" si="2"/>
        <v>70.0132491220849</v>
      </c>
      <c r="G12" s="15">
        <v>13.95</v>
      </c>
      <c r="H12" s="39">
        <f t="shared" si="3"/>
        <v>17.9441993285396</v>
      </c>
      <c r="I12" s="56">
        <v>0</v>
      </c>
      <c r="J12" s="39">
        <f t="shared" si="4"/>
        <v>0</v>
      </c>
      <c r="K12" s="19">
        <v>8.7390000000000008</v>
      </c>
      <c r="L12" s="39">
        <f t="shared" si="5"/>
        <v>11.2411726116206</v>
      </c>
      <c r="M12" s="19">
        <v>0.623</v>
      </c>
      <c r="N12" s="39">
        <f t="shared" si="6"/>
        <v>0.80137893775485303</v>
      </c>
      <c r="O12" s="20">
        <f t="shared" si="11"/>
        <v>77.741</v>
      </c>
      <c r="P12" s="15">
        <v>2.4119999999999999</v>
      </c>
      <c r="Q12" s="19">
        <v>0</v>
      </c>
      <c r="R12" s="15">
        <v>139.08000000000001</v>
      </c>
      <c r="S12" s="60">
        <v>895.22500000000002</v>
      </c>
      <c r="T12" s="39">
        <f t="shared" si="7"/>
        <v>91.714475975822197</v>
      </c>
      <c r="U12" s="20">
        <f t="shared" si="8"/>
        <v>14.837</v>
      </c>
      <c r="V12" s="35">
        <f t="shared" si="0"/>
        <v>43.976186015748802</v>
      </c>
      <c r="X12" s="32">
        <f t="shared" si="9"/>
        <v>897.63699999999994</v>
      </c>
      <c r="Y12" s="32">
        <f t="shared" si="10"/>
        <v>819.89599999999996</v>
      </c>
      <c r="Z12" s="32">
        <f t="shared" si="12"/>
        <v>-156.20400000000001</v>
      </c>
    </row>
    <row r="13" spans="1:26" ht="30.75" customHeight="1">
      <c r="A13" s="18">
        <v>41944</v>
      </c>
      <c r="B13" s="44">
        <v>139</v>
      </c>
      <c r="C13" s="19">
        <v>893.13099999999997</v>
      </c>
      <c r="D13" s="39">
        <f t="shared" si="1"/>
        <v>91.499948775740194</v>
      </c>
      <c r="E13" s="19">
        <v>54.673000000000002</v>
      </c>
      <c r="F13" s="39">
        <f t="shared" si="2"/>
        <v>70.219624967891093</v>
      </c>
      <c r="G13" s="15">
        <v>13.497</v>
      </c>
      <c r="H13" s="39">
        <f t="shared" si="3"/>
        <v>17.334960184947299</v>
      </c>
      <c r="I13" s="56">
        <v>0</v>
      </c>
      <c r="J13" s="39">
        <f t="shared" si="4"/>
        <v>0</v>
      </c>
      <c r="K13" s="19">
        <v>9.26</v>
      </c>
      <c r="L13" s="39">
        <f t="shared" si="5"/>
        <v>11.8931415360904</v>
      </c>
      <c r="M13" s="19">
        <v>0.43</v>
      </c>
      <c r="N13" s="39">
        <f t="shared" si="6"/>
        <v>0.55227331107115296</v>
      </c>
      <c r="O13" s="20">
        <f t="shared" ref="O13:O19" si="13">E13+G13+I13+K13+M13</f>
        <v>77.86</v>
      </c>
      <c r="P13" s="15">
        <v>2.1949999999999998</v>
      </c>
      <c r="Q13" s="19">
        <v>0</v>
      </c>
      <c r="R13" s="15">
        <v>136.09</v>
      </c>
      <c r="S13" s="60">
        <v>819.77300000000002</v>
      </c>
      <c r="T13" s="39">
        <f t="shared" si="7"/>
        <v>83.984530273537501</v>
      </c>
      <c r="U13" s="20">
        <f t="shared" si="8"/>
        <v>6.6970000000000596</v>
      </c>
      <c r="V13" s="35">
        <f t="shared" si="0"/>
        <v>44.942376009040601</v>
      </c>
      <c r="X13" s="32">
        <f t="shared" si="9"/>
        <v>821.96799999999996</v>
      </c>
      <c r="Y13" s="32">
        <f t="shared" si="10"/>
        <v>744.10799999999995</v>
      </c>
      <c r="Z13" s="32">
        <f t="shared" si="12"/>
        <v>-231.99199999999999</v>
      </c>
    </row>
    <row r="14" spans="1:26" ht="30.75" customHeight="1">
      <c r="A14" s="18">
        <v>41974</v>
      </c>
      <c r="B14" s="44">
        <v>135.99</v>
      </c>
      <c r="C14" s="19">
        <v>817.30200000000002</v>
      </c>
      <c r="D14" s="39">
        <f t="shared" si="1"/>
        <v>83.7313799815593</v>
      </c>
      <c r="E14" s="19">
        <v>64.599000000000004</v>
      </c>
      <c r="F14" s="39">
        <f t="shared" si="2"/>
        <v>77.452191115640602</v>
      </c>
      <c r="G14" s="15">
        <v>11.18</v>
      </c>
      <c r="H14" s="39">
        <f t="shared" si="3"/>
        <v>13.4044721539476</v>
      </c>
      <c r="I14" s="56">
        <v>7.3170000000000002</v>
      </c>
      <c r="J14" s="39">
        <f t="shared" si="4"/>
        <v>8.7728553444038102</v>
      </c>
      <c r="K14" s="19">
        <v>0</v>
      </c>
      <c r="L14" s="39">
        <f t="shared" si="5"/>
        <v>0</v>
      </c>
      <c r="M14" s="19">
        <v>0.309</v>
      </c>
      <c r="N14" s="39">
        <f t="shared" si="6"/>
        <v>0.37048138600803299</v>
      </c>
      <c r="O14" s="20">
        <f t="shared" si="13"/>
        <v>83.405000000000001</v>
      </c>
      <c r="P14" s="15">
        <v>2.04</v>
      </c>
      <c r="Q14" s="19">
        <v>0</v>
      </c>
      <c r="R14" s="15">
        <v>132.62</v>
      </c>
      <c r="S14" s="60">
        <v>737.12900000000002</v>
      </c>
      <c r="T14" s="39">
        <f t="shared" si="7"/>
        <v>75.517774818153896</v>
      </c>
      <c r="U14" s="20">
        <f t="shared" si="8"/>
        <v>5.27200000000001</v>
      </c>
      <c r="V14" s="35">
        <f t="shared" si="0"/>
        <v>46.118292497891197</v>
      </c>
      <c r="X14" s="32">
        <f t="shared" si="9"/>
        <v>739.16899999999998</v>
      </c>
      <c r="Y14" s="32">
        <f t="shared" si="10"/>
        <v>655.76400000000001</v>
      </c>
      <c r="Z14" s="32">
        <f t="shared" si="12"/>
        <v>-320.33600000000001</v>
      </c>
    </row>
    <row r="15" spans="1:26" ht="30.75" customHeight="1">
      <c r="A15" s="18">
        <v>42005</v>
      </c>
      <c r="B15" s="44">
        <v>132.49</v>
      </c>
      <c r="C15" s="19">
        <v>734.14200000000005</v>
      </c>
      <c r="D15" s="39">
        <f t="shared" si="1"/>
        <v>75.211761090052207</v>
      </c>
      <c r="E15" s="19">
        <v>61.287999999999997</v>
      </c>
      <c r="F15" s="39">
        <f t="shared" si="2"/>
        <v>71.485391030500907</v>
      </c>
      <c r="G15" s="15">
        <v>9.5500000000000007</v>
      </c>
      <c r="H15" s="39">
        <f t="shared" si="3"/>
        <v>11.1389747477693</v>
      </c>
      <c r="I15" s="56">
        <v>14.66</v>
      </c>
      <c r="J15" s="39">
        <f t="shared" si="4"/>
        <v>17.099201026418601</v>
      </c>
      <c r="K15" s="19">
        <v>0</v>
      </c>
      <c r="L15" s="39">
        <f t="shared" si="5"/>
        <v>0</v>
      </c>
      <c r="M15" s="19">
        <v>0.23699999999999999</v>
      </c>
      <c r="N15" s="39">
        <f t="shared" si="6"/>
        <v>0.27643319531113297</v>
      </c>
      <c r="O15" s="20">
        <f t="shared" si="13"/>
        <v>85.734999999999999</v>
      </c>
      <c r="P15" s="15">
        <v>1.9530000000000001</v>
      </c>
      <c r="Q15" s="19">
        <v>0</v>
      </c>
      <c r="R15" s="15">
        <v>128.66</v>
      </c>
      <c r="S15" s="60">
        <v>649.49599999999998</v>
      </c>
      <c r="T15" s="39">
        <f t="shared" si="7"/>
        <v>66.539903698391598</v>
      </c>
      <c r="U15" s="20">
        <f t="shared" si="8"/>
        <v>3.0419999999999199</v>
      </c>
      <c r="V15" s="35">
        <f t="shared" si="0"/>
        <v>47.537758052777399</v>
      </c>
      <c r="X15" s="32">
        <f t="shared" si="9"/>
        <v>651.44899999999996</v>
      </c>
      <c r="Y15" s="32">
        <f t="shared" si="10"/>
        <v>565.71400000000006</v>
      </c>
      <c r="Z15" s="32">
        <f t="shared" si="12"/>
        <v>-410.38600000000002</v>
      </c>
    </row>
    <row r="16" spans="1:26" ht="30.75" customHeight="1">
      <c r="A16" s="18">
        <v>42036</v>
      </c>
      <c r="B16" s="44">
        <v>128.53</v>
      </c>
      <c r="C16" s="19">
        <v>646.745</v>
      </c>
      <c r="D16" s="39">
        <f t="shared" si="1"/>
        <v>66.258067820920004</v>
      </c>
      <c r="E16" s="19">
        <v>57.058999999999997</v>
      </c>
      <c r="F16" s="39">
        <f t="shared" si="2"/>
        <v>72.463234360315994</v>
      </c>
      <c r="G16" s="20">
        <v>5.8</v>
      </c>
      <c r="H16" s="39">
        <f t="shared" si="3"/>
        <v>7.3658276396332303</v>
      </c>
      <c r="I16" s="56">
        <v>15.714</v>
      </c>
      <c r="J16" s="39">
        <f t="shared" si="4"/>
        <v>19.9563130222753</v>
      </c>
      <c r="K16" s="19">
        <v>0</v>
      </c>
      <c r="L16" s="39">
        <f t="shared" si="5"/>
        <v>0</v>
      </c>
      <c r="M16" s="19">
        <v>0.16900000000000001</v>
      </c>
      <c r="N16" s="39">
        <f t="shared" si="6"/>
        <v>0.21462497777552</v>
      </c>
      <c r="O16" s="20">
        <f t="shared" si="13"/>
        <v>78.742000000000004</v>
      </c>
      <c r="P16" s="15">
        <v>2.198</v>
      </c>
      <c r="Q16" s="19">
        <v>0</v>
      </c>
      <c r="R16" s="15">
        <v>124.68</v>
      </c>
      <c r="S16" s="60">
        <v>568.55600000000004</v>
      </c>
      <c r="T16" s="39">
        <f t="shared" si="7"/>
        <v>58.247720520438499</v>
      </c>
      <c r="U16" s="20">
        <f t="shared" si="8"/>
        <v>2.7510000000000199</v>
      </c>
      <c r="V16" s="35">
        <f t="shared" si="0"/>
        <v>49.055245035854497</v>
      </c>
      <c r="X16" s="32">
        <f t="shared" si="9"/>
        <v>570.75400000000002</v>
      </c>
      <c r="Y16" s="32">
        <f t="shared" si="10"/>
        <v>492.012</v>
      </c>
      <c r="Z16" s="32">
        <f t="shared" si="12"/>
        <v>-484.08800000000002</v>
      </c>
    </row>
    <row r="17" spans="1:26" ht="30.75" customHeight="1">
      <c r="A17" s="18">
        <v>42064</v>
      </c>
      <c r="B17" s="44">
        <v>124.55</v>
      </c>
      <c r="C17" s="19">
        <v>566.03399999999999</v>
      </c>
      <c r="D17" s="39">
        <f t="shared" si="1"/>
        <v>57.9893453539596</v>
      </c>
      <c r="E17" s="19">
        <v>62.576999999999998</v>
      </c>
      <c r="F17" s="39">
        <f t="shared" si="2"/>
        <v>73.658995939026497</v>
      </c>
      <c r="G17" s="20">
        <v>7.5</v>
      </c>
      <c r="H17" s="39">
        <f t="shared" si="3"/>
        <v>8.8282031663822007</v>
      </c>
      <c r="I17" s="56">
        <v>14.725</v>
      </c>
      <c r="J17" s="39">
        <f t="shared" si="4"/>
        <v>17.332705549997101</v>
      </c>
      <c r="K17" s="19">
        <v>0</v>
      </c>
      <c r="L17" s="39">
        <f t="shared" si="5"/>
        <v>0</v>
      </c>
      <c r="M17" s="19">
        <v>0.153</v>
      </c>
      <c r="N17" s="39">
        <f t="shared" si="6"/>
        <v>0.18009534459419699</v>
      </c>
      <c r="O17" s="20">
        <f t="shared" si="13"/>
        <v>84.954999999999998</v>
      </c>
      <c r="P17" s="15">
        <v>2.8879999999999999</v>
      </c>
      <c r="Q17" s="19">
        <v>0</v>
      </c>
      <c r="R17" s="15">
        <v>119.98</v>
      </c>
      <c r="S17" s="60">
        <v>481.83699999999999</v>
      </c>
      <c r="T17" s="39">
        <f t="shared" si="7"/>
        <v>49.363487347607801</v>
      </c>
      <c r="U17" s="20">
        <f t="shared" si="8"/>
        <v>3.6459999999999999</v>
      </c>
      <c r="V17" s="35">
        <f t="shared" si="0"/>
        <v>50.976895741543103</v>
      </c>
      <c r="X17" s="32">
        <f t="shared" si="9"/>
        <v>484.72500000000002</v>
      </c>
      <c r="Y17" s="32">
        <f t="shared" si="10"/>
        <v>399.77</v>
      </c>
      <c r="Z17" s="32">
        <f t="shared" si="12"/>
        <v>-576.33000000000004</v>
      </c>
    </row>
    <row r="18" spans="1:26" ht="30.75" customHeight="1">
      <c r="A18" s="18">
        <v>42095</v>
      </c>
      <c r="B18" s="44">
        <v>119.81</v>
      </c>
      <c r="C18" s="19">
        <v>478.88600000000002</v>
      </c>
      <c r="D18" s="39">
        <f t="shared" si="1"/>
        <v>49.0611617662125</v>
      </c>
      <c r="E18" s="19">
        <v>57.301000000000002</v>
      </c>
      <c r="F18" s="39">
        <f t="shared" si="2"/>
        <v>68.853187858979595</v>
      </c>
      <c r="G18" s="20">
        <v>8.15</v>
      </c>
      <c r="H18" s="39">
        <f t="shared" si="3"/>
        <v>9.7930835596356793</v>
      </c>
      <c r="I18" s="56">
        <v>17.651</v>
      </c>
      <c r="J18" s="39">
        <f t="shared" si="4"/>
        <v>21.2095359400159</v>
      </c>
      <c r="K18" s="19">
        <v>0</v>
      </c>
      <c r="L18" s="39">
        <f t="shared" si="5"/>
        <v>0</v>
      </c>
      <c r="M18" s="19">
        <v>0.12</v>
      </c>
      <c r="N18" s="39">
        <f t="shared" si="6"/>
        <v>0.144192641368869</v>
      </c>
      <c r="O18" s="20">
        <f t="shared" si="13"/>
        <v>83.221999999999994</v>
      </c>
      <c r="P18" s="15">
        <v>3.411</v>
      </c>
      <c r="Q18" s="19">
        <v>0</v>
      </c>
      <c r="R18" s="15">
        <v>114.9</v>
      </c>
      <c r="S18" s="60">
        <v>398.17599999999999</v>
      </c>
      <c r="T18" s="39">
        <f t="shared" si="7"/>
        <v>40.7925417477717</v>
      </c>
      <c r="U18" s="20">
        <f t="shared" si="8"/>
        <v>5.9229999999999698</v>
      </c>
      <c r="V18" s="35">
        <f t="shared" si="0"/>
        <v>53.230704534989897</v>
      </c>
      <c r="X18" s="32">
        <f t="shared" si="9"/>
        <v>401.58699999999999</v>
      </c>
      <c r="Y18" s="32">
        <f t="shared" si="10"/>
        <v>318.36500000000001</v>
      </c>
      <c r="Z18" s="32">
        <f t="shared" si="12"/>
        <v>-657.73500000000001</v>
      </c>
    </row>
    <row r="19" spans="1:26" ht="30.75" customHeight="1">
      <c r="A19" s="18">
        <v>42125</v>
      </c>
      <c r="B19" s="44">
        <v>114.73</v>
      </c>
      <c r="C19" s="19">
        <v>395.53899999999999</v>
      </c>
      <c r="D19" s="39">
        <f t="shared" si="1"/>
        <v>40.522385001536698</v>
      </c>
      <c r="E19" s="19">
        <v>59.097000000000001</v>
      </c>
      <c r="F19" s="39">
        <f t="shared" si="2"/>
        <v>76.123555704404097</v>
      </c>
      <c r="G19" s="20">
        <v>15.7</v>
      </c>
      <c r="H19" s="39">
        <f t="shared" si="3"/>
        <v>20.223358623265899</v>
      </c>
      <c r="I19" s="56">
        <v>2.734</v>
      </c>
      <c r="J19" s="39">
        <f t="shared" si="4"/>
        <v>3.5216982468795499</v>
      </c>
      <c r="K19" s="19">
        <v>0</v>
      </c>
      <c r="L19" s="39">
        <f t="shared" si="5"/>
        <v>0</v>
      </c>
      <c r="M19" s="19">
        <v>0.10199999999999999</v>
      </c>
      <c r="N19" s="39">
        <f t="shared" si="6"/>
        <v>0.13138742545051699</v>
      </c>
      <c r="O19" s="20">
        <f t="shared" si="13"/>
        <v>77.632999999999996</v>
      </c>
      <c r="P19" s="15">
        <v>3.41</v>
      </c>
      <c r="Q19" s="19">
        <v>0</v>
      </c>
      <c r="R19" s="15">
        <v>109.41</v>
      </c>
      <c r="S19" s="60">
        <v>317.88400000000001</v>
      </c>
      <c r="T19" s="39">
        <f t="shared" si="7"/>
        <v>32.5667452105317</v>
      </c>
      <c r="U19" s="20">
        <f t="shared" si="8"/>
        <v>3.3880000000000199</v>
      </c>
      <c r="V19" s="35">
        <f t="shared" si="0"/>
        <v>55.901727000003099</v>
      </c>
      <c r="X19" s="32">
        <f t="shared" si="9"/>
        <v>321.29399999999998</v>
      </c>
      <c r="Y19" s="32">
        <f t="shared" si="10"/>
        <v>243.661</v>
      </c>
      <c r="Z19" s="32">
        <f t="shared" si="12"/>
        <v>-732.43899999999996</v>
      </c>
    </row>
    <row r="20" spans="1:26">
      <c r="A20" s="46" t="s">
        <v>28</v>
      </c>
      <c r="B20" s="28"/>
      <c r="C20" s="47"/>
      <c r="D20" s="39">
        <f t="shared" si="1"/>
        <v>0</v>
      </c>
      <c r="E20" s="47"/>
      <c r="F20" s="39"/>
      <c r="G20" s="48"/>
      <c r="H20" s="39"/>
      <c r="I20" s="50"/>
      <c r="J20" s="39"/>
      <c r="K20" s="47"/>
      <c r="L20" s="39"/>
      <c r="M20" s="47"/>
      <c r="N20" s="39"/>
      <c r="O20" s="48"/>
      <c r="P20" s="57"/>
      <c r="Q20" s="47"/>
      <c r="R20" s="57"/>
      <c r="S20" s="57"/>
      <c r="T20" s="39">
        <f t="shared" si="7"/>
        <v>0</v>
      </c>
      <c r="U20" s="48"/>
      <c r="X20" s="32">
        <f t="shared" si="9"/>
        <v>0</v>
      </c>
      <c r="Y20" s="32">
        <f t="shared" si="10"/>
        <v>0</v>
      </c>
      <c r="Z20" s="32">
        <f t="shared" si="12"/>
        <v>-976.1</v>
      </c>
    </row>
    <row r="21" spans="1:26">
      <c r="A21" s="49"/>
      <c r="B21" s="28"/>
      <c r="C21" s="47"/>
      <c r="D21" s="47"/>
      <c r="E21" s="47"/>
      <c r="F21" s="48"/>
      <c r="G21" s="48"/>
      <c r="H21" s="50"/>
      <c r="I21" s="50"/>
      <c r="J21" s="47"/>
      <c r="K21" s="47"/>
      <c r="L21" s="47"/>
      <c r="M21" s="47"/>
      <c r="N21" s="48"/>
      <c r="O21" s="48"/>
      <c r="P21" s="57"/>
      <c r="Q21" s="47"/>
      <c r="R21" s="57"/>
      <c r="S21" s="57"/>
      <c r="T21" s="48"/>
      <c r="U21" s="48"/>
    </row>
    <row r="22" spans="1:26">
      <c r="A22" s="49"/>
      <c r="B22" s="28"/>
      <c r="C22" s="47"/>
      <c r="D22" s="47"/>
      <c r="E22" s="47"/>
      <c r="F22" s="48"/>
      <c r="G22" s="48"/>
      <c r="H22" s="50"/>
      <c r="I22" s="50"/>
      <c r="J22" s="47"/>
      <c r="K22" s="47"/>
      <c r="L22" s="47"/>
      <c r="M22" s="47"/>
      <c r="N22" s="48"/>
      <c r="O22" s="48"/>
      <c r="P22" s="57"/>
      <c r="Q22" s="47"/>
      <c r="R22" s="57"/>
      <c r="S22" s="57"/>
      <c r="T22" s="48"/>
      <c r="U22" s="48"/>
    </row>
    <row r="23" spans="1:26" ht="15.6">
      <c r="A23" s="49"/>
      <c r="B23" s="95" t="s">
        <v>29</v>
      </c>
      <c r="C23" s="95"/>
      <c r="D23" s="95"/>
      <c r="E23" s="95"/>
      <c r="F23" s="52"/>
      <c r="G23" s="52"/>
      <c r="H23" s="53"/>
      <c r="I23" s="53"/>
      <c r="J23" s="58"/>
      <c r="K23" s="58"/>
      <c r="L23" s="58"/>
      <c r="M23" s="58"/>
      <c r="N23" s="52"/>
      <c r="O23" s="52"/>
      <c r="P23" s="54"/>
      <c r="Q23" s="95" t="s">
        <v>30</v>
      </c>
      <c r="R23" s="95"/>
      <c r="S23" s="95"/>
      <c r="T23" s="52"/>
      <c r="U23" s="52"/>
    </row>
    <row r="24" spans="1:26">
      <c r="A24" s="49"/>
      <c r="B24" s="86" t="s">
        <v>31</v>
      </c>
      <c r="C24" s="86"/>
      <c r="D24" s="86"/>
      <c r="E24" s="86"/>
      <c r="F24" s="52"/>
      <c r="G24" s="52"/>
      <c r="H24" s="53"/>
      <c r="I24" s="53"/>
      <c r="J24" s="58"/>
      <c r="K24" s="58"/>
      <c r="L24" s="58"/>
      <c r="M24" s="58"/>
      <c r="N24" s="52"/>
      <c r="O24" s="52"/>
      <c r="P24" s="86" t="s">
        <v>32</v>
      </c>
      <c r="Q24" s="86"/>
      <c r="R24" s="86"/>
      <c r="S24" s="86"/>
      <c r="T24" s="86"/>
      <c r="U24" s="86"/>
    </row>
    <row r="25" spans="1:26">
      <c r="A25" s="49"/>
      <c r="B25" s="86" t="s">
        <v>33</v>
      </c>
      <c r="C25" s="86"/>
      <c r="D25" s="86"/>
      <c r="E25" s="86"/>
      <c r="F25" s="52"/>
      <c r="G25" s="52"/>
      <c r="H25" s="53"/>
      <c r="I25" s="53"/>
      <c r="J25" s="58"/>
      <c r="K25" s="58"/>
      <c r="L25" s="58"/>
      <c r="M25" s="58"/>
      <c r="N25" s="52"/>
      <c r="O25" s="52"/>
      <c r="P25" s="54"/>
      <c r="Q25" s="86" t="s">
        <v>33</v>
      </c>
      <c r="R25" s="86"/>
      <c r="S25" s="86"/>
      <c r="T25" s="52"/>
      <c r="U25" s="52"/>
    </row>
    <row r="26" spans="1:26"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</row>
  </sheetData>
  <mergeCells count="22">
    <mergeCell ref="B25:E25"/>
    <mergeCell ref="Q25:S25"/>
    <mergeCell ref="A4:A6"/>
    <mergeCell ref="B4:B6"/>
    <mergeCell ref="C4:C6"/>
    <mergeCell ref="E5:E6"/>
    <mergeCell ref="G5:G6"/>
    <mergeCell ref="I5:I6"/>
    <mergeCell ref="K5:K6"/>
    <mergeCell ref="M5:M6"/>
    <mergeCell ref="O4:O6"/>
    <mergeCell ref="P4:P6"/>
    <mergeCell ref="Q4:Q6"/>
    <mergeCell ref="R4:R6"/>
    <mergeCell ref="S4:S6"/>
    <mergeCell ref="A1:U1"/>
    <mergeCell ref="E4:M4"/>
    <mergeCell ref="B23:E23"/>
    <mergeCell ref="Q23:S23"/>
    <mergeCell ref="B24:E24"/>
    <mergeCell ref="P24:U24"/>
    <mergeCell ref="U4:U6"/>
  </mergeCells>
  <printOptions horizontalCentered="1" verticalCentered="1"/>
  <pageMargins left="0.45" right="0.45" top="0.5" bottom="0.5" header="0.3" footer="0.3"/>
  <pageSetup scale="8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6</vt:i4>
      </vt:variant>
    </vt:vector>
  </HeadingPairs>
  <TitlesOfParts>
    <vt:vector size="33" baseType="lpstr">
      <vt:lpstr>Statement 2022-23 </vt:lpstr>
      <vt:lpstr>Statement 2021-22 </vt:lpstr>
      <vt:lpstr>Statement 2020-21 </vt:lpstr>
      <vt:lpstr>Statement 2019-20 </vt:lpstr>
      <vt:lpstr>Statement 2018-19</vt:lpstr>
      <vt:lpstr>Statement 2017-18</vt:lpstr>
      <vt:lpstr>Statement 2016-17</vt:lpstr>
      <vt:lpstr>Statement 2015-16</vt:lpstr>
      <vt:lpstr>Statement 2014-15</vt:lpstr>
      <vt:lpstr>Statement 2013-14</vt:lpstr>
      <vt:lpstr>Statement 2012-13</vt:lpstr>
      <vt:lpstr>Statement 2011-12</vt:lpstr>
      <vt:lpstr>Statement 2010-11</vt:lpstr>
      <vt:lpstr>Statement 2009-10</vt:lpstr>
      <vt:lpstr>Statement 2008-09</vt:lpstr>
      <vt:lpstr>Statement 2007-08</vt:lpstr>
      <vt:lpstr>Statement 2006-07</vt:lpstr>
      <vt:lpstr>Statement 2005-06 </vt:lpstr>
      <vt:lpstr>Statement 2004-05</vt:lpstr>
      <vt:lpstr>Statement 2003-04</vt:lpstr>
      <vt:lpstr>statement 2002-03</vt:lpstr>
      <vt:lpstr>statement 2001-02</vt:lpstr>
      <vt:lpstr>statement 2000-01</vt:lpstr>
      <vt:lpstr>statement 1999-2000</vt:lpstr>
      <vt:lpstr>statement 1998-99</vt:lpstr>
      <vt:lpstr>statement 1997-98</vt:lpstr>
      <vt:lpstr>statement 1996-97</vt:lpstr>
      <vt:lpstr>'Statement 2008-09'!Print_Area</vt:lpstr>
      <vt:lpstr>'Statement 2013-14'!Print_Area</vt:lpstr>
      <vt:lpstr>'Statement 2019-20 '!Print_Area</vt:lpstr>
      <vt:lpstr>'Statement 2020-21 '!Print_Area</vt:lpstr>
      <vt:lpstr>'Statement 2021-22 '!Print_Area</vt:lpstr>
      <vt:lpstr>'Statement 2022-23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PDW</dc:creator>
  <cp:lastModifiedBy>Harshada Hadavale</cp:lastModifiedBy>
  <cp:lastPrinted>2019-10-19T12:31:00Z</cp:lastPrinted>
  <dcterms:created xsi:type="dcterms:W3CDTF">2019-10-03T12:41:00Z</dcterms:created>
  <dcterms:modified xsi:type="dcterms:W3CDTF">2024-10-27T09:33:06Z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E15752E0986B4EA0882E26AFC421755A_12</vt:lpwstr>
  </property>
  <property fmtid="{D5CDD505-2E9C-101B-9397-08002B2CF9AE}" pid="3" name="KSOProductBuildVer">
    <vt:lpwstr>1033-12.2.0.18283</vt:lpwstr>
  </property>
</Properties>
</file>