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espo\Desktop\SCM 518 ADM\"/>
    </mc:Choice>
  </mc:AlternateContent>
  <xr:revisionPtr revIDLastSave="0" documentId="8_{335D67AA-F948-4B9A-BE66-8C550F38F75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solver_adj" localSheetId="0">Sheet1!$B$26:$D$34</definedName>
    <definedName name="solver_cvg" localSheetId="0">0.0001</definedName>
    <definedName name="solver_drv" localSheetId="0">1</definedName>
    <definedName name="solver_eng" localSheetId="0">2</definedName>
    <definedName name="solver_est" localSheetId="0">1</definedName>
    <definedName name="solver_itr" localSheetId="0">2147483647</definedName>
    <definedName name="solver_lhs1" localSheetId="0">Sheet1!$B$26:$D$34</definedName>
    <definedName name="solver_lhs2" localSheetId="0">Sheet1!$E$26:$E$34</definedName>
    <definedName name="solver_lhs3" localSheetId="0">Sheet1!$G$27:$G$29</definedName>
    <definedName name="solver_lhs4" localSheetId="0">Sheet1!$H$46:$J$46</definedName>
    <definedName name="solver_lhs5" localSheetId="0">Sheet1!$I$52:$K$54</definedName>
    <definedName name="solver_lhs6" localSheetId="0">Sheet1!$I$74:$L$76</definedName>
    <definedName name="solver_lhs7" localSheetId="0">Sheet1!$K$43:$K$45</definedName>
    <definedName name="solver_lhs8" localSheetId="0">Sheet1!$K$43:$K$45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7</definedName>
    <definedName name="solver_nwt" localSheetId="0">1</definedName>
    <definedName name="solver_opt" localSheetId="0">Sheet1!$B$114</definedName>
    <definedName name="solver_pre" localSheetId="0">0.000001</definedName>
    <definedName name="solver_rbv" localSheetId="0">1</definedName>
    <definedName name="solver_rel1" localSheetId="0">1</definedName>
    <definedName name="solver_rel2" localSheetId="0">1</definedName>
    <definedName name="solver_rel3" localSheetId="0">2</definedName>
    <definedName name="solver_rel4" localSheetId="0">2</definedName>
    <definedName name="solver_rel5" localSheetId="0">1</definedName>
    <definedName name="solver_rel6" localSheetId="0">1</definedName>
    <definedName name="solver_rel7" localSheetId="0">1</definedName>
    <definedName name="solver_rel8" localSheetId="0">1</definedName>
    <definedName name="solver_rhs1" localSheetId="0">0.2</definedName>
    <definedName name="solver_rhs2" localSheetId="0">0.5</definedName>
    <definedName name="solver_rhs3" localSheetId="0">1</definedName>
    <definedName name="solver_rhs4" localSheetId="0">Sheet1!$B$2:$D$2</definedName>
    <definedName name="solver_rhs5" localSheetId="0">Sheet1!$M$52:$O$54</definedName>
    <definedName name="solver_rhs6" localSheetId="0">Sheet1!$N$74:$Q$76</definedName>
    <definedName name="solver_rhs7" localSheetId="0">Sheet1!$M$43:$M$45</definedName>
    <definedName name="solver_rhs8" localSheetId="0">Sheet1!$M$43:$M$45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1</definedName>
    <definedName name="solver_val" localSheetId="0">0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LEMFXGVnhXc4JkRyjFVrrcf1dzx4sptWbRpTboGq3U="/>
    </ext>
  </extLst>
</workbook>
</file>

<file path=xl/calcChain.xml><?xml version="1.0" encoding="utf-8"?>
<calcChain xmlns="http://schemas.openxmlformats.org/spreadsheetml/2006/main">
  <c r="P76" i="1" l="1"/>
  <c r="N76" i="1"/>
  <c r="P74" i="1"/>
  <c r="N74" i="1"/>
  <c r="B71" i="1"/>
  <c r="O74" i="1" s="1"/>
  <c r="D70" i="1"/>
  <c r="C70" i="1"/>
  <c r="N75" i="1" s="1"/>
  <c r="B70" i="1"/>
  <c r="D69" i="1"/>
  <c r="C69" i="1"/>
  <c r="P75" i="1" s="1"/>
  <c r="B69" i="1"/>
  <c r="D68" i="1"/>
  <c r="D71" i="1" s="1"/>
  <c r="O76" i="1" s="1"/>
  <c r="C68" i="1"/>
  <c r="B68" i="1"/>
  <c r="Q74" i="1" s="1"/>
  <c r="E67" i="1"/>
  <c r="D67" i="1"/>
  <c r="C67" i="1"/>
  <c r="B67" i="1"/>
  <c r="D60" i="1"/>
  <c r="B60" i="1"/>
  <c r="E59" i="1"/>
  <c r="B59" i="1"/>
  <c r="B58" i="1"/>
  <c r="E57" i="1"/>
  <c r="B57" i="1"/>
  <c r="B56" i="1"/>
  <c r="B55" i="1"/>
  <c r="E55" i="1" s="1"/>
  <c r="O54" i="1"/>
  <c r="N54" i="1"/>
  <c r="M54" i="1"/>
  <c r="D54" i="1"/>
  <c r="B54" i="1"/>
  <c r="O53" i="1"/>
  <c r="N53" i="1"/>
  <c r="M53" i="1"/>
  <c r="E53" i="1"/>
  <c r="C53" i="1"/>
  <c r="B53" i="1"/>
  <c r="O52" i="1"/>
  <c r="N52" i="1"/>
  <c r="M52" i="1"/>
  <c r="B52" i="1"/>
  <c r="D48" i="1"/>
  <c r="E48" i="1" s="1"/>
  <c r="C48" i="1"/>
  <c r="B48" i="1"/>
  <c r="D47" i="1"/>
  <c r="C47" i="1"/>
  <c r="D59" i="1" s="1"/>
  <c r="B47" i="1"/>
  <c r="E47" i="1" s="1"/>
  <c r="J44" i="1" s="1"/>
  <c r="D46" i="1"/>
  <c r="C46" i="1"/>
  <c r="J54" i="1" s="1"/>
  <c r="B46" i="1"/>
  <c r="M45" i="1"/>
  <c r="D45" i="1"/>
  <c r="C45" i="1"/>
  <c r="D57" i="1" s="1"/>
  <c r="B45" i="1"/>
  <c r="C57" i="1" s="1"/>
  <c r="M44" i="1"/>
  <c r="D44" i="1"/>
  <c r="C44" i="1"/>
  <c r="B44" i="1"/>
  <c r="M43" i="1"/>
  <c r="E43" i="1"/>
  <c r="D43" i="1"/>
  <c r="C43" i="1"/>
  <c r="B43" i="1"/>
  <c r="D42" i="1"/>
  <c r="C42" i="1"/>
  <c r="B42" i="1"/>
  <c r="E42" i="1" s="1"/>
  <c r="D41" i="1"/>
  <c r="K52" i="1" s="1"/>
  <c r="C41" i="1"/>
  <c r="D53" i="1" s="1"/>
  <c r="F53" i="1" s="1"/>
  <c r="B41" i="1"/>
  <c r="D40" i="1"/>
  <c r="C40" i="1"/>
  <c r="B40" i="1"/>
  <c r="I52" i="1" s="1"/>
  <c r="E34" i="1"/>
  <c r="E33" i="1"/>
  <c r="E32" i="1"/>
  <c r="E31" i="1"/>
  <c r="E30" i="1"/>
  <c r="G29" i="1"/>
  <c r="E29" i="1"/>
  <c r="G28" i="1"/>
  <c r="E28" i="1"/>
  <c r="G27" i="1"/>
  <c r="E27" i="1"/>
  <c r="E26" i="1"/>
  <c r="D6" i="1"/>
  <c r="C6" i="1"/>
  <c r="B6" i="1"/>
  <c r="K53" i="1" l="1"/>
  <c r="B76" i="1"/>
  <c r="H45" i="1"/>
  <c r="E44" i="1"/>
  <c r="I54" i="1"/>
  <c r="E46" i="1"/>
  <c r="E58" i="1"/>
  <c r="D58" i="1"/>
  <c r="C58" i="1"/>
  <c r="K54" i="1"/>
  <c r="C52" i="1"/>
  <c r="E52" i="1"/>
  <c r="D52" i="1"/>
  <c r="I53" i="1"/>
  <c r="C59" i="1"/>
  <c r="F59" i="1" s="1"/>
  <c r="J53" i="1"/>
  <c r="F57" i="1"/>
  <c r="J52" i="1"/>
  <c r="J45" i="1"/>
  <c r="B82" i="1"/>
  <c r="C56" i="1"/>
  <c r="E56" i="1"/>
  <c r="E60" i="1"/>
  <c r="B77" i="1"/>
  <c r="I43" i="1"/>
  <c r="D56" i="1"/>
  <c r="Q75" i="1"/>
  <c r="C71" i="1"/>
  <c r="O75" i="1" s="1"/>
  <c r="B81" i="1"/>
  <c r="E41" i="1"/>
  <c r="C54" i="1"/>
  <c r="E54" i="1"/>
  <c r="Q76" i="1"/>
  <c r="E45" i="1"/>
  <c r="C55" i="1"/>
  <c r="D55" i="1"/>
  <c r="C60" i="1"/>
  <c r="E40" i="1"/>
  <c r="F60" i="1" l="1"/>
  <c r="C81" i="1"/>
  <c r="B92" i="1" s="1"/>
  <c r="F81" i="1"/>
  <c r="E92" i="1" s="1"/>
  <c r="E81" i="1"/>
  <c r="D92" i="1" s="1"/>
  <c r="D81" i="1"/>
  <c r="C92" i="1" s="1"/>
  <c r="D61" i="1"/>
  <c r="F82" i="1"/>
  <c r="E93" i="1" s="1"/>
  <c r="D82" i="1"/>
  <c r="C93" i="1" s="1"/>
  <c r="C82" i="1"/>
  <c r="B93" i="1" s="1"/>
  <c r="E82" i="1"/>
  <c r="D93" i="1" s="1"/>
  <c r="E61" i="1"/>
  <c r="B78" i="1"/>
  <c r="I44" i="1"/>
  <c r="E77" i="1"/>
  <c r="D77" i="1"/>
  <c r="C77" i="1"/>
  <c r="F77" i="1"/>
  <c r="F54" i="1"/>
  <c r="H43" i="1"/>
  <c r="B74" i="1"/>
  <c r="H44" i="1"/>
  <c r="K44" i="1" s="1"/>
  <c r="B75" i="1"/>
  <c r="J43" i="1"/>
  <c r="J46" i="1" s="1"/>
  <c r="B80" i="1"/>
  <c r="F56" i="1"/>
  <c r="F55" i="1"/>
  <c r="C61" i="1"/>
  <c r="F52" i="1"/>
  <c r="B79" i="1"/>
  <c r="I45" i="1"/>
  <c r="I46" i="1" s="1"/>
  <c r="D76" i="1"/>
  <c r="F76" i="1"/>
  <c r="E87" i="1" s="1"/>
  <c r="E76" i="1"/>
  <c r="C76" i="1"/>
  <c r="F58" i="1"/>
  <c r="B98" i="1" l="1"/>
  <c r="F75" i="1"/>
  <c r="E86" i="1" s="1"/>
  <c r="E75" i="1"/>
  <c r="D75" i="1"/>
  <c r="C75" i="1"/>
  <c r="C88" i="1"/>
  <c r="H46" i="1"/>
  <c r="K43" i="1"/>
  <c r="D88" i="1"/>
  <c r="F61" i="1"/>
  <c r="E79" i="1"/>
  <c r="D90" i="1" s="1"/>
  <c r="C79" i="1"/>
  <c r="B90" i="1" s="1"/>
  <c r="F79" i="1"/>
  <c r="E90" i="1" s="1"/>
  <c r="D79" i="1"/>
  <c r="C90" i="1" s="1"/>
  <c r="B87" i="1"/>
  <c r="F87" i="1" s="1"/>
  <c r="F74" i="1"/>
  <c r="D74" i="1"/>
  <c r="C74" i="1"/>
  <c r="B97" i="1"/>
  <c r="E74" i="1"/>
  <c r="E99" i="1"/>
  <c r="E111" i="1" s="1"/>
  <c r="D87" i="1"/>
  <c r="F78" i="1"/>
  <c r="E89" i="1" s="1"/>
  <c r="E78" i="1"/>
  <c r="D89" i="1" s="1"/>
  <c r="D78" i="1"/>
  <c r="C89" i="1" s="1"/>
  <c r="C78" i="1"/>
  <c r="B89" i="1" s="1"/>
  <c r="F89" i="1" s="1"/>
  <c r="K45" i="1"/>
  <c r="B99" i="1"/>
  <c r="E88" i="1"/>
  <c r="F92" i="1"/>
  <c r="C87" i="1"/>
  <c r="F80" i="1"/>
  <c r="E80" i="1"/>
  <c r="D80" i="1"/>
  <c r="C80" i="1"/>
  <c r="B88" i="1"/>
  <c r="F93" i="1"/>
  <c r="B86" i="1" l="1"/>
  <c r="C98" i="1"/>
  <c r="C110" i="1" s="1"/>
  <c r="C91" i="1"/>
  <c r="J76" i="1"/>
  <c r="E97" i="1"/>
  <c r="D85" i="1"/>
  <c r="D94" i="1" s="1"/>
  <c r="K74" i="1"/>
  <c r="L76" i="1"/>
  <c r="E91" i="1"/>
  <c r="J75" i="1"/>
  <c r="K76" i="1"/>
  <c r="D91" i="1"/>
  <c r="D99" i="1"/>
  <c r="D111" i="1" s="1"/>
  <c r="D97" i="1"/>
  <c r="C85" i="1"/>
  <c r="C94" i="1" s="1"/>
  <c r="J74" i="1"/>
  <c r="D98" i="1"/>
  <c r="D110" i="1" s="1"/>
  <c r="C86" i="1"/>
  <c r="E85" i="1"/>
  <c r="E94" i="1" s="1"/>
  <c r="L74" i="1"/>
  <c r="D86" i="1"/>
  <c r="E98" i="1"/>
  <c r="E110" i="1" s="1"/>
  <c r="I76" i="1"/>
  <c r="B91" i="1"/>
  <c r="F91" i="1" s="1"/>
  <c r="F90" i="1"/>
  <c r="C97" i="1"/>
  <c r="B85" i="1"/>
  <c r="I74" i="1"/>
  <c r="K75" i="1"/>
  <c r="B111" i="1"/>
  <c r="F111" i="1" s="1"/>
  <c r="B100" i="1"/>
  <c r="B109" i="1"/>
  <c r="I75" i="1"/>
  <c r="F88" i="1"/>
  <c r="L75" i="1"/>
  <c r="C99" i="1"/>
  <c r="C111" i="1" s="1"/>
  <c r="K46" i="1"/>
  <c r="B110" i="1"/>
  <c r="F110" i="1" s="1"/>
  <c r="E100" i="1" l="1"/>
  <c r="E109" i="1"/>
  <c r="E112" i="1" s="1"/>
  <c r="F99" i="1"/>
  <c r="B94" i="1"/>
  <c r="F94" i="1" s="1"/>
  <c r="F85" i="1"/>
  <c r="D100" i="1"/>
  <c r="D109" i="1"/>
  <c r="D112" i="1" s="1"/>
  <c r="F97" i="1"/>
  <c r="F100" i="1" s="1"/>
  <c r="C109" i="1"/>
  <c r="C112" i="1" s="1"/>
  <c r="C100" i="1"/>
  <c r="F98" i="1"/>
  <c r="B112" i="1"/>
  <c r="F86" i="1"/>
  <c r="F109" i="1" l="1"/>
  <c r="F112" i="1" s="1"/>
  <c r="B114" i="1" s="1"/>
</calcChain>
</file>

<file path=xl/sharedStrings.xml><?xml version="1.0" encoding="utf-8"?>
<sst xmlns="http://schemas.openxmlformats.org/spreadsheetml/2006/main" count="197" uniqueCount="91">
  <si>
    <t>Production Location</t>
  </si>
  <si>
    <t>Location 1</t>
  </si>
  <si>
    <t>Location 2</t>
  </si>
  <si>
    <t>Location 3</t>
  </si>
  <si>
    <t>Total Fluid (Barrel)</t>
  </si>
  <si>
    <t>Crude Produced (% Percentage)</t>
  </si>
  <si>
    <t>Distance</t>
  </si>
  <si>
    <t>Mile</t>
  </si>
  <si>
    <t>Natural Gas Produced (% Percentage)</t>
  </si>
  <si>
    <t>Cost</t>
  </si>
  <si>
    <t>$</t>
  </si>
  <si>
    <t>Sulfur Produced  (% Percentage)</t>
  </si>
  <si>
    <t>Capacity</t>
  </si>
  <si>
    <t>Barrel</t>
  </si>
  <si>
    <t>Water Produced (% Percentage)</t>
  </si>
  <si>
    <t>Production Cost Per Barrel ($)</t>
  </si>
  <si>
    <t>Mid Stream(Distance in Mile)</t>
  </si>
  <si>
    <t>Process Location 1</t>
  </si>
  <si>
    <t>Process Location 2</t>
  </si>
  <si>
    <t>Process Location 3</t>
  </si>
  <si>
    <t>Transport Way</t>
  </si>
  <si>
    <t>Cost/Mile for each barrel ($)</t>
  </si>
  <si>
    <t>Fix Charge ($)</t>
  </si>
  <si>
    <t>Capacity (Barrel)</t>
  </si>
  <si>
    <t>tank(truck)</t>
  </si>
  <si>
    <t>train</t>
  </si>
  <si>
    <t>pipeline</t>
  </si>
  <si>
    <t>For the pipeline the cost is given cost is to be paid for trasporting each barrel to the 1 mile distance</t>
  </si>
  <si>
    <t>efficiency is meaning from the total input this is the quantity of  produced which can be useful</t>
  </si>
  <si>
    <t>Downstream</t>
  </si>
  <si>
    <t>efficiency</t>
  </si>
  <si>
    <t>sulfur removal cost</t>
  </si>
  <si>
    <t>water removal cost</t>
  </si>
  <si>
    <t>Natural Gas Processing Cost</t>
  </si>
  <si>
    <t>Crude Oil Processing</t>
  </si>
  <si>
    <t>No Mode of transportation is able to transport more then 50% of total produced because of safety issues</t>
  </si>
  <si>
    <t>Transportation Table</t>
  </si>
  <si>
    <t>Truck</t>
  </si>
  <si>
    <t>Train</t>
  </si>
  <si>
    <t>Pipeline</t>
  </si>
  <si>
    <t xml:space="preserve">Total </t>
  </si>
  <si>
    <t>20 % is the maximum ammount of fluid on combination of location get from one mode of transport</t>
  </si>
  <si>
    <t>Location 1-1</t>
  </si>
  <si>
    <t>Location 1-2</t>
  </si>
  <si>
    <t>Location 1-3</t>
  </si>
  <si>
    <t>Location 2-1</t>
  </si>
  <si>
    <t>Location 2-2</t>
  </si>
  <si>
    <t>Location 2-3</t>
  </si>
  <si>
    <t>Location 3-1</t>
  </si>
  <si>
    <t>Location 3-2</t>
  </si>
  <si>
    <t>Location 3-3</t>
  </si>
  <si>
    <t>Table at my right (1-1) first 1 represents the production location and second represents the process location</t>
  </si>
  <si>
    <t>table is the get the quantity of produced at location I to be transported to location j</t>
  </si>
  <si>
    <t>Transportation Cost Table</t>
  </si>
  <si>
    <t>Total</t>
  </si>
  <si>
    <t>Transportation between locations</t>
  </si>
  <si>
    <t>Processing Unit Capacity</t>
  </si>
  <si>
    <t>Processing Location 1</t>
  </si>
  <si>
    <t>&lt;=</t>
  </si>
  <si>
    <t>Processing Location 2</t>
  </si>
  <si>
    <t>Processing Location 3</t>
  </si>
  <si>
    <t>final Trasporation cost</t>
  </si>
  <si>
    <t>Total Cost Of Transporation</t>
  </si>
  <si>
    <t>truck</t>
  </si>
  <si>
    <t>total cost</t>
  </si>
  <si>
    <t>Capacity(Constrained)</t>
  </si>
  <si>
    <t>total</t>
  </si>
  <si>
    <t>Production Cost</t>
  </si>
  <si>
    <t>Total Fluid</t>
  </si>
  <si>
    <t xml:space="preserve">Production Cost Per Barrel </t>
  </si>
  <si>
    <t>Crude Produced</t>
  </si>
  <si>
    <t>Natural Gas Produced</t>
  </si>
  <si>
    <t>Sulfur Produced</t>
  </si>
  <si>
    <t>Water Produced</t>
  </si>
  <si>
    <t>Contains</t>
  </si>
  <si>
    <t>Received</t>
  </si>
  <si>
    <t>Quantity</t>
  </si>
  <si>
    <t>Processing Cost</t>
  </si>
  <si>
    <t>Total Cost</t>
  </si>
  <si>
    <t>After Processing</t>
  </si>
  <si>
    <t>sulfur produced</t>
  </si>
  <si>
    <t>water cleaned</t>
  </si>
  <si>
    <t>Crude Oil Processed</t>
  </si>
  <si>
    <t>Selling</t>
  </si>
  <si>
    <t>sulfur</t>
  </si>
  <si>
    <t>water</t>
  </si>
  <si>
    <t>Natural Gas</t>
  </si>
  <si>
    <t>Crude Oil</t>
  </si>
  <si>
    <t>Barrel  Price</t>
  </si>
  <si>
    <t>Total Selling Revenue Generated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</si>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</sst>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0" borderId="0" xfId="0" applyFont="1"/>
    <xf numFmtId="2" fontId="2" fillId="0" borderId="1" xfId="0" applyNumberFormat="1" applyFont="1" applyBorder="1"/>
    <xf numFmtId="0" fontId="3" fillId="0" borderId="0" xfId="0" applyFont="1"/>
    <xf numFmtId="0" fontId="1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5" borderId="7" xfId="0" applyFont="1" applyFill="1" applyBorder="1"/>
    <xf numFmtId="0" fontId="1" fillId="6" borderId="1" xfId="0" applyFont="1" applyFill="1" applyBorder="1"/>
    <xf numFmtId="0" fontId="2" fillId="7" borderId="7" xfId="0" applyFont="1" applyFill="1" applyBorder="1"/>
    <xf numFmtId="0" fontId="1" fillId="7" borderId="7" xfId="0" applyFont="1" applyFill="1" applyBorder="1"/>
    <xf numFmtId="164" fontId="2" fillId="6" borderId="1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8" borderId="1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workbookViewId="0"/>
  </sheetViews>
  <sheetFormatPr defaultColWidth="14.453125" defaultRowHeight="15" customHeight="1"/>
  <cols>
    <col min="1" max="1" width="33.453125" customWidth="1"/>
    <col min="2" max="2" width="17.81640625" customWidth="1"/>
    <col min="3" max="3" width="14.453125" customWidth="1"/>
    <col min="4" max="4" width="26.08984375" customWidth="1"/>
    <col min="5" max="5" width="18.54296875" customWidth="1"/>
    <col min="6" max="6" width="20.54296875" customWidth="1"/>
    <col min="7" max="7" width="10.453125" customWidth="1"/>
    <col min="8" max="8" width="11.08984375" customWidth="1"/>
    <col min="9" max="9" width="22.81640625" customWidth="1"/>
    <col min="10" max="12" width="13.7265625" customWidth="1"/>
    <col min="13" max="13" width="8.7265625" customWidth="1"/>
    <col min="14" max="14" width="21.81640625" customWidth="1"/>
    <col min="15" max="26" width="8.7265625" customWidth="1"/>
  </cols>
  <sheetData>
    <row r="1" spans="1:7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7" ht="14.25" customHeight="1">
      <c r="A2" s="1" t="s">
        <v>4</v>
      </c>
      <c r="B2" s="2">
        <v>66000</v>
      </c>
      <c r="C2" s="2">
        <v>96500</v>
      </c>
      <c r="D2" s="2">
        <v>127200</v>
      </c>
    </row>
    <row r="3" spans="1:7" ht="14.25" customHeight="1">
      <c r="A3" s="1" t="s">
        <v>5</v>
      </c>
      <c r="B3" s="3">
        <v>0.35</v>
      </c>
      <c r="C3" s="3">
        <v>0.38</v>
      </c>
      <c r="D3" s="3">
        <v>0.46</v>
      </c>
      <c r="F3" s="1" t="s">
        <v>6</v>
      </c>
      <c r="G3" s="4" t="s">
        <v>7</v>
      </c>
    </row>
    <row r="4" spans="1:7" ht="14.25" customHeight="1">
      <c r="A4" s="1" t="s">
        <v>8</v>
      </c>
      <c r="B4" s="3">
        <v>0.18</v>
      </c>
      <c r="C4" s="3">
        <v>0.12</v>
      </c>
      <c r="D4" s="3">
        <v>0.06</v>
      </c>
      <c r="F4" s="1" t="s">
        <v>9</v>
      </c>
      <c r="G4" s="4" t="s">
        <v>10</v>
      </c>
    </row>
    <row r="5" spans="1:7" ht="14.25" customHeight="1">
      <c r="A5" s="1" t="s">
        <v>11</v>
      </c>
      <c r="B5" s="3">
        <v>0.03</v>
      </c>
      <c r="C5" s="3">
        <v>0.04</v>
      </c>
      <c r="D5" s="3">
        <v>0.02</v>
      </c>
      <c r="F5" s="1" t="s">
        <v>12</v>
      </c>
      <c r="G5" s="4" t="s">
        <v>13</v>
      </c>
    </row>
    <row r="6" spans="1:7" ht="14.25" customHeight="1">
      <c r="A6" s="1" t="s">
        <v>14</v>
      </c>
      <c r="B6" s="3">
        <f t="shared" ref="B6:D6" si="0">1-B3-B4-B5</f>
        <v>0.44000000000000006</v>
      </c>
      <c r="C6" s="3">
        <f t="shared" si="0"/>
        <v>0.46</v>
      </c>
      <c r="D6" s="3">
        <f t="shared" si="0"/>
        <v>0.46</v>
      </c>
    </row>
    <row r="7" spans="1:7" ht="14.25" customHeight="1">
      <c r="A7" s="1" t="s">
        <v>15</v>
      </c>
      <c r="B7" s="3">
        <v>8.1</v>
      </c>
      <c r="C7" s="3">
        <v>7.4</v>
      </c>
      <c r="D7" s="3">
        <v>5.6</v>
      </c>
    </row>
    <row r="8" spans="1:7" ht="14.25" customHeight="1">
      <c r="A8" s="5"/>
    </row>
    <row r="9" spans="1:7" ht="14.25" customHeight="1">
      <c r="B9" s="5"/>
      <c r="C9" s="5"/>
      <c r="D9" s="5"/>
    </row>
    <row r="10" spans="1:7" ht="14.25" customHeight="1">
      <c r="A10" s="1" t="s">
        <v>16</v>
      </c>
      <c r="B10" s="1" t="s">
        <v>1</v>
      </c>
      <c r="C10" s="1" t="s">
        <v>2</v>
      </c>
      <c r="D10" s="1" t="s">
        <v>3</v>
      </c>
    </row>
    <row r="11" spans="1:7" ht="14.25" customHeight="1">
      <c r="A11" s="1" t="s">
        <v>17</v>
      </c>
      <c r="B11" s="3">
        <v>1859</v>
      </c>
      <c r="C11" s="3">
        <v>3245</v>
      </c>
      <c r="D11" s="3">
        <v>2107</v>
      </c>
    </row>
    <row r="12" spans="1:7" ht="14.25" customHeight="1">
      <c r="A12" s="1" t="s">
        <v>18</v>
      </c>
      <c r="B12" s="3">
        <v>2586</v>
      </c>
      <c r="C12" s="3">
        <v>1738</v>
      </c>
      <c r="D12" s="3">
        <v>2621</v>
      </c>
    </row>
    <row r="13" spans="1:7" ht="14.25" customHeight="1">
      <c r="A13" s="1" t="s">
        <v>19</v>
      </c>
      <c r="B13" s="3">
        <v>3750</v>
      </c>
      <c r="C13" s="3">
        <v>1803</v>
      </c>
      <c r="D13" s="3">
        <v>1876</v>
      </c>
    </row>
    <row r="14" spans="1:7" ht="14.25" customHeight="1"/>
    <row r="15" spans="1:7" ht="14.25" customHeight="1">
      <c r="A15" s="1" t="s">
        <v>20</v>
      </c>
      <c r="B15" s="1" t="s">
        <v>21</v>
      </c>
      <c r="C15" s="1" t="s">
        <v>22</v>
      </c>
      <c r="D15" s="1" t="s">
        <v>23</v>
      </c>
    </row>
    <row r="16" spans="1:7" ht="14.25" customHeight="1">
      <c r="A16" s="1" t="s">
        <v>24</v>
      </c>
      <c r="B16" s="3">
        <v>2E-3</v>
      </c>
      <c r="C16" s="3">
        <v>5000</v>
      </c>
      <c r="D16" s="3">
        <v>10000</v>
      </c>
    </row>
    <row r="17" spans="1:10" ht="14.25" customHeight="1">
      <c r="A17" s="1" t="s">
        <v>25</v>
      </c>
      <c r="B17" s="3">
        <v>1.5E-3</v>
      </c>
      <c r="C17" s="3">
        <v>7500</v>
      </c>
      <c r="D17" s="3">
        <v>30000</v>
      </c>
    </row>
    <row r="18" spans="1:10" ht="14.25" customHeight="1">
      <c r="A18" s="1" t="s">
        <v>26</v>
      </c>
      <c r="B18" s="3">
        <v>1E-3</v>
      </c>
      <c r="C18" s="3">
        <v>10000</v>
      </c>
      <c r="D18" s="6">
        <v>1E+19</v>
      </c>
      <c r="E18" s="7" t="s">
        <v>27</v>
      </c>
    </row>
    <row r="19" spans="1:10" ht="14.25" customHeight="1">
      <c r="C19" s="7" t="s">
        <v>28</v>
      </c>
    </row>
    <row r="20" spans="1:10" ht="14.25" customHeight="1">
      <c r="A20" s="1" t="s">
        <v>29</v>
      </c>
      <c r="B20" s="1" t="s">
        <v>12</v>
      </c>
      <c r="C20" s="1" t="s">
        <v>30</v>
      </c>
      <c r="D20" s="1" t="s">
        <v>31</v>
      </c>
      <c r="E20" s="1" t="s">
        <v>32</v>
      </c>
      <c r="F20" s="1" t="s">
        <v>33</v>
      </c>
      <c r="G20" s="1" t="s">
        <v>34</v>
      </c>
    </row>
    <row r="21" spans="1:10" ht="14.25" customHeight="1">
      <c r="A21" s="1" t="s">
        <v>17</v>
      </c>
      <c r="B21" s="3">
        <v>40000</v>
      </c>
      <c r="C21" s="3">
        <v>0.92</v>
      </c>
      <c r="D21" s="3">
        <v>0.08</v>
      </c>
      <c r="E21" s="3">
        <v>0.05</v>
      </c>
      <c r="F21" s="3">
        <v>7.0000000000000007E-2</v>
      </c>
      <c r="G21" s="3">
        <v>0.1</v>
      </c>
    </row>
    <row r="22" spans="1:10" ht="14.25" customHeight="1">
      <c r="A22" s="1" t="s">
        <v>18</v>
      </c>
      <c r="B22" s="3">
        <v>132000</v>
      </c>
      <c r="C22" s="3">
        <v>0.95</v>
      </c>
      <c r="D22" s="3">
        <v>0.09</v>
      </c>
      <c r="E22" s="3">
        <v>0.06</v>
      </c>
      <c r="F22" s="3">
        <v>6.5000000000000002E-2</v>
      </c>
      <c r="G22" s="3">
        <v>0.1</v>
      </c>
      <c r="J22" s="7" t="s">
        <v>35</v>
      </c>
    </row>
    <row r="23" spans="1:10" ht="14.25" customHeight="1">
      <c r="A23" s="1" t="s">
        <v>19</v>
      </c>
      <c r="B23" s="3">
        <v>180000</v>
      </c>
      <c r="C23" s="3">
        <v>0.99</v>
      </c>
      <c r="D23" s="3">
        <v>0.1</v>
      </c>
      <c r="E23" s="3">
        <v>6.5000000000000002E-2</v>
      </c>
      <c r="F23" s="3">
        <v>7.0000000000000007E-2</v>
      </c>
      <c r="G23" s="3">
        <v>0.09</v>
      </c>
    </row>
    <row r="24" spans="1:10" ht="14.25" customHeight="1">
      <c r="A24" s="5"/>
    </row>
    <row r="25" spans="1:10" ht="14.25" customHeight="1">
      <c r="A25" s="8" t="s">
        <v>36</v>
      </c>
      <c r="B25" s="8" t="s">
        <v>37</v>
      </c>
      <c r="C25" s="8" t="s">
        <v>38</v>
      </c>
      <c r="D25" s="8" t="s">
        <v>39</v>
      </c>
      <c r="E25" s="23" t="s">
        <v>40</v>
      </c>
      <c r="F25" s="24"/>
      <c r="G25" s="7" t="s">
        <v>41</v>
      </c>
    </row>
    <row r="26" spans="1:10" ht="14.25" customHeight="1">
      <c r="A26" s="8" t="s">
        <v>42</v>
      </c>
      <c r="B26" s="3">
        <v>0</v>
      </c>
      <c r="C26" s="3">
        <v>0.2</v>
      </c>
      <c r="D26" s="3">
        <v>0.10000000000000005</v>
      </c>
      <c r="E26" s="3">
        <f t="shared" ref="E26:E34" si="1">SUM(B26:D26)</f>
        <v>0.30000000000000004</v>
      </c>
      <c r="F26" s="25">
        <v>1</v>
      </c>
    </row>
    <row r="27" spans="1:10" ht="14.25" customHeight="1">
      <c r="A27" s="8" t="s">
        <v>43</v>
      </c>
      <c r="B27" s="3">
        <v>0</v>
      </c>
      <c r="C27" s="3">
        <v>0.2</v>
      </c>
      <c r="D27" s="3">
        <v>0.2</v>
      </c>
      <c r="E27" s="9">
        <f t="shared" si="1"/>
        <v>0.4</v>
      </c>
      <c r="F27" s="26"/>
      <c r="G27" s="7">
        <f>SUM(B26:D28)</f>
        <v>0.99999999999999933</v>
      </c>
    </row>
    <row r="28" spans="1:10" ht="14.25" customHeight="1">
      <c r="A28" s="8" t="s">
        <v>44</v>
      </c>
      <c r="B28" s="3">
        <v>0</v>
      </c>
      <c r="C28" s="3">
        <v>9.9999999999999478E-2</v>
      </c>
      <c r="D28" s="3">
        <v>0.2</v>
      </c>
      <c r="E28" s="3">
        <f t="shared" si="1"/>
        <v>0.29999999999999949</v>
      </c>
      <c r="F28" s="27"/>
      <c r="G28" s="7">
        <f>SUM(B29:D31)</f>
        <v>1</v>
      </c>
    </row>
    <row r="29" spans="1:10" ht="14.25" customHeight="1">
      <c r="A29" s="8" t="s">
        <v>45</v>
      </c>
      <c r="B29" s="3">
        <v>0</v>
      </c>
      <c r="C29" s="3">
        <v>0</v>
      </c>
      <c r="D29" s="3">
        <v>0</v>
      </c>
      <c r="E29" s="3">
        <f t="shared" si="1"/>
        <v>0</v>
      </c>
      <c r="F29" s="25">
        <v>1</v>
      </c>
      <c r="G29" s="7">
        <f>SUM(B32:D34)</f>
        <v>1</v>
      </c>
    </row>
    <row r="30" spans="1:10" ht="14.25" customHeight="1">
      <c r="A30" s="8" t="s">
        <v>46</v>
      </c>
      <c r="B30" s="3">
        <v>9.9999999999999978E-2</v>
      </c>
      <c r="C30" s="3">
        <v>0.2</v>
      </c>
      <c r="D30" s="3">
        <v>0.2</v>
      </c>
      <c r="E30" s="9">
        <f t="shared" si="1"/>
        <v>0.5</v>
      </c>
      <c r="F30" s="26"/>
    </row>
    <row r="31" spans="1:10" ht="14.25" customHeight="1">
      <c r="A31" s="8" t="s">
        <v>47</v>
      </c>
      <c r="B31" s="3">
        <v>9.999999999999995E-2</v>
      </c>
      <c r="C31" s="3">
        <v>0.2</v>
      </c>
      <c r="D31" s="3">
        <v>0.2</v>
      </c>
      <c r="E31" s="9">
        <f t="shared" si="1"/>
        <v>0.49999999999999994</v>
      </c>
      <c r="F31" s="27"/>
    </row>
    <row r="32" spans="1:10" ht="14.25" customHeight="1">
      <c r="A32" s="8" t="s">
        <v>48</v>
      </c>
      <c r="B32" s="3">
        <v>0</v>
      </c>
      <c r="C32" s="3">
        <v>5.8805031446540826E-2</v>
      </c>
      <c r="D32" s="3">
        <v>0.1</v>
      </c>
      <c r="E32" s="3">
        <f t="shared" si="1"/>
        <v>0.15880503144654085</v>
      </c>
      <c r="F32" s="25">
        <v>1</v>
      </c>
    </row>
    <row r="33" spans="1:13" ht="14.25" customHeight="1">
      <c r="A33" s="8" t="s">
        <v>49</v>
      </c>
      <c r="B33" s="3">
        <v>0</v>
      </c>
      <c r="C33" s="3">
        <v>0.14119496855345914</v>
      </c>
      <c r="D33" s="3">
        <v>0.2</v>
      </c>
      <c r="E33" s="3">
        <f t="shared" si="1"/>
        <v>0.34119496855345915</v>
      </c>
      <c r="F33" s="26"/>
    </row>
    <row r="34" spans="1:13" ht="14.25" customHeight="1">
      <c r="A34" s="8" t="s">
        <v>50</v>
      </c>
      <c r="B34" s="3">
        <v>0.10000000000000003</v>
      </c>
      <c r="C34" s="3">
        <v>0.2</v>
      </c>
      <c r="D34" s="3">
        <v>0.2</v>
      </c>
      <c r="E34" s="9">
        <f t="shared" si="1"/>
        <v>0.5</v>
      </c>
      <c r="F34" s="27"/>
    </row>
    <row r="35" spans="1:13" ht="14.25" customHeight="1"/>
    <row r="36" spans="1:13" ht="14.25" customHeight="1"/>
    <row r="37" spans="1:13" ht="14.25" customHeight="1">
      <c r="K37" s="5" t="s">
        <v>51</v>
      </c>
    </row>
    <row r="38" spans="1:13" ht="14.25" customHeight="1">
      <c r="K38" s="7" t="s">
        <v>52</v>
      </c>
    </row>
    <row r="39" spans="1:13" ht="14.25" customHeight="1">
      <c r="A39" s="8" t="s">
        <v>53</v>
      </c>
      <c r="B39" s="8" t="s">
        <v>37</v>
      </c>
      <c r="C39" s="8" t="s">
        <v>38</v>
      </c>
      <c r="D39" s="8" t="s">
        <v>39</v>
      </c>
      <c r="E39" s="8" t="s">
        <v>54</v>
      </c>
    </row>
    <row r="40" spans="1:13" ht="14.25" customHeight="1">
      <c r="A40" s="8" t="s">
        <v>42</v>
      </c>
      <c r="B40" s="3">
        <f t="shared" ref="B40:D40" si="2">B26*$B$2</f>
        <v>0</v>
      </c>
      <c r="C40" s="3">
        <f t="shared" si="2"/>
        <v>13200</v>
      </c>
      <c r="D40" s="3">
        <f t="shared" si="2"/>
        <v>6600.0000000000027</v>
      </c>
      <c r="E40" s="3">
        <f t="shared" ref="E40:E48" si="3">SUM(B40:D40)</f>
        <v>19800.000000000004</v>
      </c>
    </row>
    <row r="41" spans="1:13" ht="14.25" customHeight="1">
      <c r="A41" s="8" t="s">
        <v>43</v>
      </c>
      <c r="B41" s="3">
        <f t="shared" ref="B41:D41" si="4">B27*$B$2</f>
        <v>0</v>
      </c>
      <c r="C41" s="3">
        <f t="shared" si="4"/>
        <v>13200</v>
      </c>
      <c r="D41" s="3">
        <f t="shared" si="4"/>
        <v>13200</v>
      </c>
      <c r="E41" s="3">
        <f t="shared" si="3"/>
        <v>26400</v>
      </c>
    </row>
    <row r="42" spans="1:13" ht="14.25" customHeight="1">
      <c r="A42" s="8" t="s">
        <v>44</v>
      </c>
      <c r="B42" s="3">
        <f t="shared" ref="B42:D42" si="5">B28*$B$2</f>
        <v>0</v>
      </c>
      <c r="C42" s="3">
        <f t="shared" si="5"/>
        <v>6599.9999999999654</v>
      </c>
      <c r="D42" s="3">
        <f t="shared" si="5"/>
        <v>13200</v>
      </c>
      <c r="E42" s="3">
        <f t="shared" si="3"/>
        <v>19799.999999999964</v>
      </c>
      <c r="G42" s="10" t="s">
        <v>55</v>
      </c>
      <c r="H42" s="10" t="s">
        <v>1</v>
      </c>
      <c r="I42" s="10" t="s">
        <v>2</v>
      </c>
      <c r="J42" s="10" t="s">
        <v>3</v>
      </c>
      <c r="K42" s="10" t="s">
        <v>54</v>
      </c>
      <c r="L42" s="11"/>
      <c r="M42" s="10" t="s">
        <v>56</v>
      </c>
    </row>
    <row r="43" spans="1:13" ht="14.25" customHeight="1">
      <c r="A43" s="8" t="s">
        <v>45</v>
      </c>
      <c r="B43" s="3">
        <f t="shared" ref="B43:D43" si="6">B29*$C$2</f>
        <v>0</v>
      </c>
      <c r="C43" s="3">
        <f t="shared" si="6"/>
        <v>0</v>
      </c>
      <c r="D43" s="3">
        <f t="shared" si="6"/>
        <v>0</v>
      </c>
      <c r="E43" s="3">
        <f t="shared" si="3"/>
        <v>0</v>
      </c>
      <c r="G43" s="11" t="s">
        <v>57</v>
      </c>
      <c r="H43" s="12">
        <f t="shared" ref="H43:H45" si="7">E40</f>
        <v>19800.000000000004</v>
      </c>
      <c r="I43" s="12">
        <f t="shared" ref="I43:I45" si="8">E43</f>
        <v>0</v>
      </c>
      <c r="J43" s="12">
        <f t="shared" ref="J43:J45" si="9">E46</f>
        <v>20199.999999999993</v>
      </c>
      <c r="K43" s="12">
        <f t="shared" ref="K43:K45" si="10">SUM(H43:J43)</f>
        <v>40000</v>
      </c>
      <c r="L43" s="12" t="s">
        <v>58</v>
      </c>
      <c r="M43" s="12">
        <f t="shared" ref="M43:M45" si="11">B21</f>
        <v>40000</v>
      </c>
    </row>
    <row r="44" spans="1:13" ht="14.25" customHeight="1">
      <c r="A44" s="8" t="s">
        <v>46</v>
      </c>
      <c r="B44" s="3">
        <f t="shared" ref="B44:D44" si="12">B30*$C$2</f>
        <v>9649.9999999999982</v>
      </c>
      <c r="C44" s="3">
        <f t="shared" si="12"/>
        <v>19300</v>
      </c>
      <c r="D44" s="3">
        <f t="shared" si="12"/>
        <v>19300</v>
      </c>
      <c r="E44" s="3">
        <f t="shared" si="3"/>
        <v>48250</v>
      </c>
      <c r="G44" s="11" t="s">
        <v>59</v>
      </c>
      <c r="H44" s="12">
        <f t="shared" si="7"/>
        <v>26400</v>
      </c>
      <c r="I44" s="12">
        <f t="shared" si="8"/>
        <v>48250</v>
      </c>
      <c r="J44" s="12">
        <f t="shared" si="9"/>
        <v>43400</v>
      </c>
      <c r="K44" s="12">
        <f t="shared" si="10"/>
        <v>118050</v>
      </c>
      <c r="L44" s="12" t="s">
        <v>58</v>
      </c>
      <c r="M44" s="12">
        <f t="shared" si="11"/>
        <v>132000</v>
      </c>
    </row>
    <row r="45" spans="1:13" ht="14.25" customHeight="1">
      <c r="A45" s="8" t="s">
        <v>47</v>
      </c>
      <c r="B45" s="3">
        <f t="shared" ref="B45:D45" si="13">B31*$C$2</f>
        <v>9649.9999999999945</v>
      </c>
      <c r="C45" s="3">
        <f t="shared" si="13"/>
        <v>19300</v>
      </c>
      <c r="D45" s="3">
        <f t="shared" si="13"/>
        <v>19300</v>
      </c>
      <c r="E45" s="3">
        <f t="shared" si="3"/>
        <v>48249.999999999993</v>
      </c>
      <c r="G45" s="11" t="s">
        <v>60</v>
      </c>
      <c r="H45" s="12">
        <f t="shared" si="7"/>
        <v>19799.999999999964</v>
      </c>
      <c r="I45" s="12">
        <f t="shared" si="8"/>
        <v>48249.999999999993</v>
      </c>
      <c r="J45" s="12">
        <f t="shared" si="9"/>
        <v>63600</v>
      </c>
      <c r="K45" s="12">
        <f t="shared" si="10"/>
        <v>131649.99999999994</v>
      </c>
      <c r="L45" s="12" t="s">
        <v>58</v>
      </c>
      <c r="M45" s="12">
        <f t="shared" si="11"/>
        <v>180000</v>
      </c>
    </row>
    <row r="46" spans="1:13" ht="14.25" customHeight="1">
      <c r="A46" s="8" t="s">
        <v>48</v>
      </c>
      <c r="B46" s="3">
        <f t="shared" ref="B46:D46" si="14">B32*$D$2</f>
        <v>0</v>
      </c>
      <c r="C46" s="3">
        <f t="shared" si="14"/>
        <v>7479.9999999999927</v>
      </c>
      <c r="D46" s="3">
        <f t="shared" si="14"/>
        <v>12720</v>
      </c>
      <c r="E46" s="3">
        <f t="shared" si="3"/>
        <v>20199.999999999993</v>
      </c>
      <c r="G46" s="11" t="s">
        <v>54</v>
      </c>
      <c r="H46" s="12">
        <f t="shared" ref="H46:K46" si="15">SUM(H43:H45)</f>
        <v>65999.999999999971</v>
      </c>
      <c r="I46" s="12">
        <f t="shared" si="15"/>
        <v>96500</v>
      </c>
      <c r="J46" s="12">
        <f t="shared" si="15"/>
        <v>127200</v>
      </c>
      <c r="K46" s="12">
        <f t="shared" si="15"/>
        <v>289699.99999999994</v>
      </c>
      <c r="L46" s="12"/>
      <c r="M46" s="12"/>
    </row>
    <row r="47" spans="1:13" ht="14.25" customHeight="1">
      <c r="A47" s="8" t="s">
        <v>49</v>
      </c>
      <c r="B47" s="3">
        <f t="shared" ref="B47:D47" si="16">B33*$D$2</f>
        <v>0</v>
      </c>
      <c r="C47" s="3">
        <f t="shared" si="16"/>
        <v>17960.000000000004</v>
      </c>
      <c r="D47" s="3">
        <f t="shared" si="16"/>
        <v>25440</v>
      </c>
      <c r="E47" s="3">
        <f t="shared" si="3"/>
        <v>43400</v>
      </c>
    </row>
    <row r="48" spans="1:13" ht="14.25" customHeight="1">
      <c r="A48" s="8" t="s">
        <v>50</v>
      </c>
      <c r="B48" s="3">
        <f t="shared" ref="B48:D48" si="17">B34*$D$2</f>
        <v>12720.000000000004</v>
      </c>
      <c r="C48" s="3">
        <f t="shared" si="17"/>
        <v>25440</v>
      </c>
      <c r="D48" s="3">
        <f t="shared" si="17"/>
        <v>25440</v>
      </c>
      <c r="E48" s="3">
        <f t="shared" si="3"/>
        <v>63600</v>
      </c>
    </row>
    <row r="49" spans="1:15" ht="14.25" customHeight="1"/>
    <row r="50" spans="1:15" ht="14.25" customHeight="1">
      <c r="A50" s="5" t="s">
        <v>61</v>
      </c>
    </row>
    <row r="51" spans="1:15" ht="14.25" customHeight="1">
      <c r="A51" s="8" t="s">
        <v>62</v>
      </c>
      <c r="B51" s="8" t="s">
        <v>6</v>
      </c>
      <c r="C51" s="8" t="s">
        <v>63</v>
      </c>
      <c r="D51" s="8" t="s">
        <v>25</v>
      </c>
      <c r="E51" s="8" t="s">
        <v>26</v>
      </c>
      <c r="F51" s="8" t="s">
        <v>64</v>
      </c>
      <c r="I51" s="10" t="s">
        <v>37</v>
      </c>
      <c r="J51" s="10" t="s">
        <v>38</v>
      </c>
      <c r="K51" s="10" t="s">
        <v>39</v>
      </c>
      <c r="L51" s="11"/>
      <c r="M51" s="10" t="s">
        <v>65</v>
      </c>
      <c r="N51" s="10" t="s">
        <v>65</v>
      </c>
      <c r="O51" s="10" t="s">
        <v>65</v>
      </c>
    </row>
    <row r="52" spans="1:15" ht="14.25" customHeight="1">
      <c r="A52" s="8" t="s">
        <v>42</v>
      </c>
      <c r="B52" s="2">
        <f t="shared" ref="B52:B54" si="18">B11</f>
        <v>1859</v>
      </c>
      <c r="C52" s="3">
        <f t="shared" ref="C52:C60" si="19">$B52*B$16*$B40 + ($B40*C$16/D$16)</f>
        <v>0</v>
      </c>
      <c r="D52" s="3">
        <f t="shared" ref="D52:D60" si="20">$B52*B$17*$C40 + ($C40*C$17/D$17)</f>
        <v>40108.199999999997</v>
      </c>
      <c r="E52" s="3">
        <f t="shared" ref="E52:E60" si="21">$B52*B$18*$D40+(C$18)</f>
        <v>22269.400000000005</v>
      </c>
      <c r="F52" s="13">
        <f t="shared" ref="F52:F61" si="22">SUM(C52:E52)</f>
        <v>62377.600000000006</v>
      </c>
      <c r="I52" s="3">
        <f t="shared" ref="I52:K52" si="23">SUM(B40:B42)</f>
        <v>0</v>
      </c>
      <c r="J52" s="3">
        <f t="shared" si="23"/>
        <v>32999.999999999964</v>
      </c>
      <c r="K52" s="3">
        <f t="shared" si="23"/>
        <v>33000</v>
      </c>
      <c r="L52" s="3" t="s">
        <v>58</v>
      </c>
      <c r="M52" s="3">
        <f t="shared" ref="M52:O52" si="24">0.5*$B2</f>
        <v>33000</v>
      </c>
      <c r="N52" s="3">
        <f t="shared" si="24"/>
        <v>33000</v>
      </c>
      <c r="O52" s="3">
        <f t="shared" si="24"/>
        <v>33000</v>
      </c>
    </row>
    <row r="53" spans="1:15" ht="14.25" customHeight="1">
      <c r="A53" s="8" t="s">
        <v>43</v>
      </c>
      <c r="B53" s="2">
        <f t="shared" si="18"/>
        <v>2586</v>
      </c>
      <c r="C53" s="3">
        <f t="shared" si="19"/>
        <v>0</v>
      </c>
      <c r="D53" s="3">
        <f t="shared" si="20"/>
        <v>54502.8</v>
      </c>
      <c r="E53" s="3">
        <f t="shared" si="21"/>
        <v>44135.199999999997</v>
      </c>
      <c r="F53" s="13">
        <f t="shared" si="22"/>
        <v>98638</v>
      </c>
      <c r="I53" s="3">
        <f t="shared" ref="I53:K53" si="25">SUM(B43:B45)</f>
        <v>19299.999999999993</v>
      </c>
      <c r="J53" s="3">
        <f t="shared" si="25"/>
        <v>38600</v>
      </c>
      <c r="K53" s="3">
        <f t="shared" si="25"/>
        <v>38600</v>
      </c>
      <c r="L53" s="3" t="s">
        <v>58</v>
      </c>
      <c r="M53" s="3">
        <f t="shared" ref="M53:O53" si="26">0.5*$C2</f>
        <v>48250</v>
      </c>
      <c r="N53" s="3">
        <f t="shared" si="26"/>
        <v>48250</v>
      </c>
      <c r="O53" s="3">
        <f t="shared" si="26"/>
        <v>48250</v>
      </c>
    </row>
    <row r="54" spans="1:15" ht="14.25" customHeight="1">
      <c r="A54" s="8" t="s">
        <v>44</v>
      </c>
      <c r="B54" s="2">
        <f t="shared" si="18"/>
        <v>3750</v>
      </c>
      <c r="C54" s="3">
        <f t="shared" si="19"/>
        <v>0</v>
      </c>
      <c r="D54" s="3">
        <f t="shared" si="20"/>
        <v>38774.999999999796</v>
      </c>
      <c r="E54" s="3">
        <f t="shared" si="21"/>
        <v>59500</v>
      </c>
      <c r="F54" s="13">
        <f t="shared" si="22"/>
        <v>98274.999999999796</v>
      </c>
      <c r="I54" s="3">
        <f t="shared" ref="I54:K54" si="27">SUM(B46:B48)</f>
        <v>12720.000000000004</v>
      </c>
      <c r="J54" s="3">
        <f t="shared" si="27"/>
        <v>50880</v>
      </c>
      <c r="K54" s="3">
        <f t="shared" si="27"/>
        <v>63600</v>
      </c>
      <c r="L54" s="3" t="s">
        <v>58</v>
      </c>
      <c r="M54" s="3">
        <f t="shared" ref="M54:O54" si="28">0.5*$D2</f>
        <v>63600</v>
      </c>
      <c r="N54" s="3">
        <f t="shared" si="28"/>
        <v>63600</v>
      </c>
      <c r="O54" s="3">
        <f t="shared" si="28"/>
        <v>63600</v>
      </c>
    </row>
    <row r="55" spans="1:15" ht="14.25" customHeight="1">
      <c r="A55" s="8" t="s">
        <v>45</v>
      </c>
      <c r="B55" s="2">
        <f t="shared" ref="B55:B57" si="29">C11</f>
        <v>3245</v>
      </c>
      <c r="C55" s="3">
        <f t="shared" si="19"/>
        <v>0</v>
      </c>
      <c r="D55" s="3">
        <f t="shared" si="20"/>
        <v>0</v>
      </c>
      <c r="E55" s="3">
        <f t="shared" si="21"/>
        <v>10000</v>
      </c>
      <c r="F55" s="13">
        <f t="shared" si="22"/>
        <v>10000</v>
      </c>
    </row>
    <row r="56" spans="1:15" ht="14.25" customHeight="1">
      <c r="A56" s="8" t="s">
        <v>46</v>
      </c>
      <c r="B56" s="2">
        <f t="shared" si="29"/>
        <v>1738</v>
      </c>
      <c r="C56" s="3">
        <f t="shared" si="19"/>
        <v>38368.399999999994</v>
      </c>
      <c r="D56" s="3">
        <f t="shared" si="20"/>
        <v>55140.100000000006</v>
      </c>
      <c r="E56" s="3">
        <f t="shared" si="21"/>
        <v>43543.4</v>
      </c>
      <c r="F56" s="13">
        <f t="shared" si="22"/>
        <v>137051.9</v>
      </c>
    </row>
    <row r="57" spans="1:15" ht="14.25" customHeight="1">
      <c r="A57" s="8" t="s">
        <v>47</v>
      </c>
      <c r="B57" s="2">
        <f t="shared" si="29"/>
        <v>1803</v>
      </c>
      <c r="C57" s="3">
        <f t="shared" si="19"/>
        <v>39622.89999999998</v>
      </c>
      <c r="D57" s="3">
        <f t="shared" si="20"/>
        <v>57021.85</v>
      </c>
      <c r="E57" s="3">
        <f t="shared" si="21"/>
        <v>44797.9</v>
      </c>
      <c r="F57" s="13">
        <f t="shared" si="22"/>
        <v>141442.64999999997</v>
      </c>
    </row>
    <row r="58" spans="1:15" ht="14.25" customHeight="1">
      <c r="A58" s="8" t="s">
        <v>48</v>
      </c>
      <c r="B58" s="2">
        <f t="shared" ref="B58:B60" si="30">D11</f>
        <v>2107</v>
      </c>
      <c r="C58" s="3">
        <f t="shared" si="19"/>
        <v>0</v>
      </c>
      <c r="D58" s="3">
        <f t="shared" si="20"/>
        <v>25510.539999999972</v>
      </c>
      <c r="E58" s="3">
        <f t="shared" si="21"/>
        <v>36801.040000000001</v>
      </c>
      <c r="F58" s="13">
        <f t="shared" si="22"/>
        <v>62311.579999999973</v>
      </c>
    </row>
    <row r="59" spans="1:15" ht="14.25" customHeight="1">
      <c r="A59" s="8" t="s">
        <v>49</v>
      </c>
      <c r="B59" s="2">
        <f t="shared" si="30"/>
        <v>2621</v>
      </c>
      <c r="C59" s="3">
        <f t="shared" si="19"/>
        <v>0</v>
      </c>
      <c r="D59" s="3">
        <f t="shared" si="20"/>
        <v>75099.74000000002</v>
      </c>
      <c r="E59" s="3">
        <f t="shared" si="21"/>
        <v>76678.240000000005</v>
      </c>
      <c r="F59" s="13">
        <f t="shared" si="22"/>
        <v>151777.98000000004</v>
      </c>
    </row>
    <row r="60" spans="1:15" ht="14.25" customHeight="1">
      <c r="A60" s="8" t="s">
        <v>50</v>
      </c>
      <c r="B60" s="2">
        <f t="shared" si="30"/>
        <v>1876</v>
      </c>
      <c r="C60" s="3">
        <f t="shared" si="19"/>
        <v>54085.440000000017</v>
      </c>
      <c r="D60" s="3">
        <f t="shared" si="20"/>
        <v>77948.160000000003</v>
      </c>
      <c r="E60" s="3">
        <f t="shared" si="21"/>
        <v>57725.440000000002</v>
      </c>
      <c r="F60" s="13">
        <f t="shared" si="22"/>
        <v>189759.04000000004</v>
      </c>
    </row>
    <row r="61" spans="1:15" ht="14.25" customHeight="1">
      <c r="A61" s="13"/>
      <c r="B61" s="8" t="s">
        <v>66</v>
      </c>
      <c r="C61" s="13">
        <f t="shared" ref="C61:E61" si="31">SUM(C52:C60)</f>
        <v>132076.74</v>
      </c>
      <c r="D61" s="13">
        <f t="shared" si="31"/>
        <v>424106.38999999978</v>
      </c>
      <c r="E61" s="13">
        <f t="shared" si="31"/>
        <v>395450.62</v>
      </c>
      <c r="F61" s="13">
        <f t="shared" si="22"/>
        <v>951633.74999999977</v>
      </c>
    </row>
    <row r="62" spans="1:15" ht="14.25" customHeight="1"/>
    <row r="63" spans="1:15" ht="14.25" customHeight="1">
      <c r="A63" s="14" t="s">
        <v>67</v>
      </c>
    </row>
    <row r="64" spans="1:15" ht="14.25" customHeight="1">
      <c r="A64" s="8" t="s">
        <v>0</v>
      </c>
      <c r="B64" s="8" t="s">
        <v>1</v>
      </c>
      <c r="C64" s="8" t="s">
        <v>2</v>
      </c>
      <c r="D64" s="8" t="s">
        <v>3</v>
      </c>
    </row>
    <row r="65" spans="1:17" ht="14.25" customHeight="1">
      <c r="A65" s="8" t="s">
        <v>68</v>
      </c>
      <c r="B65" s="15">
        <v>66000</v>
      </c>
      <c r="C65" s="15">
        <v>96500</v>
      </c>
      <c r="D65" s="15">
        <v>127200</v>
      </c>
    </row>
    <row r="66" spans="1:17" ht="14.25" customHeight="1">
      <c r="A66" s="8" t="s">
        <v>69</v>
      </c>
      <c r="B66" s="3">
        <v>1.2</v>
      </c>
      <c r="C66" s="3">
        <v>1.1000000000000001</v>
      </c>
      <c r="D66" s="3">
        <v>1.05</v>
      </c>
      <c r="E66" s="16" t="s">
        <v>66</v>
      </c>
    </row>
    <row r="67" spans="1:17" ht="14.25" customHeight="1">
      <c r="A67" s="8" t="s">
        <v>9</v>
      </c>
      <c r="B67" s="15">
        <f t="shared" ref="B67:D67" si="32">B66*B65</f>
        <v>79200</v>
      </c>
      <c r="C67" s="15">
        <f t="shared" si="32"/>
        <v>106150.00000000001</v>
      </c>
      <c r="D67" s="15">
        <f t="shared" si="32"/>
        <v>133560</v>
      </c>
      <c r="E67" s="17">
        <f>SUM(B67:D67)</f>
        <v>318910</v>
      </c>
    </row>
    <row r="68" spans="1:17" ht="14.25" customHeight="1">
      <c r="A68" s="8" t="s">
        <v>70</v>
      </c>
      <c r="B68" s="3">
        <f>B65*0.35</f>
        <v>23100</v>
      </c>
      <c r="C68" s="3">
        <f>C65*0.38</f>
        <v>36670</v>
      </c>
      <c r="D68" s="3">
        <f>D65*0.46</f>
        <v>58512</v>
      </c>
    </row>
    <row r="69" spans="1:17" ht="14.25" customHeight="1">
      <c r="A69" s="8" t="s">
        <v>71</v>
      </c>
      <c r="B69" s="3">
        <f>B65*0.18</f>
        <v>11880</v>
      </c>
      <c r="C69" s="3">
        <f>C65*0.12</f>
        <v>11580</v>
      </c>
      <c r="D69" s="3">
        <f>D65*0.06</f>
        <v>7632</v>
      </c>
    </row>
    <row r="70" spans="1:17" ht="14.25" customHeight="1">
      <c r="A70" s="8" t="s">
        <v>72</v>
      </c>
      <c r="B70" s="3">
        <f>B65*0.03</f>
        <v>1980</v>
      </c>
      <c r="C70" s="3">
        <f>C65*0.04</f>
        <v>3860</v>
      </c>
      <c r="D70" s="3">
        <f>D65*0.02</f>
        <v>2544</v>
      </c>
    </row>
    <row r="71" spans="1:17" ht="14.25" customHeight="1">
      <c r="A71" s="8" t="s">
        <v>73</v>
      </c>
      <c r="B71" s="3">
        <f t="shared" ref="B71:D71" si="33">B65-B68-B69-B70</f>
        <v>29040</v>
      </c>
      <c r="C71" s="3">
        <f t="shared" si="33"/>
        <v>44390</v>
      </c>
      <c r="D71" s="3">
        <f t="shared" si="33"/>
        <v>58512</v>
      </c>
    </row>
    <row r="72" spans="1:17" ht="14.25" customHeight="1">
      <c r="N72" s="7" t="s">
        <v>74</v>
      </c>
    </row>
    <row r="73" spans="1:17" ht="14.25" customHeight="1">
      <c r="A73" s="13" t="s">
        <v>75</v>
      </c>
      <c r="B73" s="8" t="s">
        <v>76</v>
      </c>
      <c r="C73" s="8" t="s">
        <v>31</v>
      </c>
      <c r="D73" s="8" t="s">
        <v>32</v>
      </c>
      <c r="E73" s="8" t="s">
        <v>33</v>
      </c>
      <c r="F73" s="8" t="s">
        <v>34</v>
      </c>
      <c r="G73" s="5"/>
      <c r="H73" s="11"/>
      <c r="I73" s="10" t="s">
        <v>31</v>
      </c>
      <c r="J73" s="10" t="s">
        <v>32</v>
      </c>
      <c r="K73" s="10" t="s">
        <v>33</v>
      </c>
      <c r="L73" s="10" t="s">
        <v>34</v>
      </c>
      <c r="M73" s="3"/>
      <c r="N73" s="10" t="s">
        <v>31</v>
      </c>
      <c r="O73" s="10" t="s">
        <v>32</v>
      </c>
      <c r="P73" s="10" t="s">
        <v>33</v>
      </c>
      <c r="Q73" s="10" t="s">
        <v>34</v>
      </c>
    </row>
    <row r="74" spans="1:17" ht="14.25" customHeight="1">
      <c r="A74" s="8" t="s">
        <v>42</v>
      </c>
      <c r="B74" s="3">
        <f t="shared" ref="B74:B82" si="34">E40</f>
        <v>19800.000000000004</v>
      </c>
      <c r="C74" s="3">
        <f t="shared" ref="C74:C76" si="35">B74*B$5</f>
        <v>594.00000000000011</v>
      </c>
      <c r="D74" s="3">
        <f t="shared" ref="D74:D76" si="36">B74*B$6</f>
        <v>8712.0000000000036</v>
      </c>
      <c r="E74" s="3">
        <f t="shared" ref="E74:E76" si="37">B74*B$4</f>
        <v>3564.0000000000005</v>
      </c>
      <c r="F74" s="3">
        <f t="shared" ref="F74:F76" si="38">B74*B$3</f>
        <v>6930.0000000000009</v>
      </c>
      <c r="H74" s="10" t="s">
        <v>1</v>
      </c>
      <c r="I74" s="12">
        <f t="shared" ref="I74:L74" si="39">SUM(C74:C76)</f>
        <v>1979.9999999999989</v>
      </c>
      <c r="J74" s="12">
        <f t="shared" si="39"/>
        <v>29039.999999999993</v>
      </c>
      <c r="K74" s="12">
        <f t="shared" si="39"/>
        <v>11879.999999999993</v>
      </c>
      <c r="L74" s="12">
        <f t="shared" si="39"/>
        <v>23099.999999999985</v>
      </c>
      <c r="M74" s="3" t="s">
        <v>58</v>
      </c>
      <c r="N74" s="12">
        <f>B70</f>
        <v>1980</v>
      </c>
      <c r="O74" s="12">
        <f>B71</f>
        <v>29040</v>
      </c>
      <c r="P74" s="12">
        <f>B69</f>
        <v>11880</v>
      </c>
      <c r="Q74" s="12">
        <f>B68</f>
        <v>23100</v>
      </c>
    </row>
    <row r="75" spans="1:17" ht="14.25" customHeight="1">
      <c r="A75" s="8" t="s">
        <v>43</v>
      </c>
      <c r="B75" s="3">
        <f t="shared" si="34"/>
        <v>26400</v>
      </c>
      <c r="C75" s="3">
        <f t="shared" si="35"/>
        <v>792</v>
      </c>
      <c r="D75" s="3">
        <f t="shared" si="36"/>
        <v>11616.000000000002</v>
      </c>
      <c r="E75" s="3">
        <f t="shared" si="37"/>
        <v>4752</v>
      </c>
      <c r="F75" s="3">
        <f t="shared" si="38"/>
        <v>9240</v>
      </c>
      <c r="H75" s="10" t="s">
        <v>2</v>
      </c>
      <c r="I75" s="12">
        <f t="shared" ref="I75:L75" si="40">SUM(C77:C79)</f>
        <v>3860</v>
      </c>
      <c r="J75" s="12">
        <f t="shared" si="40"/>
        <v>44390</v>
      </c>
      <c r="K75" s="12">
        <f t="shared" si="40"/>
        <v>11580</v>
      </c>
      <c r="L75" s="12">
        <f t="shared" si="40"/>
        <v>36670</v>
      </c>
      <c r="M75" s="3" t="s">
        <v>58</v>
      </c>
      <c r="N75" s="12">
        <f>C70</f>
        <v>3860</v>
      </c>
      <c r="O75" s="12">
        <f>C71</f>
        <v>44390</v>
      </c>
      <c r="P75" s="12">
        <f>C69</f>
        <v>11580</v>
      </c>
      <c r="Q75" s="12">
        <f>C68</f>
        <v>36670</v>
      </c>
    </row>
    <row r="76" spans="1:17" ht="14.25" customHeight="1">
      <c r="A76" s="8" t="s">
        <v>44</v>
      </c>
      <c r="B76" s="3">
        <f t="shared" si="34"/>
        <v>19799.999999999964</v>
      </c>
      <c r="C76" s="3">
        <f t="shared" si="35"/>
        <v>593.99999999999886</v>
      </c>
      <c r="D76" s="3">
        <f t="shared" si="36"/>
        <v>8711.9999999999854</v>
      </c>
      <c r="E76" s="3">
        <f t="shared" si="37"/>
        <v>3563.9999999999932</v>
      </c>
      <c r="F76" s="3">
        <f t="shared" si="38"/>
        <v>6929.9999999999873</v>
      </c>
      <c r="H76" s="10" t="s">
        <v>3</v>
      </c>
      <c r="I76" s="12">
        <f t="shared" ref="I76:L76" si="41">SUM(C80:C82)</f>
        <v>2544</v>
      </c>
      <c r="J76" s="12">
        <f t="shared" si="41"/>
        <v>58512</v>
      </c>
      <c r="K76" s="12">
        <f t="shared" si="41"/>
        <v>7632</v>
      </c>
      <c r="L76" s="12">
        <f t="shared" si="41"/>
        <v>58512</v>
      </c>
      <c r="M76" s="3" t="s">
        <v>58</v>
      </c>
      <c r="N76" s="12">
        <f>D70</f>
        <v>2544</v>
      </c>
      <c r="O76" s="12">
        <f>D71</f>
        <v>58512</v>
      </c>
      <c r="P76" s="12">
        <f>D69</f>
        <v>7632</v>
      </c>
      <c r="Q76" s="12">
        <f>D68</f>
        <v>58512</v>
      </c>
    </row>
    <row r="77" spans="1:17" ht="14.25" customHeight="1">
      <c r="A77" s="8" t="s">
        <v>45</v>
      </c>
      <c r="B77" s="3">
        <f t="shared" si="34"/>
        <v>0</v>
      </c>
      <c r="C77" s="3">
        <f t="shared" ref="C77:C79" si="42">B77*C$5</f>
        <v>0</v>
      </c>
      <c r="D77" s="3">
        <f t="shared" ref="D77:D79" si="43">B77*C$6</f>
        <v>0</v>
      </c>
      <c r="E77" s="3">
        <f t="shared" ref="E77:E79" si="44">B77*C$4</f>
        <v>0</v>
      </c>
      <c r="F77" s="3">
        <f t="shared" ref="F77:F79" si="45">B77*C$3</f>
        <v>0</v>
      </c>
    </row>
    <row r="78" spans="1:17" ht="14.25" customHeight="1">
      <c r="A78" s="8" t="s">
        <v>46</v>
      </c>
      <c r="B78" s="3">
        <f t="shared" si="34"/>
        <v>48250</v>
      </c>
      <c r="C78" s="3">
        <f t="shared" si="42"/>
        <v>1930</v>
      </c>
      <c r="D78" s="3">
        <f t="shared" si="43"/>
        <v>22195</v>
      </c>
      <c r="E78" s="3">
        <f t="shared" si="44"/>
        <v>5790</v>
      </c>
      <c r="F78" s="3">
        <f t="shared" si="45"/>
        <v>18335</v>
      </c>
    </row>
    <row r="79" spans="1:17" ht="14.25" customHeight="1">
      <c r="A79" s="8" t="s">
        <v>47</v>
      </c>
      <c r="B79" s="3">
        <f t="shared" si="34"/>
        <v>48249.999999999993</v>
      </c>
      <c r="C79" s="3">
        <f t="shared" si="42"/>
        <v>1929.9999999999998</v>
      </c>
      <c r="D79" s="3">
        <f t="shared" si="43"/>
        <v>22194.999999999996</v>
      </c>
      <c r="E79" s="3">
        <f t="shared" si="44"/>
        <v>5789.9999999999991</v>
      </c>
      <c r="F79" s="3">
        <f t="shared" si="45"/>
        <v>18334.999999999996</v>
      </c>
    </row>
    <row r="80" spans="1:17" ht="14.25" customHeight="1">
      <c r="A80" s="8" t="s">
        <v>48</v>
      </c>
      <c r="B80" s="3">
        <f t="shared" si="34"/>
        <v>20199.999999999993</v>
      </c>
      <c r="C80" s="3">
        <f t="shared" ref="C80:C82" si="46">B80*D$5</f>
        <v>403.99999999999989</v>
      </c>
      <c r="D80" s="3">
        <f t="shared" ref="D80:D82" si="47">B80*D$6</f>
        <v>9291.9999999999964</v>
      </c>
      <c r="E80" s="3">
        <f t="shared" ref="E80:E82" si="48">B80*D$4</f>
        <v>1211.9999999999995</v>
      </c>
      <c r="F80" s="3">
        <f t="shared" ref="F80:F82" si="49">B80*D$3</f>
        <v>9291.9999999999964</v>
      </c>
    </row>
    <row r="81" spans="1:6" ht="14.25" customHeight="1">
      <c r="A81" s="8" t="s">
        <v>49</v>
      </c>
      <c r="B81" s="3">
        <f t="shared" si="34"/>
        <v>43400</v>
      </c>
      <c r="C81" s="3">
        <f t="shared" si="46"/>
        <v>868</v>
      </c>
      <c r="D81" s="3">
        <f t="shared" si="47"/>
        <v>19964</v>
      </c>
      <c r="E81" s="3">
        <f t="shared" si="48"/>
        <v>2604</v>
      </c>
      <c r="F81" s="3">
        <f t="shared" si="49"/>
        <v>19964</v>
      </c>
    </row>
    <row r="82" spans="1:6" ht="14.25" customHeight="1">
      <c r="A82" s="8" t="s">
        <v>50</v>
      </c>
      <c r="B82" s="3">
        <f t="shared" si="34"/>
        <v>63600</v>
      </c>
      <c r="C82" s="3">
        <f t="shared" si="46"/>
        <v>1272</v>
      </c>
      <c r="D82" s="3">
        <f t="shared" si="47"/>
        <v>29256</v>
      </c>
      <c r="E82" s="3">
        <f t="shared" si="48"/>
        <v>3816</v>
      </c>
      <c r="F82" s="3">
        <f t="shared" si="49"/>
        <v>29256</v>
      </c>
    </row>
    <row r="83" spans="1:6" ht="14.25" customHeight="1"/>
    <row r="84" spans="1:6" ht="14.25" customHeight="1">
      <c r="A84" s="8" t="s">
        <v>77</v>
      </c>
      <c r="B84" s="8" t="s">
        <v>31</v>
      </c>
      <c r="C84" s="8" t="s">
        <v>32</v>
      </c>
      <c r="D84" s="8" t="s">
        <v>33</v>
      </c>
      <c r="E84" s="8" t="s">
        <v>34</v>
      </c>
      <c r="F84" s="8" t="s">
        <v>78</v>
      </c>
    </row>
    <row r="85" spans="1:6" ht="14.25" customHeight="1">
      <c r="A85" s="8" t="s">
        <v>42</v>
      </c>
      <c r="B85" s="3">
        <f t="shared" ref="B85:E85" si="50">C74*D$21</f>
        <v>47.52000000000001</v>
      </c>
      <c r="C85" s="3">
        <f t="shared" si="50"/>
        <v>435.60000000000019</v>
      </c>
      <c r="D85" s="3">
        <f t="shared" si="50"/>
        <v>249.48000000000005</v>
      </c>
      <c r="E85" s="3">
        <f t="shared" si="50"/>
        <v>693.00000000000011</v>
      </c>
      <c r="F85" s="3">
        <f t="shared" ref="F85:F94" si="51">SUM(B85:E85)</f>
        <v>1425.6000000000004</v>
      </c>
    </row>
    <row r="86" spans="1:6" ht="14.25" customHeight="1">
      <c r="A86" s="8" t="s">
        <v>43</v>
      </c>
      <c r="B86" s="3">
        <f t="shared" ref="B86:E86" si="52">C75*D$22</f>
        <v>71.28</v>
      </c>
      <c r="C86" s="3">
        <f t="shared" si="52"/>
        <v>696.96</v>
      </c>
      <c r="D86" s="3">
        <f t="shared" si="52"/>
        <v>308.88</v>
      </c>
      <c r="E86" s="3">
        <f t="shared" si="52"/>
        <v>924</v>
      </c>
      <c r="F86" s="3">
        <f t="shared" si="51"/>
        <v>2001.12</v>
      </c>
    </row>
    <row r="87" spans="1:6" ht="14.25" customHeight="1">
      <c r="A87" s="8" t="s">
        <v>44</v>
      </c>
      <c r="B87" s="3">
        <f t="shared" ref="B87:E87" si="53">C76*D$23</f>
        <v>59.399999999999892</v>
      </c>
      <c r="C87" s="3">
        <f t="shared" si="53"/>
        <v>566.27999999999906</v>
      </c>
      <c r="D87" s="3">
        <f t="shared" si="53"/>
        <v>249.47999999999954</v>
      </c>
      <c r="E87" s="3">
        <f t="shared" si="53"/>
        <v>623.69999999999879</v>
      </c>
      <c r="F87" s="3">
        <f t="shared" si="51"/>
        <v>1498.8599999999974</v>
      </c>
    </row>
    <row r="88" spans="1:6" ht="14.25" customHeight="1">
      <c r="A88" s="8" t="s">
        <v>45</v>
      </c>
      <c r="B88" s="3">
        <f t="shared" ref="B88:E88" si="54">C77*D$21</f>
        <v>0</v>
      </c>
      <c r="C88" s="3">
        <f t="shared" si="54"/>
        <v>0</v>
      </c>
      <c r="D88" s="3">
        <f t="shared" si="54"/>
        <v>0</v>
      </c>
      <c r="E88" s="3">
        <f t="shared" si="54"/>
        <v>0</v>
      </c>
      <c r="F88" s="3">
        <f t="shared" si="51"/>
        <v>0</v>
      </c>
    </row>
    <row r="89" spans="1:6" ht="14.25" customHeight="1">
      <c r="A89" s="8" t="s">
        <v>46</v>
      </c>
      <c r="B89" s="3">
        <f t="shared" ref="B89:E89" si="55">C78*D$22</f>
        <v>173.7</v>
      </c>
      <c r="C89" s="3">
        <f t="shared" si="55"/>
        <v>1331.7</v>
      </c>
      <c r="D89" s="3">
        <f t="shared" si="55"/>
        <v>376.35</v>
      </c>
      <c r="E89" s="3">
        <f t="shared" si="55"/>
        <v>1833.5</v>
      </c>
      <c r="F89" s="3">
        <f t="shared" si="51"/>
        <v>3715.25</v>
      </c>
    </row>
    <row r="90" spans="1:6" ht="14.25" customHeight="1">
      <c r="A90" s="8" t="s">
        <v>47</v>
      </c>
      <c r="B90" s="3">
        <f t="shared" ref="B90:E90" si="56">C79*D$23</f>
        <v>193</v>
      </c>
      <c r="C90" s="3">
        <f t="shared" si="56"/>
        <v>1442.6749999999997</v>
      </c>
      <c r="D90" s="3">
        <f t="shared" si="56"/>
        <v>405.29999999999995</v>
      </c>
      <c r="E90" s="3">
        <f t="shared" si="56"/>
        <v>1650.1499999999996</v>
      </c>
      <c r="F90" s="3">
        <f t="shared" si="51"/>
        <v>3691.1249999999991</v>
      </c>
    </row>
    <row r="91" spans="1:6" ht="14.25" customHeight="1">
      <c r="A91" s="8" t="s">
        <v>48</v>
      </c>
      <c r="B91" s="3">
        <f t="shared" ref="B91:E91" si="57">C80*D$21</f>
        <v>32.319999999999993</v>
      </c>
      <c r="C91" s="3">
        <f t="shared" si="57"/>
        <v>464.59999999999985</v>
      </c>
      <c r="D91" s="3">
        <f t="shared" si="57"/>
        <v>84.839999999999975</v>
      </c>
      <c r="E91" s="3">
        <f t="shared" si="57"/>
        <v>929.1999999999997</v>
      </c>
      <c r="F91" s="3">
        <f t="shared" si="51"/>
        <v>1510.9599999999996</v>
      </c>
    </row>
    <row r="92" spans="1:6" ht="14.25" customHeight="1">
      <c r="A92" s="8" t="s">
        <v>49</v>
      </c>
      <c r="B92" s="3">
        <f t="shared" ref="B92:E92" si="58">C81*D$22</f>
        <v>78.11999999999999</v>
      </c>
      <c r="C92" s="3">
        <f t="shared" si="58"/>
        <v>1197.8399999999999</v>
      </c>
      <c r="D92" s="3">
        <f t="shared" si="58"/>
        <v>169.26000000000002</v>
      </c>
      <c r="E92" s="3">
        <f t="shared" si="58"/>
        <v>1996.4</v>
      </c>
      <c r="F92" s="3">
        <f t="shared" si="51"/>
        <v>3441.62</v>
      </c>
    </row>
    <row r="93" spans="1:6" ht="14.25" customHeight="1">
      <c r="A93" s="8" t="s">
        <v>50</v>
      </c>
      <c r="B93" s="3">
        <f t="shared" ref="B93:E93" si="59">C82*D$23</f>
        <v>127.2</v>
      </c>
      <c r="C93" s="3">
        <f t="shared" si="59"/>
        <v>1901.64</v>
      </c>
      <c r="D93" s="3">
        <f t="shared" si="59"/>
        <v>267.12</v>
      </c>
      <c r="E93" s="3">
        <f t="shared" si="59"/>
        <v>2633.04</v>
      </c>
      <c r="F93" s="3">
        <f t="shared" si="51"/>
        <v>4929</v>
      </c>
    </row>
    <row r="94" spans="1:6" ht="14.25" customHeight="1">
      <c r="A94" s="3"/>
      <c r="B94" s="3">
        <f t="shared" ref="B94:E94" si="60">SUM(B85:B93)</f>
        <v>782.53999999999985</v>
      </c>
      <c r="C94" s="3">
        <f t="shared" si="60"/>
        <v>8037.2949999999983</v>
      </c>
      <c r="D94" s="3">
        <f t="shared" si="60"/>
        <v>2110.7099999999996</v>
      </c>
      <c r="E94" s="3">
        <f t="shared" si="60"/>
        <v>11282.989999999998</v>
      </c>
      <c r="F94" s="3">
        <f t="shared" si="51"/>
        <v>22213.534999999996</v>
      </c>
    </row>
    <row r="95" spans="1:6" ht="14.25" customHeight="1"/>
    <row r="96" spans="1:6" ht="14.25" customHeight="1">
      <c r="A96" s="8" t="s">
        <v>79</v>
      </c>
      <c r="B96" s="8" t="s">
        <v>80</v>
      </c>
      <c r="C96" s="8" t="s">
        <v>81</v>
      </c>
      <c r="D96" s="8" t="s">
        <v>71</v>
      </c>
      <c r="E96" s="8" t="s">
        <v>82</v>
      </c>
      <c r="F96" s="8" t="s">
        <v>54</v>
      </c>
    </row>
    <row r="97" spans="1:12" ht="14.25" customHeight="1">
      <c r="A97" s="13" t="s">
        <v>57</v>
      </c>
      <c r="B97" s="3">
        <f t="shared" ref="B97:E97" si="61">(B74+B77+B80)*$C21</f>
        <v>36800</v>
      </c>
      <c r="C97" s="3">
        <f t="shared" si="61"/>
        <v>918.16000000000008</v>
      </c>
      <c r="D97" s="3">
        <f t="shared" si="61"/>
        <v>16563.68</v>
      </c>
      <c r="E97" s="3">
        <f t="shared" si="61"/>
        <v>4393.92</v>
      </c>
      <c r="F97" s="3">
        <f t="shared" ref="F97:F99" si="62">SUM(B97:E97)</f>
        <v>58675.76</v>
      </c>
    </row>
    <row r="98" spans="1:12" ht="14.25" customHeight="1">
      <c r="A98" s="13" t="s">
        <v>59</v>
      </c>
      <c r="B98" s="3">
        <f t="shared" ref="B98:E98" si="63">(B75+B78+B81)*$C22</f>
        <v>112147.5</v>
      </c>
      <c r="C98" s="3">
        <f t="shared" si="63"/>
        <v>3410.5</v>
      </c>
      <c r="D98" s="3">
        <f t="shared" si="63"/>
        <v>51086.25</v>
      </c>
      <c r="E98" s="3">
        <f t="shared" si="63"/>
        <v>12488.699999999999</v>
      </c>
      <c r="F98" s="3">
        <f t="shared" si="62"/>
        <v>179132.95</v>
      </c>
    </row>
    <row r="99" spans="1:12" ht="14.25" customHeight="1">
      <c r="A99" s="13" t="s">
        <v>60</v>
      </c>
      <c r="B99" s="3">
        <f t="shared" ref="B99:E99" si="64">(B76+B79+B82)*$C23</f>
        <v>130333.49999999994</v>
      </c>
      <c r="C99" s="3">
        <f t="shared" si="64"/>
        <v>3758.0399999999986</v>
      </c>
      <c r="D99" s="3">
        <f t="shared" si="64"/>
        <v>59561.369999999988</v>
      </c>
      <c r="E99" s="3">
        <f t="shared" si="64"/>
        <v>13038.299999999992</v>
      </c>
      <c r="F99" s="3">
        <f t="shared" si="62"/>
        <v>206691.20999999993</v>
      </c>
    </row>
    <row r="100" spans="1:12" ht="14.25" customHeight="1">
      <c r="A100" s="13" t="s">
        <v>54</v>
      </c>
      <c r="B100" s="3">
        <f t="shared" ref="B100:F100" si="65">SUM(B97:B99)</f>
        <v>279280.99999999994</v>
      </c>
      <c r="C100" s="3">
        <f t="shared" si="65"/>
        <v>8086.6999999999989</v>
      </c>
      <c r="D100" s="3">
        <f t="shared" si="65"/>
        <v>127211.29999999999</v>
      </c>
      <c r="E100" s="3">
        <f t="shared" si="65"/>
        <v>29920.919999999991</v>
      </c>
      <c r="F100" s="3">
        <f t="shared" si="65"/>
        <v>444499.91999999993</v>
      </c>
    </row>
    <row r="101" spans="1:12" ht="14.25" customHeight="1"/>
    <row r="102" spans="1:12" ht="14.25" customHeight="1">
      <c r="A102" s="4" t="s">
        <v>83</v>
      </c>
      <c r="B102" s="4" t="s">
        <v>84</v>
      </c>
      <c r="C102" s="4" t="s">
        <v>85</v>
      </c>
      <c r="D102" s="4" t="s">
        <v>86</v>
      </c>
      <c r="E102" s="4" t="s">
        <v>87</v>
      </c>
    </row>
    <row r="103" spans="1:12" ht="14.25" customHeight="1">
      <c r="A103" s="4" t="s">
        <v>88</v>
      </c>
      <c r="B103" s="3">
        <v>6.2</v>
      </c>
      <c r="C103" s="3">
        <v>3.4</v>
      </c>
      <c r="D103" s="3">
        <v>23.43</v>
      </c>
      <c r="E103" s="3">
        <v>75.89</v>
      </c>
    </row>
    <row r="104" spans="1:12" ht="14.25" customHeight="1"/>
    <row r="105" spans="1:12" ht="14.25" customHeight="1"/>
    <row r="106" spans="1:12" ht="14.25" customHeight="1"/>
    <row r="107" spans="1:12" ht="14.25" customHeight="1"/>
    <row r="108" spans="1:12" ht="14.25" customHeight="1">
      <c r="A108" s="13" t="s">
        <v>89</v>
      </c>
      <c r="B108" s="8" t="s">
        <v>80</v>
      </c>
      <c r="C108" s="8" t="s">
        <v>81</v>
      </c>
      <c r="D108" s="8" t="s">
        <v>71</v>
      </c>
      <c r="E108" s="8" t="s">
        <v>82</v>
      </c>
      <c r="F108" s="13"/>
    </row>
    <row r="109" spans="1:12" ht="14.25" customHeight="1">
      <c r="A109" s="13" t="s">
        <v>57</v>
      </c>
      <c r="B109" s="18">
        <f t="shared" ref="B109:E109" si="66">B97*B$103</f>
        <v>228160</v>
      </c>
      <c r="C109" s="18">
        <f t="shared" si="66"/>
        <v>3121.7440000000001</v>
      </c>
      <c r="D109" s="18">
        <f t="shared" si="66"/>
        <v>388087.02240000002</v>
      </c>
      <c r="E109" s="18">
        <f t="shared" si="66"/>
        <v>333454.58880000003</v>
      </c>
      <c r="F109" s="19">
        <f t="shared" ref="F109:F111" si="67">SUM(B109:E109)</f>
        <v>952823.35520000011</v>
      </c>
      <c r="H109" s="20">
        <v>228160</v>
      </c>
      <c r="I109" s="20">
        <v>3121.7440000000001</v>
      </c>
      <c r="J109" s="20">
        <v>388087.02240000002</v>
      </c>
      <c r="K109" s="20">
        <v>333454.58880000003</v>
      </c>
      <c r="L109" s="20">
        <v>952823.35520000011</v>
      </c>
    </row>
    <row r="110" spans="1:12" ht="14.25" customHeight="1">
      <c r="A110" s="13" t="s">
        <v>59</v>
      </c>
      <c r="B110" s="18">
        <f t="shared" ref="B110:E110" si="68">B98*B$103</f>
        <v>695314.5</v>
      </c>
      <c r="C110" s="18">
        <f t="shared" si="68"/>
        <v>11595.699999999999</v>
      </c>
      <c r="D110" s="18">
        <f t="shared" si="68"/>
        <v>1196950.8374999999</v>
      </c>
      <c r="E110" s="18">
        <f t="shared" si="68"/>
        <v>947767.44299999997</v>
      </c>
      <c r="F110" s="19">
        <f t="shared" si="67"/>
        <v>2851628.4804999996</v>
      </c>
      <c r="H110" s="20">
        <v>695314.5</v>
      </c>
      <c r="I110" s="20">
        <v>11595.699999999999</v>
      </c>
      <c r="J110" s="20">
        <v>1196950.8374999999</v>
      </c>
      <c r="K110" s="20">
        <v>947767.44299999997</v>
      </c>
      <c r="L110" s="20">
        <v>2851628.4804999996</v>
      </c>
    </row>
    <row r="111" spans="1:12" ht="14.25" customHeight="1">
      <c r="A111" s="13" t="s">
        <v>60</v>
      </c>
      <c r="B111" s="18">
        <f t="shared" ref="B111:E111" si="69">B99*B$103</f>
        <v>808067.6999999996</v>
      </c>
      <c r="C111" s="18">
        <f t="shared" si="69"/>
        <v>12777.335999999996</v>
      </c>
      <c r="D111" s="18">
        <f t="shared" si="69"/>
        <v>1395522.8990999998</v>
      </c>
      <c r="E111" s="18">
        <f t="shared" si="69"/>
        <v>989476.58699999936</v>
      </c>
      <c r="F111" s="19">
        <f t="shared" si="67"/>
        <v>3205844.5220999988</v>
      </c>
      <c r="H111" s="20">
        <v>808067.6999999996</v>
      </c>
      <c r="I111" s="20">
        <v>12777.335999999996</v>
      </c>
      <c r="J111" s="20">
        <v>1395522.8990999998</v>
      </c>
      <c r="K111" s="20">
        <v>989476.58699999936</v>
      </c>
      <c r="L111" s="20">
        <v>3205844.5220999988</v>
      </c>
    </row>
    <row r="112" spans="1:12" ht="14.25" customHeight="1">
      <c r="A112" s="13" t="s">
        <v>54</v>
      </c>
      <c r="B112" s="19">
        <f t="shared" ref="B112:F112" si="70">SUM(B109:B111)</f>
        <v>1731542.1999999997</v>
      </c>
      <c r="C112" s="19">
        <f t="shared" si="70"/>
        <v>27494.779999999995</v>
      </c>
      <c r="D112" s="19">
        <f t="shared" si="70"/>
        <v>2980560.7589999996</v>
      </c>
      <c r="E112" s="19">
        <f t="shared" si="70"/>
        <v>2270698.6187999994</v>
      </c>
      <c r="F112" s="19">
        <f t="shared" si="70"/>
        <v>7010296.3577999985</v>
      </c>
      <c r="H112" s="20">
        <v>1731542.1999999997</v>
      </c>
      <c r="I112" s="20">
        <v>27494.779999999995</v>
      </c>
      <c r="J112" s="20">
        <v>2980560.7589999996</v>
      </c>
      <c r="K112" s="20">
        <v>2270698.6187999994</v>
      </c>
      <c r="L112" s="20">
        <v>7010296.3577999985</v>
      </c>
    </row>
    <row r="113" spans="1:6" ht="14.25" customHeight="1">
      <c r="B113" s="21"/>
      <c r="C113" s="21"/>
      <c r="D113" s="21"/>
      <c r="E113" s="21"/>
      <c r="F113" s="21"/>
    </row>
    <row r="114" spans="1:6" ht="14.25" customHeight="1">
      <c r="A114" s="13" t="s">
        <v>90</v>
      </c>
      <c r="B114" s="22">
        <f>F112-F94-F61</f>
        <v>6036449.0727999983</v>
      </c>
      <c r="C114" s="21"/>
      <c r="D114" s="21"/>
      <c r="E114" s="21"/>
      <c r="F114" s="21"/>
    </row>
    <row r="115" spans="1:6" ht="14.25" customHeight="1"/>
    <row r="116" spans="1:6" ht="14.25" customHeight="1"/>
    <row r="117" spans="1:6" ht="14.25" customHeight="1"/>
    <row r="118" spans="1:6" ht="14.25" customHeight="1"/>
    <row r="119" spans="1:6" ht="14.25" customHeight="1"/>
    <row r="120" spans="1:6" ht="14.25" customHeight="1"/>
    <row r="121" spans="1:6" ht="14.25" customHeight="1"/>
    <row r="122" spans="1:6" ht="14.25" customHeight="1"/>
    <row r="123" spans="1:6" ht="14.25" customHeight="1"/>
    <row r="124" spans="1:6" ht="14.25" customHeight="1"/>
    <row r="125" spans="1:6" ht="14.25" customHeight="1"/>
    <row r="126" spans="1:6" ht="14.25" customHeight="1"/>
    <row r="127" spans="1:6" ht="14.25" customHeight="1"/>
    <row r="128" spans="1:6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E25:F25"/>
    <mergeCell ref="F26:F28"/>
    <mergeCell ref="F29:F31"/>
    <mergeCell ref="F32:F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Sheet1!solver_adj</vt:lpstr>
      <vt:lpstr>Sheet1!solver_lhs1</vt:lpstr>
      <vt:lpstr>Sheet1!solver_lhs2</vt:lpstr>
      <vt:lpstr>Sheet1!solver_lhs3</vt:lpstr>
      <vt:lpstr>Sheet1!solver_lhs4</vt:lpstr>
      <vt:lpstr>Sheet1!solver_lhs5</vt:lpstr>
      <vt:lpstr>Sheet1!solver_lhs6</vt:lpstr>
      <vt:lpstr>Sheet1!solver_lhs7</vt:lpstr>
      <vt:lpstr>Sheet1!solver_lhs8</vt:lpstr>
      <vt:lpstr>Sheet1!solver_opt</vt:lpstr>
      <vt:lpstr>Sheet1!solver_rhs4</vt:lpstr>
      <vt:lpstr>Sheet1!solver_rhs5</vt:lpstr>
      <vt:lpstr>Sheet1!solver_rhs6</vt:lpstr>
      <vt:lpstr>Sheet1!solver_rhs7</vt:lpstr>
      <vt:lpstr>Sheet1!solver_rhs8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HarshalGajera</dc:creator>
  <cp:lastModifiedBy>Pragya Nepal</cp:lastModifiedBy>
  <dcterms:created xsi:type="dcterms:W3CDTF">2023-11-23T23:08:45Z</dcterms:created>
  <dcterms:modified xsi:type="dcterms:W3CDTF">2023-12-07T05:08:31Z</dcterms:modified>
</cp:coreProperties>
</file>