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Gaur/Documents/Northeastern University/MPS Analytics/ALY 6050/Class 6/Assignment/"/>
    </mc:Choice>
  </mc:AlternateContent>
  <xr:revisionPtr revIDLastSave="0" documentId="13_ncr:1_{C0BD6947-218B-D146-908D-A404590CA4A7}" xr6:coauthVersionLast="47" xr6:coauthVersionMax="47" xr10:uidLastSave="{00000000-0000-0000-0000-000000000000}"/>
  <bookViews>
    <workbookView xWindow="0" yWindow="500" windowWidth="25600" windowHeight="14260" activeTab="1" xr2:uid="{7AEC5213-303D-0540-92AB-43C9CF7CF98F}"/>
  </bookViews>
  <sheets>
    <sheet name="Part 1" sheetId="1" r:id="rId1"/>
    <sheet name="Part 2" sheetId="2" r:id="rId2"/>
  </sheets>
  <definedNames>
    <definedName name="solver_adj" localSheetId="0" hidden="1">'Part 1'!$AZ$8:$BB$13</definedName>
    <definedName name="solver_adj" localSheetId="1" hidden="1">'Part 2'!$D$15:$D$20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'Part 1'!$AZ$14:$BB$14</definedName>
    <definedName name="solver_lhs1" localSheetId="1" hidden="1">'Part 2'!$B$26</definedName>
    <definedName name="solver_lhs2" localSheetId="0" hidden="1">'Part 1'!$BC$8:$BC$13</definedName>
    <definedName name="solver_lhs2" localSheetId="1" hidden="1">'Part 2'!$D$21</definedName>
    <definedName name="solver_lhs3" localSheetId="0" hidden="1">'Part 1'!$AS$23:$AS$28</definedName>
    <definedName name="solver_lhs4" localSheetId="0" hidden="1">'Part 1'!$AS$29:$AS$31</definedName>
    <definedName name="solver_lhs5" localSheetId="0" hidden="1">'Part 1'!$AS$29:$AS$31</definedName>
    <definedName name="solver_lhs6" localSheetId="0" hidden="1">'Part 1'!$AS$29:$AS$31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opt" localSheetId="0" hidden="1">'Part 1'!$AY$20</definedName>
    <definedName name="solver_opt" localSheetId="1" hidden="1">'Part 2'!$J$36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'Part 1'!$AZ$16:$BB$16</definedName>
    <definedName name="solver_rhs1" localSheetId="1" hidden="1">'Part 2'!$D$26</definedName>
    <definedName name="solver_rhs2" localSheetId="0" hidden="1">'Part 1'!$BE$8:$BE$13</definedName>
    <definedName name="solver_rhs2" localSheetId="1" hidden="1">'Part 2'!$F$21</definedName>
    <definedName name="solver_rhs3" localSheetId="0" hidden="1">'Part 1'!$AR$23:$AR$28</definedName>
    <definedName name="solver_rhs4" localSheetId="0" hidden="1">'Part 1'!$AR$29:$AR$31</definedName>
    <definedName name="solver_rhs5" localSheetId="0" hidden="1">'Part 1'!$AR$29:$AR$31</definedName>
    <definedName name="solver_rhs6" localSheetId="0" hidden="1">'Part 1'!$AR$29:$AR$31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2" l="1"/>
  <c r="E33" i="2"/>
  <c r="E34" i="2"/>
  <c r="E35" i="2"/>
  <c r="E36" i="2"/>
  <c r="E32" i="2"/>
  <c r="D33" i="2"/>
  <c r="D34" i="2"/>
  <c r="D35" i="2"/>
  <c r="D36" i="2"/>
  <c r="D32" i="2"/>
  <c r="D31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B26" i="2" l="1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19" i="2"/>
  <c r="I18" i="2"/>
  <c r="I17" i="2"/>
  <c r="I16" i="2"/>
  <c r="I20" i="2"/>
  <c r="I15" i="2"/>
  <c r="D21" i="2"/>
  <c r="AY20" i="1"/>
  <c r="BB16" i="1"/>
  <c r="BA16" i="1"/>
  <c r="BD16" i="1" s="1"/>
  <c r="AZ16" i="1"/>
  <c r="BE15" i="1"/>
  <c r="BB14" i="1"/>
  <c r="BA14" i="1"/>
  <c r="AZ14" i="1"/>
  <c r="BC13" i="1"/>
  <c r="BC12" i="1"/>
  <c r="BC11" i="1"/>
  <c r="BC10" i="1"/>
  <c r="BC9" i="1"/>
  <c r="BC8" i="1"/>
  <c r="AY44" i="1"/>
  <c r="BK35" i="1"/>
  <c r="BK34" i="1"/>
  <c r="BK33" i="1"/>
  <c r="BH38" i="1"/>
  <c r="BG38" i="1"/>
  <c r="BF38" i="1"/>
  <c r="BK37" i="1"/>
  <c r="BH36" i="1"/>
  <c r="BG36" i="1"/>
  <c r="BF36" i="1"/>
  <c r="BE36" i="1"/>
  <c r="BD36" i="1"/>
  <c r="BC36" i="1"/>
  <c r="BB36" i="1"/>
  <c r="BA36" i="1"/>
  <c r="AZ36" i="1"/>
  <c r="BI35" i="1"/>
  <c r="BI34" i="1"/>
  <c r="BI33" i="1"/>
  <c r="BI32" i="1"/>
  <c r="BI31" i="1"/>
  <c r="BI30" i="1"/>
  <c r="BI29" i="1"/>
  <c r="BI28" i="1"/>
  <c r="BI27" i="1"/>
  <c r="AP24" i="1"/>
  <c r="AP23" i="1"/>
  <c r="AF40" i="1"/>
  <c r="AH32" i="1"/>
  <c r="AI32" i="1"/>
  <c r="AJ32" i="1"/>
  <c r="AK32" i="1"/>
  <c r="AL32" i="1"/>
  <c r="AM32" i="1"/>
  <c r="AN32" i="1"/>
  <c r="AO32" i="1"/>
  <c r="AP25" i="1"/>
  <c r="AP26" i="1"/>
  <c r="AP27" i="1"/>
  <c r="AP28" i="1"/>
  <c r="AP29" i="1"/>
  <c r="AP30" i="1"/>
  <c r="AP31" i="1"/>
  <c r="AG32" i="1"/>
  <c r="AR33" i="1"/>
  <c r="T21" i="1"/>
  <c r="Z14" i="1"/>
  <c r="Y15" i="1"/>
  <c r="V13" i="1"/>
  <c r="W13" i="1"/>
  <c r="U13" i="1"/>
  <c r="X8" i="1"/>
  <c r="X9" i="1"/>
  <c r="X10" i="1"/>
  <c r="X11" i="1"/>
  <c r="X12" i="1"/>
  <c r="X7" i="1"/>
  <c r="J36" i="2" l="1"/>
  <c r="BL32" i="1"/>
  <c r="BL29" i="1"/>
  <c r="BG39" i="1"/>
  <c r="BL30" i="1"/>
  <c r="BH39" i="1"/>
  <c r="BL27" i="1"/>
  <c r="BL28" i="1"/>
  <c r="BJ38" i="1"/>
  <c r="BL31" i="1"/>
  <c r="BF39" i="1"/>
  <c r="AS26" i="1"/>
  <c r="AS25" i="1"/>
  <c r="AS27" i="1"/>
  <c r="AS28" i="1"/>
  <c r="AS24" i="1"/>
  <c r="AO35" i="1"/>
  <c r="AM35" i="1"/>
  <c r="AN35" i="1"/>
  <c r="AS23" i="1"/>
  <c r="AQ34" i="1"/>
</calcChain>
</file>

<file path=xl/sharedStrings.xml><?xml version="1.0" encoding="utf-8"?>
<sst xmlns="http://schemas.openxmlformats.org/spreadsheetml/2006/main" count="368" uniqueCount="129">
  <si>
    <t>Waste per Week (bbl)</t>
  </si>
  <si>
    <t>Waste Disposal Site:</t>
  </si>
  <si>
    <t>Expected Returns</t>
  </si>
  <si>
    <t>Bonds</t>
  </si>
  <si>
    <t>High tech stocks</t>
  </si>
  <si>
    <t>Foreign stocks</t>
  </si>
  <si>
    <t>Call options</t>
  </si>
  <si>
    <t>Put options</t>
  </si>
  <si>
    <t>Gold</t>
  </si>
  <si>
    <t xml:space="preserve"> </t>
  </si>
  <si>
    <t>Table 1: The Covariance matrix of assets’ returns</t>
  </si>
  <si>
    <t>where 
i = Plant, 
j = Waste Disposal Site</t>
  </si>
  <si>
    <t>Minimize Z =</t>
  </si>
  <si>
    <t>Plants (Sources)</t>
  </si>
  <si>
    <t>Waste Disposal Sites (Destinations)</t>
  </si>
  <si>
    <t>Waste Disposal Sites (Destination)</t>
  </si>
  <si>
    <r>
      <t>X</t>
    </r>
    <r>
      <rPr>
        <vertAlign val="subscript"/>
        <sz val="14"/>
        <color theme="1"/>
        <rFont val="Calibri"/>
        <family val="2"/>
        <scheme val="minor"/>
      </rPr>
      <t xml:space="preserve">DO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DF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>DM</t>
    </r>
  </si>
  <si>
    <r>
      <t>X</t>
    </r>
    <r>
      <rPr>
        <vertAlign val="subscript"/>
        <sz val="14"/>
        <color theme="1"/>
        <rFont val="Calibri"/>
        <family val="2"/>
        <scheme val="minor"/>
      </rPr>
      <t xml:space="preserve">MO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MF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>MM</t>
    </r>
  </si>
  <si>
    <r>
      <t>X</t>
    </r>
    <r>
      <rPr>
        <vertAlign val="subscript"/>
        <sz val="14"/>
        <color theme="1"/>
        <rFont val="Calibri"/>
        <family val="2"/>
        <scheme val="minor"/>
      </rPr>
      <t xml:space="preserve">PO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PF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>PM</t>
    </r>
  </si>
  <si>
    <r>
      <t>X</t>
    </r>
    <r>
      <rPr>
        <vertAlign val="subscript"/>
        <sz val="14"/>
        <color theme="1"/>
        <rFont val="Calibri"/>
        <family val="2"/>
        <scheme val="minor"/>
      </rPr>
      <t xml:space="preserve">RO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RF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>RM</t>
    </r>
  </si>
  <si>
    <r>
      <t>X</t>
    </r>
    <r>
      <rPr>
        <vertAlign val="subscript"/>
        <sz val="14"/>
        <color theme="1"/>
        <rFont val="Calibri"/>
        <family val="2"/>
        <scheme val="minor"/>
      </rPr>
      <t xml:space="preserve">SO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SF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>SM</t>
    </r>
  </si>
  <si>
    <r>
      <t>X</t>
    </r>
    <r>
      <rPr>
        <vertAlign val="subscript"/>
        <sz val="14"/>
        <color theme="1"/>
        <rFont val="Calibri"/>
        <family val="2"/>
        <scheme val="minor"/>
      </rPr>
      <t xml:space="preserve">DO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MO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MO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PO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RO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>SO</t>
    </r>
  </si>
  <si>
    <r>
      <t>X</t>
    </r>
    <r>
      <rPr>
        <vertAlign val="subscript"/>
        <sz val="14"/>
        <color theme="1"/>
        <rFont val="Calibri"/>
        <family val="2"/>
        <scheme val="minor"/>
      </rPr>
      <t xml:space="preserve">DF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MF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MF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PF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RF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>SF</t>
    </r>
  </si>
  <si>
    <r>
      <t>X</t>
    </r>
    <r>
      <rPr>
        <vertAlign val="subscript"/>
        <sz val="14"/>
        <color theme="1"/>
        <rFont val="Calibri"/>
        <family val="2"/>
        <scheme val="minor"/>
      </rPr>
      <t xml:space="preserve">DM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MM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MM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PM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RM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>SM</t>
    </r>
  </si>
  <si>
    <r>
      <rPr>
        <b/>
        <sz val="18"/>
        <color theme="1"/>
        <rFont val="Calibri (Body)"/>
      </rPr>
      <t>∑</t>
    </r>
    <r>
      <rPr>
        <b/>
        <sz val="18"/>
        <color theme="1"/>
        <rFont val="Calibri"/>
        <family val="2"/>
        <scheme val="minor"/>
      </rPr>
      <t>C</t>
    </r>
    <r>
      <rPr>
        <b/>
        <vertAlign val="subscript"/>
        <sz val="18"/>
        <color theme="1"/>
        <rFont val="Calibri (Body)"/>
      </rPr>
      <t>ij</t>
    </r>
    <r>
      <rPr>
        <b/>
        <sz val="18"/>
        <color theme="1"/>
        <rFont val="Calibri"/>
        <family val="2"/>
        <scheme val="minor"/>
      </rPr>
      <t xml:space="preserve"> * X</t>
    </r>
    <r>
      <rPr>
        <b/>
        <vertAlign val="subscript"/>
        <sz val="18"/>
        <color theme="1"/>
        <rFont val="Calibri (Body)"/>
      </rPr>
      <t>ij</t>
    </r>
  </si>
  <si>
    <t>≥</t>
  </si>
  <si>
    <t>≤</t>
  </si>
  <si>
    <r>
      <t>X</t>
    </r>
    <r>
      <rPr>
        <vertAlign val="subscript"/>
        <sz val="14"/>
        <color theme="1"/>
        <rFont val="Calibri"/>
        <family val="2"/>
        <scheme val="minor"/>
      </rPr>
      <t>ij</t>
    </r>
  </si>
  <si>
    <t>PART 1</t>
  </si>
  <si>
    <t>Decision Variable</t>
  </si>
  <si>
    <t>Plants
(Sources)</t>
  </si>
  <si>
    <t>Shipped To:</t>
  </si>
  <si>
    <t>Shipped From:</t>
  </si>
  <si>
    <t>Disposal:</t>
  </si>
  <si>
    <t>Waste Generation:</t>
  </si>
  <si>
    <t>Total Waste Disposal</t>
  </si>
  <si>
    <t>Total Waste Generation</t>
  </si>
  <si>
    <t>Cost</t>
  </si>
  <si>
    <t>=</t>
  </si>
  <si>
    <t>Plants &amp; Waste Disposal Sites (Nodes)</t>
  </si>
  <si>
    <t>Plants &amp; Waste Disposal Sites
(Sources)</t>
  </si>
  <si>
    <t>Total Cost Z (Minimized)</t>
  </si>
  <si>
    <t>Transient:</t>
  </si>
  <si>
    <t>Max Capacity (bbl/week)</t>
  </si>
  <si>
    <r>
      <t>X</t>
    </r>
    <r>
      <rPr>
        <vertAlign val="subscript"/>
        <sz val="14"/>
        <color theme="1"/>
        <rFont val="Calibri"/>
        <family val="2"/>
        <scheme val="minor"/>
      </rPr>
      <t xml:space="preserve">MVO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 xml:space="preserve">MVF </t>
    </r>
    <r>
      <rPr>
        <sz val="14"/>
        <color theme="1"/>
        <rFont val="Calibri"/>
        <family val="2"/>
        <scheme val="minor"/>
      </rPr>
      <t>+ X</t>
    </r>
    <r>
      <rPr>
        <vertAlign val="subscript"/>
        <sz val="14"/>
        <color theme="1"/>
        <rFont val="Calibri"/>
        <family val="2"/>
        <scheme val="minor"/>
      </rPr>
      <t>MVM</t>
    </r>
  </si>
  <si>
    <r>
      <t>X</t>
    </r>
    <r>
      <rPr>
        <vertAlign val="subscript"/>
        <sz val="14"/>
        <color theme="1"/>
        <rFont val="Calibri"/>
        <family val="2"/>
        <scheme val="minor"/>
      </rPr>
      <t>DO</t>
    </r>
  </si>
  <si>
    <r>
      <t>X</t>
    </r>
    <r>
      <rPr>
        <vertAlign val="subscript"/>
        <sz val="14"/>
        <color theme="1"/>
        <rFont val="Calibri"/>
        <family val="2"/>
        <scheme val="minor"/>
      </rPr>
      <t>MO</t>
    </r>
  </si>
  <si>
    <r>
      <t>X</t>
    </r>
    <r>
      <rPr>
        <vertAlign val="subscript"/>
        <sz val="14"/>
        <color theme="1"/>
        <rFont val="Calibri"/>
        <family val="2"/>
        <scheme val="minor"/>
      </rPr>
      <t>MVO</t>
    </r>
  </si>
  <si>
    <r>
      <t>X</t>
    </r>
    <r>
      <rPr>
        <vertAlign val="subscript"/>
        <sz val="14"/>
        <color theme="1"/>
        <rFont val="Calibri"/>
        <family val="2"/>
        <scheme val="minor"/>
      </rPr>
      <t>PO</t>
    </r>
  </si>
  <si>
    <r>
      <t>X</t>
    </r>
    <r>
      <rPr>
        <vertAlign val="subscript"/>
        <sz val="14"/>
        <color theme="1"/>
        <rFont val="Calibri"/>
        <family val="2"/>
        <scheme val="minor"/>
      </rPr>
      <t>RO</t>
    </r>
  </si>
  <si>
    <r>
      <t>X</t>
    </r>
    <r>
      <rPr>
        <vertAlign val="subscript"/>
        <sz val="14"/>
        <color theme="1"/>
        <rFont val="Calibri"/>
        <family val="2"/>
        <scheme val="minor"/>
      </rPr>
      <t>SO</t>
    </r>
  </si>
  <si>
    <r>
      <t>X</t>
    </r>
    <r>
      <rPr>
        <vertAlign val="subscript"/>
        <sz val="14"/>
        <color theme="1"/>
        <rFont val="Calibri"/>
        <family val="2"/>
        <scheme val="minor"/>
      </rPr>
      <t>DF</t>
    </r>
  </si>
  <si>
    <r>
      <t>X</t>
    </r>
    <r>
      <rPr>
        <vertAlign val="subscript"/>
        <sz val="14"/>
        <color theme="1"/>
        <rFont val="Calibri"/>
        <family val="2"/>
        <scheme val="minor"/>
      </rPr>
      <t>MF</t>
    </r>
  </si>
  <si>
    <r>
      <t>X</t>
    </r>
    <r>
      <rPr>
        <vertAlign val="subscript"/>
        <sz val="14"/>
        <color theme="1"/>
        <rFont val="Calibri"/>
        <family val="2"/>
        <scheme val="minor"/>
      </rPr>
      <t>MVF</t>
    </r>
  </si>
  <si>
    <r>
      <t>X</t>
    </r>
    <r>
      <rPr>
        <vertAlign val="subscript"/>
        <sz val="14"/>
        <color theme="1"/>
        <rFont val="Calibri"/>
        <family val="2"/>
        <scheme val="minor"/>
      </rPr>
      <t>PF</t>
    </r>
  </si>
  <si>
    <r>
      <t>X</t>
    </r>
    <r>
      <rPr>
        <vertAlign val="subscript"/>
        <sz val="14"/>
        <color theme="1"/>
        <rFont val="Calibri"/>
        <family val="2"/>
        <scheme val="minor"/>
      </rPr>
      <t>RF</t>
    </r>
  </si>
  <si>
    <r>
      <t>X</t>
    </r>
    <r>
      <rPr>
        <vertAlign val="subscript"/>
        <sz val="14"/>
        <color theme="1"/>
        <rFont val="Calibri"/>
        <family val="2"/>
        <scheme val="minor"/>
      </rPr>
      <t>SF</t>
    </r>
  </si>
  <si>
    <r>
      <t>X</t>
    </r>
    <r>
      <rPr>
        <vertAlign val="subscript"/>
        <sz val="14"/>
        <color theme="1"/>
        <rFont val="Calibri"/>
        <family val="2"/>
        <scheme val="minor"/>
      </rPr>
      <t>DM</t>
    </r>
  </si>
  <si>
    <r>
      <t>X</t>
    </r>
    <r>
      <rPr>
        <vertAlign val="subscript"/>
        <sz val="14"/>
        <color theme="1"/>
        <rFont val="Calibri"/>
        <family val="2"/>
        <scheme val="minor"/>
      </rPr>
      <t>MVM</t>
    </r>
  </si>
  <si>
    <r>
      <t>X</t>
    </r>
    <r>
      <rPr>
        <vertAlign val="subscript"/>
        <sz val="14"/>
        <color theme="1"/>
        <rFont val="Calibri"/>
        <family val="2"/>
        <scheme val="minor"/>
      </rPr>
      <t>MM</t>
    </r>
  </si>
  <si>
    <r>
      <t>X</t>
    </r>
    <r>
      <rPr>
        <vertAlign val="subscript"/>
        <sz val="14"/>
        <color theme="1"/>
        <rFont val="Calibri"/>
        <family val="2"/>
        <scheme val="minor"/>
      </rPr>
      <t>PM</t>
    </r>
  </si>
  <si>
    <r>
      <t>X</t>
    </r>
    <r>
      <rPr>
        <vertAlign val="subscript"/>
        <sz val="14"/>
        <color theme="1"/>
        <rFont val="Calibri"/>
        <family val="2"/>
        <scheme val="minor"/>
      </rPr>
      <t>RM</t>
    </r>
  </si>
  <si>
    <r>
      <t>X</t>
    </r>
    <r>
      <rPr>
        <vertAlign val="subscript"/>
        <sz val="14"/>
        <color theme="1"/>
        <rFont val="Calibri"/>
        <family val="2"/>
        <scheme val="minor"/>
      </rPr>
      <t>SM</t>
    </r>
  </si>
  <si>
    <t>Outward - Inward (Retaining Supply):</t>
  </si>
  <si>
    <t>PART 2</t>
  </si>
  <si>
    <t>PART 3 (i)</t>
  </si>
  <si>
    <t>PART 3 (ii)</t>
  </si>
  <si>
    <t>X1</t>
  </si>
  <si>
    <t>X2</t>
  </si>
  <si>
    <t>X3</t>
  </si>
  <si>
    <t>X4</t>
  </si>
  <si>
    <t>X5</t>
  </si>
  <si>
    <t>X6</t>
  </si>
  <si>
    <t>Total</t>
  </si>
  <si>
    <t>X1^2</t>
  </si>
  <si>
    <t>X2^2</t>
  </si>
  <si>
    <t>X3^2</t>
  </si>
  <si>
    <t>X4^2</t>
  </si>
  <si>
    <t>X5^2</t>
  </si>
  <si>
    <t>X6^2</t>
  </si>
  <si>
    <t>VARIANCE</t>
  </si>
  <si>
    <t>Return</t>
  </si>
  <si>
    <t>Variance - Covariance</t>
  </si>
  <si>
    <t>Out of Feasibility Region</t>
  </si>
  <si>
    <t>Portfolio Variance ( r )</t>
  </si>
  <si>
    <t>Portfolio Return ( e )</t>
  </si>
  <si>
    <t>2*X1*X2</t>
  </si>
  <si>
    <t>2*X1*X3</t>
  </si>
  <si>
    <t>2*X1*X4</t>
  </si>
  <si>
    <t>2*X1*X5</t>
  </si>
  <si>
    <t>2*X1*X6</t>
  </si>
  <si>
    <t>2*X2*X3</t>
  </si>
  <si>
    <t>2*X2*X4</t>
  </si>
  <si>
    <t>2*X2*X6</t>
  </si>
  <si>
    <t>2*X3*X4</t>
  </si>
  <si>
    <t>2*X3*X5</t>
  </si>
  <si>
    <t>2*X3*X6</t>
  </si>
  <si>
    <t>2*X4*X5</t>
  </si>
  <si>
    <t>2*X4*X6</t>
  </si>
  <si>
    <t>2*X5*X6</t>
  </si>
  <si>
    <t>2*X2*X5</t>
  </si>
  <si>
    <t>Weights 
(Decision Variables)</t>
  </si>
  <si>
    <t>Optimized Results</t>
  </si>
  <si>
    <t>Assets</t>
  </si>
  <si>
    <t>Optimal Investment %</t>
  </si>
  <si>
    <t>Optimal Investment Proportion</t>
  </si>
  <si>
    <t>Investment Amount 
(from $10,000)</t>
  </si>
  <si>
    <t>Subjected To:</t>
  </si>
  <si>
    <t>Non - Negativity</t>
  </si>
  <si>
    <t>Waste Disposal Site</t>
  </si>
  <si>
    <t>Shipping costs from 6 Plants to 3 Waste Disposal Sites of Barrels of waste per week.</t>
  </si>
  <si>
    <t>Shipping costs from 6 Plants to each other of Barrels of waste per week.</t>
  </si>
  <si>
    <t>Shipping costs from 3 Waste Disposal Sites to each other of Barrels of waste per week.</t>
  </si>
  <si>
    <t>Denver (D)</t>
  </si>
  <si>
    <t>Morganton (M)</t>
  </si>
  <si>
    <t>Morrisville (MV)</t>
  </si>
  <si>
    <t>Pineville (P)</t>
  </si>
  <si>
    <t>Rockhill (R)</t>
  </si>
  <si>
    <t>Statesville (S)</t>
  </si>
  <si>
    <t>Orangeburg (O)</t>
  </si>
  <si>
    <t>Florence (F)</t>
  </si>
  <si>
    <t>Macon (M)</t>
  </si>
  <si>
    <t>Waste Plants</t>
  </si>
  <si>
    <t>Bonds (B)</t>
  </si>
  <si>
    <t>High tech stocks (HTS)</t>
  </si>
  <si>
    <t>Foreign stocks (FS)</t>
  </si>
  <si>
    <t>Call options (CO)</t>
  </si>
  <si>
    <t>Put Options (PU)</t>
  </si>
  <si>
    <t>Gold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</si>
</sst>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_);[Red]\(&quot;$&quot;#,##0\)"/>
    <numFmt numFmtId="165" formatCode="_([$$-409]* #,##0.00_);_([$$-409]* \(#,##0.00\);_([$$-409]* &quot;-&quot;??_);_(@_)"/>
    <numFmt numFmtId="166" formatCode="0.000%"/>
    <numFmt numFmtId="169" formatCode="_([$$-409]* #,##0_);_([$$-409]* \(#,##0\);_([$$-409]* &quot;-&quot;_);_(@_)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2"/>
      <color theme="1"/>
      <name val="Palatino Linotype"/>
      <family val="1"/>
    </font>
    <font>
      <b/>
      <i/>
      <u/>
      <sz val="12"/>
      <color theme="1"/>
      <name val="Palatino Linotype"/>
      <family val="1"/>
    </font>
    <font>
      <b/>
      <u/>
      <sz val="12"/>
      <color theme="1"/>
      <name val="Palatino Linotype"/>
      <family val="1"/>
    </font>
    <font>
      <b/>
      <i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9"/>
      <color rgb="FFFFFFFF"/>
      <name val="Palatino Linotype"/>
      <family val="1"/>
    </font>
    <font>
      <b/>
      <sz val="12"/>
      <color rgb="FF000000"/>
      <name val="Calibri"/>
      <family val="2"/>
    </font>
    <font>
      <sz val="10"/>
      <color theme="1"/>
      <name val="Palatino Linotype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 (Body)"/>
    </font>
    <font>
      <b/>
      <vertAlign val="subscript"/>
      <sz val="18"/>
      <color theme="1"/>
      <name val="Calibri (Body)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i/>
      <sz val="12"/>
      <color theme="1"/>
      <name val="Calibri"/>
      <family val="2"/>
    </font>
    <font>
      <sz val="22"/>
      <color theme="1"/>
      <name val="Calibri"/>
      <family val="2"/>
      <scheme val="minor"/>
    </font>
    <font>
      <i/>
      <sz val="12"/>
      <color theme="1"/>
      <name val="Palatino Linotype"/>
      <family val="1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rgb="FFFFFFFF"/>
      <name val="Palatino Linotype"/>
      <family val="1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8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DF8FF"/>
        <bgColor indexed="64"/>
      </patternFill>
    </fill>
    <fill>
      <patternFill patternType="solid">
        <fgColor rgb="FFB6FFC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FBEFF"/>
        <bgColor indexed="64"/>
      </patternFill>
    </fill>
    <fill>
      <patternFill patternType="solid">
        <fgColor rgb="FFDFF49C"/>
        <bgColor indexed="64"/>
      </patternFill>
    </fill>
    <fill>
      <patternFill patternType="solid">
        <fgColor rgb="FFFFE8DE"/>
        <bgColor indexed="64"/>
      </patternFill>
    </fill>
    <fill>
      <patternFill patternType="solid">
        <fgColor rgb="FFFFB7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999999"/>
      </right>
      <top style="medium">
        <color indexed="64"/>
      </top>
      <bottom style="medium">
        <color rgb="FF999999"/>
      </bottom>
      <diagonal/>
    </border>
    <border>
      <left/>
      <right style="medium">
        <color indexed="64"/>
      </right>
      <top style="medium">
        <color indexed="64"/>
      </top>
      <bottom style="thick">
        <color rgb="FF666666"/>
      </bottom>
      <diagonal/>
    </border>
    <border>
      <left/>
      <right style="medium">
        <color indexed="64"/>
      </right>
      <top/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4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2" borderId="0" xfId="0" applyFill="1"/>
    <xf numFmtId="0" fontId="2" fillId="2" borderId="14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6" borderId="14" xfId="0" applyFont="1" applyFill="1" applyBorder="1" applyAlignment="1">
      <alignment horizontal="center" vertical="center" wrapText="1"/>
    </xf>
    <xf numFmtId="0" fontId="16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8" borderId="0" xfId="0" applyFill="1"/>
    <xf numFmtId="0" fontId="20" fillId="6" borderId="0" xfId="0" applyFont="1" applyFill="1" applyBorder="1" applyAlignment="1">
      <alignment horizontal="center" vertical="center" wrapText="1"/>
    </xf>
    <xf numFmtId="0" fontId="0" fillId="6" borderId="0" xfId="0" applyFill="1"/>
    <xf numFmtId="0" fontId="5" fillId="6" borderId="19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10" borderId="1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165" fontId="11" fillId="12" borderId="15" xfId="0" applyNumberFormat="1" applyFont="1" applyFill="1" applyBorder="1" applyAlignment="1">
      <alignment vertical="center"/>
    </xf>
    <xf numFmtId="165" fontId="11" fillId="12" borderId="17" xfId="0" applyNumberFormat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8" borderId="14" xfId="0" applyNumberFormat="1" applyFont="1" applyFill="1" applyBorder="1" applyAlignment="1">
      <alignment horizontal="center" vertical="center" wrapText="1"/>
    </xf>
    <xf numFmtId="0" fontId="0" fillId="8" borderId="14" xfId="0" applyFont="1" applyFill="1" applyBorder="1" applyAlignment="1">
      <alignment horizontal="center" vertical="center" wrapText="1"/>
    </xf>
    <xf numFmtId="0" fontId="0" fillId="13" borderId="17" xfId="0" applyFont="1" applyFill="1" applyBorder="1" applyAlignment="1">
      <alignment horizontal="center" vertical="center"/>
    </xf>
    <xf numFmtId="0" fontId="0" fillId="13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 wrapText="1"/>
    </xf>
    <xf numFmtId="0" fontId="0" fillId="10" borderId="14" xfId="0" applyFont="1" applyFill="1" applyBorder="1" applyAlignment="1">
      <alignment horizontal="center" vertical="center"/>
    </xf>
    <xf numFmtId="0" fontId="0" fillId="13" borderId="14" xfId="0" applyFont="1" applyFill="1" applyBorder="1" applyAlignment="1">
      <alignment horizontal="center" vertical="center" wrapText="1"/>
    </xf>
    <xf numFmtId="0" fontId="0" fillId="0" borderId="0" xfId="0" applyFill="1"/>
    <xf numFmtId="0" fontId="16" fillId="13" borderId="14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 wrapText="1"/>
    </xf>
    <xf numFmtId="0" fontId="22" fillId="14" borderId="27" xfId="0" applyFont="1" applyFill="1" applyBorder="1" applyAlignment="1">
      <alignment horizontal="center" vertical="center" wrapText="1"/>
    </xf>
    <xf numFmtId="0" fontId="0" fillId="14" borderId="32" xfId="0" applyFont="1" applyFill="1" applyBorder="1" applyAlignment="1">
      <alignment horizontal="center" vertical="center" wrapText="1"/>
    </xf>
    <xf numFmtId="0" fontId="0" fillId="14" borderId="33" xfId="0" applyFont="1" applyFill="1" applyBorder="1" applyAlignment="1">
      <alignment horizontal="center" vertical="center" wrapText="1"/>
    </xf>
    <xf numFmtId="0" fontId="0" fillId="14" borderId="34" xfId="0" applyFont="1" applyFill="1" applyBorder="1" applyAlignment="1">
      <alignment horizontal="center" vertical="center" wrapText="1"/>
    </xf>
    <xf numFmtId="0" fontId="0" fillId="14" borderId="29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5" fontId="11" fillId="12" borderId="14" xfId="0" applyNumberFormat="1" applyFont="1" applyFill="1" applyBorder="1" applyAlignment="1">
      <alignment vertical="center"/>
    </xf>
    <xf numFmtId="0" fontId="11" fillId="11" borderId="14" xfId="0" applyFont="1" applyFill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horizontal="center" vertical="center"/>
    </xf>
    <xf numFmtId="0" fontId="8" fillId="8" borderId="8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/>
    </xf>
    <xf numFmtId="9" fontId="0" fillId="0" borderId="14" xfId="0" applyNumberFormat="1" applyBorder="1" applyAlignment="1">
      <alignment horizontal="center" vertical="center"/>
    </xf>
    <xf numFmtId="10" fontId="0" fillId="14" borderId="14" xfId="0" applyNumberFormat="1" applyFill="1" applyBorder="1" applyAlignment="1">
      <alignment horizontal="center"/>
    </xf>
    <xf numFmtId="43" fontId="8" fillId="0" borderId="9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10" fontId="0" fillId="13" borderId="14" xfId="1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66" fontId="10" fillId="14" borderId="14" xfId="2" applyNumberFormat="1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vertical="center"/>
    </xf>
    <xf numFmtId="0" fontId="0" fillId="16" borderId="14" xfId="0" applyFill="1" applyBorder="1" applyAlignment="1">
      <alignment horizontal="center" vertical="center"/>
    </xf>
    <xf numFmtId="10" fontId="10" fillId="12" borderId="14" xfId="0" applyNumberFormat="1" applyFont="1" applyFill="1" applyBorder="1" applyAlignment="1">
      <alignment horizontal="center" vertical="center"/>
    </xf>
    <xf numFmtId="10" fontId="10" fillId="12" borderId="14" xfId="2" applyNumberFormat="1" applyFont="1" applyFill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 wrapText="1"/>
    </xf>
    <xf numFmtId="165" fontId="10" fillId="3" borderId="14" xfId="0" applyNumberFormat="1" applyFont="1" applyFill="1" applyBorder="1" applyAlignment="1">
      <alignment horizontal="center" vertical="center"/>
    </xf>
    <xf numFmtId="165" fontId="10" fillId="3" borderId="14" xfId="2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19" fillId="7" borderId="25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1" fillId="11" borderId="14" xfId="0" applyFont="1" applyFill="1" applyBorder="1" applyAlignment="1">
      <alignment horizontal="center" vertical="center"/>
    </xf>
    <xf numFmtId="165" fontId="11" fillId="12" borderId="14" xfId="0" applyNumberFormat="1" applyFont="1" applyFill="1" applyBorder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11" fillId="11" borderId="17" xfId="0" applyFont="1" applyFill="1" applyBorder="1" applyAlignment="1">
      <alignment horizontal="center" vertical="center"/>
    </xf>
    <xf numFmtId="165" fontId="11" fillId="12" borderId="15" xfId="0" applyNumberFormat="1" applyFont="1" applyFill="1" applyBorder="1" applyAlignment="1">
      <alignment horizontal="center" vertical="center"/>
    </xf>
    <xf numFmtId="165" fontId="11" fillId="12" borderId="17" xfId="0" applyNumberFormat="1" applyFont="1" applyFill="1" applyBorder="1" applyAlignment="1">
      <alignment horizontal="center" vertical="center"/>
    </xf>
    <xf numFmtId="0" fontId="22" fillId="15" borderId="1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24" fillId="10" borderId="15" xfId="0" applyFont="1" applyFill="1" applyBorder="1" applyAlignment="1">
      <alignment horizontal="center" vertical="center" wrapText="1"/>
    </xf>
    <xf numFmtId="0" fontId="24" fillId="10" borderId="16" xfId="0" applyFont="1" applyFill="1" applyBorder="1" applyAlignment="1">
      <alignment horizontal="center" vertical="center" wrapText="1"/>
    </xf>
    <xf numFmtId="0" fontId="24" fillId="10" borderId="1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9" fontId="6" fillId="0" borderId="5" xfId="0" applyNumberFormat="1" applyFont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10" fillId="10" borderId="21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22" fillId="10" borderId="15" xfId="0" applyFont="1" applyFill="1" applyBorder="1" applyAlignment="1">
      <alignment horizontal="center" vertical="center" wrapText="1"/>
    </xf>
    <xf numFmtId="0" fontId="22" fillId="10" borderId="1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vertical="center"/>
    </xf>
    <xf numFmtId="0" fontId="8" fillId="8" borderId="3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FC8C6"/>
      <color rgb="FFDFF49C"/>
      <color rgb="FFFFB7D8"/>
      <color rgb="FFFFE8DE"/>
      <color rgb="FFEDF8FF"/>
      <color rgb="FF5FBEFF"/>
      <color rgb="FF8DC698"/>
      <color rgb="FFB6FFC2"/>
      <color rgb="FFFFC99E"/>
      <color rgb="FFFF82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Variance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 2'!$O$5:$O$11</c:f>
              <c:numCache>
                <c:formatCode>0.000%</c:formatCode>
                <c:ptCount val="7"/>
                <c:pt idx="0">
                  <c:v>4.5055101985451532E-4</c:v>
                </c:pt>
                <c:pt idx="1">
                  <c:v>5.4200903964852153E-4</c:v>
                </c:pt>
                <c:pt idx="2">
                  <c:v>8.2236059872969522E-4</c:v>
                </c:pt>
                <c:pt idx="3">
                  <c:v>1.0331140737697311E-3</c:v>
                </c:pt>
                <c:pt idx="4">
                  <c:v>1.3045922763993876E-3</c:v>
                </c:pt>
                <c:pt idx="5">
                  <c:v>2.4864644427749997E-3</c:v>
                </c:pt>
                <c:pt idx="6">
                  <c:v>6.0303726235935457E-3</c:v>
                </c:pt>
              </c:numCache>
            </c:numRef>
          </c:cat>
          <c:val>
            <c:numRef>
              <c:f>'Part 2'!$N$5:$N$11</c:f>
              <c:numCache>
                <c:formatCode>0%</c:formatCode>
                <c:ptCount val="7"/>
                <c:pt idx="0">
                  <c:v>0.09</c:v>
                </c:pt>
                <c:pt idx="1">
                  <c:v>0.1</c:v>
                </c:pt>
                <c:pt idx="2">
                  <c:v>0.11</c:v>
                </c:pt>
                <c:pt idx="3" formatCode="0.00%">
                  <c:v>0.115</c:v>
                </c:pt>
                <c:pt idx="4">
                  <c:v>0.12</c:v>
                </c:pt>
                <c:pt idx="5">
                  <c:v>0.13</c:v>
                </c:pt>
                <c:pt idx="6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6-8C43-9166-50E4A4D243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45074976"/>
        <c:axId val="2145182704"/>
      </c:lineChart>
      <c:catAx>
        <c:axId val="2145074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 (MINIMIZED RISK)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82704"/>
        <c:crosses val="autoZero"/>
        <c:auto val="1"/>
        <c:lblAlgn val="ctr"/>
        <c:lblOffset val="100"/>
        <c:noMultiLvlLbl val="0"/>
      </c:catAx>
      <c:valAx>
        <c:axId val="2145182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</a:t>
                </a:r>
                <a:r>
                  <a:rPr lang="en-GB" baseline="0"/>
                  <a:t> RETURN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1225550</xdr:colOff>
      <xdr:row>14</xdr:row>
      <xdr:rowOff>0</xdr:rowOff>
    </xdr:from>
    <xdr:to>
      <xdr:col>17</xdr:col>
      <xdr:colOff>12700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15E44-A368-CF4F-993E-C322156A3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E1F2-0605-A84B-A962-BC9BCFE77675}">
  <dimension ref="A1:BM50"/>
  <sheetViews>
    <sheetView topLeftCell="BC19" zoomScale="75" zoomScaleNormal="75" workbookViewId="0">
      <selection activeCell="AR35" sqref="AR35"/>
    </sheetView>
  </sheetViews>
  <sheetFormatPr baseColWidth="10" defaultColWidth="11" defaultRowHeight="16" x14ac:dyDescent="0.2"/>
  <cols>
    <col min="1" max="1" width="5" customWidth="1"/>
    <col min="2" max="2" width="12.33203125" customWidth="1"/>
    <col min="3" max="3" width="19.1640625" customWidth="1"/>
    <col min="4" max="4" width="34.83203125" customWidth="1"/>
    <col min="5" max="5" width="12.33203125" bestFit="1" customWidth="1"/>
    <col min="6" max="6" width="13" customWidth="1"/>
    <col min="7" max="7" width="5.33203125" customWidth="1"/>
    <col min="10" max="10" width="18.33203125" customWidth="1"/>
    <col min="11" max="12" width="16.33203125" customWidth="1"/>
    <col min="13" max="13" width="18.1640625" customWidth="1"/>
    <col min="14" max="14" width="16.33203125" customWidth="1"/>
    <col min="15" max="15" width="18.83203125" customWidth="1"/>
    <col min="16" max="16" width="16.33203125" customWidth="1"/>
    <col min="17" max="17" width="7.33203125" customWidth="1"/>
    <col min="18" max="18" width="10" customWidth="1"/>
    <col min="19" max="19" width="15.83203125" customWidth="1"/>
    <col min="20" max="20" width="21.5" customWidth="1"/>
    <col min="21" max="23" width="15.83203125" customWidth="1"/>
    <col min="24" max="24" width="18.33203125" customWidth="1"/>
    <col min="26" max="26" width="19.6640625" customWidth="1"/>
    <col min="31" max="31" width="16.83203125" customWidth="1"/>
    <col min="32" max="32" width="17.83203125" customWidth="1"/>
    <col min="33" max="34" width="15.33203125" customWidth="1"/>
    <col min="35" max="35" width="17.5" bestFit="1" customWidth="1"/>
    <col min="36" max="38" width="15.33203125" customWidth="1"/>
    <col min="39" max="39" width="17.5" customWidth="1"/>
    <col min="40" max="40" width="12.33203125" bestFit="1" customWidth="1"/>
    <col min="41" max="41" width="11.5" bestFit="1" customWidth="1"/>
    <col min="42" max="42" width="18.6640625" customWidth="1"/>
    <col min="43" max="43" width="9.6640625" customWidth="1"/>
    <col min="44" max="44" width="21.5" customWidth="1"/>
    <col min="45" max="45" width="20.5" customWidth="1"/>
    <col min="51" max="51" width="26.33203125" bestFit="1" customWidth="1"/>
    <col min="52" max="52" width="16" bestFit="1" customWidth="1"/>
    <col min="53" max="53" width="13" customWidth="1"/>
    <col min="54" max="54" width="13.6640625" customWidth="1"/>
    <col min="55" max="55" width="18.83203125" bestFit="1" customWidth="1"/>
    <col min="57" max="57" width="21" bestFit="1" customWidth="1"/>
    <col min="58" max="58" width="15.1640625" customWidth="1"/>
    <col min="61" max="61" width="18.83203125" bestFit="1" customWidth="1"/>
    <col min="63" max="63" width="21" bestFit="1" customWidth="1"/>
    <col min="64" max="64" width="18.5" bestFit="1" customWidth="1"/>
  </cols>
  <sheetData>
    <row r="1" spans="1:58" ht="29" x14ac:dyDescent="0.2">
      <c r="S1" s="98" t="s">
        <v>28</v>
      </c>
      <c r="T1" s="99"/>
      <c r="AE1" s="98" t="s">
        <v>64</v>
      </c>
      <c r="AF1" s="99"/>
      <c r="AG1" s="32"/>
      <c r="AH1" s="32"/>
      <c r="AI1" s="32"/>
      <c r="AJ1" s="32"/>
      <c r="AK1" s="32"/>
      <c r="AL1" s="32"/>
      <c r="AW1" s="98" t="s">
        <v>65</v>
      </c>
      <c r="AX1" s="99"/>
    </row>
    <row r="2" spans="1:58" ht="29" x14ac:dyDescent="0.2">
      <c r="S2" s="100"/>
      <c r="T2" s="101"/>
      <c r="AE2" s="100"/>
      <c r="AF2" s="101"/>
      <c r="AG2" s="32"/>
      <c r="AH2" s="32"/>
      <c r="AI2" s="32"/>
      <c r="AJ2" s="32"/>
      <c r="AK2" s="32"/>
      <c r="AL2" s="32"/>
      <c r="AW2" s="100"/>
      <c r="AX2" s="101"/>
    </row>
    <row r="3" spans="1:58" ht="20" thickBot="1" x14ac:dyDescent="0.25">
      <c r="A3" s="8"/>
      <c r="B3" s="8"/>
      <c r="C3" s="8"/>
      <c r="D3" s="8"/>
      <c r="E3" s="8"/>
      <c r="F3" s="8"/>
      <c r="G3" s="8"/>
      <c r="J3" s="27"/>
      <c r="K3" s="129" t="s">
        <v>109</v>
      </c>
      <c r="L3" s="130"/>
      <c r="M3" s="131"/>
      <c r="R3" s="22"/>
      <c r="S3" s="22"/>
      <c r="T3" s="22"/>
      <c r="U3" s="22"/>
      <c r="V3" s="22"/>
      <c r="W3" s="22"/>
      <c r="X3" s="22"/>
      <c r="Y3" s="22"/>
      <c r="Z3" s="22"/>
      <c r="AA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58" ht="63" customHeight="1" thickBot="1" x14ac:dyDescent="0.25">
      <c r="A4" s="8"/>
      <c r="B4" s="8"/>
      <c r="C4" s="10" t="s">
        <v>12</v>
      </c>
      <c r="D4" s="11" t="s">
        <v>24</v>
      </c>
      <c r="E4" s="91" t="s">
        <v>11</v>
      </c>
      <c r="F4" s="91"/>
      <c r="G4" s="8"/>
      <c r="J4" s="26"/>
      <c r="K4" s="9" t="s">
        <v>119</v>
      </c>
      <c r="L4" s="9" t="s">
        <v>120</v>
      </c>
      <c r="M4" s="9" t="s">
        <v>121</v>
      </c>
      <c r="O4" s="136" t="s">
        <v>122</v>
      </c>
      <c r="P4" s="140" t="s">
        <v>0</v>
      </c>
      <c r="Q4" s="25"/>
      <c r="R4" s="22"/>
      <c r="S4" s="111" t="s">
        <v>29</v>
      </c>
      <c r="T4" s="112"/>
      <c r="U4" s="22"/>
      <c r="V4" s="22"/>
      <c r="W4" s="22"/>
      <c r="X4" s="22"/>
      <c r="Y4" s="22"/>
      <c r="Z4" s="22"/>
      <c r="AA4" s="22"/>
      <c r="AD4" s="22"/>
      <c r="AE4" s="117" t="s">
        <v>37</v>
      </c>
      <c r="AF4" s="117"/>
      <c r="AG4" s="102" t="s">
        <v>39</v>
      </c>
      <c r="AH4" s="102"/>
      <c r="AI4" s="102"/>
      <c r="AJ4" s="102"/>
      <c r="AK4" s="102"/>
      <c r="AL4" s="102"/>
      <c r="AM4" s="102"/>
      <c r="AN4" s="102"/>
      <c r="AO4" s="102"/>
      <c r="AP4" s="22"/>
      <c r="AW4" s="22"/>
      <c r="AX4" s="22"/>
      <c r="AY4" s="22"/>
      <c r="AZ4" s="22"/>
      <c r="BA4" s="22"/>
      <c r="BB4" s="22"/>
      <c r="BC4" s="22"/>
      <c r="BD4" s="22"/>
      <c r="BE4" s="22"/>
      <c r="BF4" s="22"/>
    </row>
    <row r="5" spans="1:58" ht="21" customHeight="1" thickBot="1" x14ac:dyDescent="0.25">
      <c r="A5" s="8"/>
      <c r="B5" s="8"/>
      <c r="C5" s="12"/>
      <c r="D5" s="12"/>
      <c r="E5" s="12"/>
      <c r="F5" s="12"/>
      <c r="G5" s="8"/>
      <c r="I5" s="142" t="s">
        <v>122</v>
      </c>
      <c r="J5" s="9" t="s">
        <v>113</v>
      </c>
      <c r="K5" s="135">
        <v>12</v>
      </c>
      <c r="L5" s="135">
        <v>15</v>
      </c>
      <c r="M5" s="135">
        <v>17</v>
      </c>
      <c r="O5" s="9" t="s">
        <v>113</v>
      </c>
      <c r="P5" s="6">
        <v>45</v>
      </c>
      <c r="Q5" s="19"/>
      <c r="R5" s="22"/>
      <c r="S5" s="113"/>
      <c r="T5" s="114"/>
      <c r="U5" s="105" t="s">
        <v>14</v>
      </c>
      <c r="V5" s="106"/>
      <c r="W5" s="107"/>
      <c r="X5" s="22"/>
      <c r="Y5" s="22"/>
      <c r="Z5" s="22"/>
      <c r="AA5" s="22"/>
      <c r="AD5" s="22"/>
      <c r="AE5" s="117"/>
      <c r="AF5" s="117"/>
      <c r="AG5" s="16" t="s">
        <v>113</v>
      </c>
      <c r="AH5" s="16" t="s">
        <v>114</v>
      </c>
      <c r="AI5" s="16" t="s">
        <v>115</v>
      </c>
      <c r="AJ5" s="16" t="s">
        <v>116</v>
      </c>
      <c r="AK5" s="16" t="s">
        <v>117</v>
      </c>
      <c r="AL5" s="16" t="s">
        <v>118</v>
      </c>
      <c r="AM5" s="16" t="s">
        <v>119</v>
      </c>
      <c r="AN5" s="16" t="s">
        <v>120</v>
      </c>
      <c r="AO5" s="16" t="s">
        <v>121</v>
      </c>
      <c r="AP5" s="22"/>
      <c r="AW5" s="22"/>
      <c r="AX5" s="111" t="s">
        <v>29</v>
      </c>
      <c r="AY5" s="112"/>
      <c r="AZ5" s="22"/>
      <c r="BA5" s="22"/>
      <c r="BB5" s="22"/>
      <c r="BC5" s="22"/>
      <c r="BD5" s="22"/>
      <c r="BE5" s="22"/>
      <c r="BF5" s="22"/>
    </row>
    <row r="6" spans="1:58" ht="24" customHeight="1" thickBot="1" x14ac:dyDescent="0.25">
      <c r="A6" s="8"/>
      <c r="B6" s="92" t="s">
        <v>107</v>
      </c>
      <c r="C6" s="93"/>
      <c r="D6" s="93"/>
      <c r="E6" s="93"/>
      <c r="F6" s="94"/>
      <c r="G6" s="8"/>
      <c r="I6" s="143"/>
      <c r="J6" s="9" t="s">
        <v>114</v>
      </c>
      <c r="K6" s="135">
        <v>14</v>
      </c>
      <c r="L6" s="135">
        <v>9</v>
      </c>
      <c r="M6" s="135">
        <v>10</v>
      </c>
      <c r="O6" s="9" t="s">
        <v>114</v>
      </c>
      <c r="P6" s="6">
        <v>26</v>
      </c>
      <c r="Q6" s="19"/>
      <c r="R6" s="22"/>
      <c r="S6" s="115"/>
      <c r="T6" s="116"/>
      <c r="U6" s="16" t="s">
        <v>119</v>
      </c>
      <c r="V6" s="16" t="s">
        <v>120</v>
      </c>
      <c r="W6" s="16" t="s">
        <v>121</v>
      </c>
      <c r="X6" s="21" t="s">
        <v>32</v>
      </c>
      <c r="Y6" s="22"/>
      <c r="Z6" s="24" t="s">
        <v>34</v>
      </c>
      <c r="AA6" s="22"/>
      <c r="AD6" s="22"/>
      <c r="AE6" s="103" t="s">
        <v>40</v>
      </c>
      <c r="AF6" s="16" t="s">
        <v>113</v>
      </c>
      <c r="AG6" s="43">
        <v>4000</v>
      </c>
      <c r="AH6" s="43">
        <v>3</v>
      </c>
      <c r="AI6" s="43">
        <v>4</v>
      </c>
      <c r="AJ6" s="43">
        <v>9</v>
      </c>
      <c r="AK6" s="43">
        <v>5</v>
      </c>
      <c r="AL6" s="43">
        <v>4</v>
      </c>
      <c r="AM6" s="43">
        <v>12</v>
      </c>
      <c r="AN6" s="43">
        <v>15</v>
      </c>
      <c r="AO6" s="43">
        <v>17</v>
      </c>
      <c r="AP6" s="22"/>
      <c r="AW6" s="22"/>
      <c r="AX6" s="113"/>
      <c r="AY6" s="114"/>
      <c r="AZ6" s="105" t="s">
        <v>14</v>
      </c>
      <c r="BA6" s="106"/>
      <c r="BB6" s="107"/>
      <c r="BC6" s="22"/>
      <c r="BD6" s="22"/>
      <c r="BE6" s="22"/>
      <c r="BF6" s="22"/>
    </row>
    <row r="7" spans="1:58" ht="25" customHeight="1" thickBot="1" x14ac:dyDescent="0.25">
      <c r="A7" s="8"/>
      <c r="B7" s="95" t="s">
        <v>13</v>
      </c>
      <c r="C7" s="9" t="s">
        <v>113</v>
      </c>
      <c r="D7" s="13" t="s">
        <v>16</v>
      </c>
      <c r="E7" s="14" t="s">
        <v>38</v>
      </c>
      <c r="F7" s="14">
        <v>45</v>
      </c>
      <c r="G7" s="8"/>
      <c r="I7" s="143"/>
      <c r="J7" s="9" t="s">
        <v>115</v>
      </c>
      <c r="K7" s="135">
        <v>13</v>
      </c>
      <c r="L7" s="135">
        <v>20</v>
      </c>
      <c r="M7" s="135">
        <v>11</v>
      </c>
      <c r="O7" s="9" t="s">
        <v>115</v>
      </c>
      <c r="P7" s="6">
        <v>42</v>
      </c>
      <c r="Q7" s="19"/>
      <c r="R7" s="22"/>
      <c r="S7" s="108" t="s">
        <v>30</v>
      </c>
      <c r="T7" s="16" t="s">
        <v>113</v>
      </c>
      <c r="U7" s="39">
        <v>38</v>
      </c>
      <c r="V7" s="39">
        <v>7</v>
      </c>
      <c r="W7" s="39">
        <v>0</v>
      </c>
      <c r="X7" s="30">
        <f>SUM(U7:W7)</f>
        <v>45</v>
      </c>
      <c r="Y7" s="18" t="s">
        <v>38</v>
      </c>
      <c r="Z7" s="31">
        <v>45</v>
      </c>
      <c r="AA7" s="22"/>
      <c r="AD7" s="22"/>
      <c r="AE7" s="104"/>
      <c r="AF7" s="16" t="s">
        <v>114</v>
      </c>
      <c r="AG7" s="44">
        <v>6</v>
      </c>
      <c r="AH7" s="43">
        <v>4000</v>
      </c>
      <c r="AI7" s="44">
        <v>7</v>
      </c>
      <c r="AJ7" s="44">
        <v>6</v>
      </c>
      <c r="AK7" s="44">
        <v>9</v>
      </c>
      <c r="AL7" s="44">
        <v>4</v>
      </c>
      <c r="AM7" s="44">
        <v>14</v>
      </c>
      <c r="AN7" s="44">
        <v>9</v>
      </c>
      <c r="AO7" s="44">
        <v>10</v>
      </c>
      <c r="AP7" s="22"/>
      <c r="AW7" s="22"/>
      <c r="AX7" s="115"/>
      <c r="AY7" s="116"/>
      <c r="AZ7" s="16" t="s">
        <v>119</v>
      </c>
      <c r="BA7" s="16" t="s">
        <v>120</v>
      </c>
      <c r="BB7" s="16" t="s">
        <v>121</v>
      </c>
      <c r="BC7" s="21" t="s">
        <v>32</v>
      </c>
      <c r="BD7" s="22"/>
      <c r="BE7" s="24" t="s">
        <v>34</v>
      </c>
      <c r="BF7" s="22"/>
    </row>
    <row r="8" spans="1:58" ht="21" thickBot="1" x14ac:dyDescent="0.25">
      <c r="A8" s="8"/>
      <c r="B8" s="96"/>
      <c r="C8" s="9" t="s">
        <v>114</v>
      </c>
      <c r="D8" s="13" t="s">
        <v>17</v>
      </c>
      <c r="E8" s="14" t="s">
        <v>38</v>
      </c>
      <c r="F8" s="14">
        <v>26</v>
      </c>
      <c r="G8" s="8"/>
      <c r="I8" s="143"/>
      <c r="J8" s="9" t="s">
        <v>116</v>
      </c>
      <c r="K8" s="135">
        <v>17</v>
      </c>
      <c r="L8" s="135">
        <v>16</v>
      </c>
      <c r="M8" s="135">
        <v>19</v>
      </c>
      <c r="O8" s="9" t="s">
        <v>116</v>
      </c>
      <c r="P8" s="6">
        <v>53</v>
      </c>
      <c r="Q8" s="19"/>
      <c r="R8" s="22"/>
      <c r="S8" s="109"/>
      <c r="T8" s="16" t="s">
        <v>114</v>
      </c>
      <c r="U8" s="39">
        <v>0</v>
      </c>
      <c r="V8" s="39">
        <v>0</v>
      </c>
      <c r="W8" s="39">
        <v>26</v>
      </c>
      <c r="X8" s="30">
        <f t="shared" ref="X8:X12" si="0">SUM(U8:W8)</f>
        <v>26</v>
      </c>
      <c r="Y8" s="18" t="s">
        <v>38</v>
      </c>
      <c r="Z8" s="31">
        <v>26</v>
      </c>
      <c r="AA8" s="22"/>
      <c r="AD8" s="22"/>
      <c r="AE8" s="104"/>
      <c r="AF8" s="16" t="s">
        <v>115</v>
      </c>
      <c r="AG8" s="44">
        <v>5</v>
      </c>
      <c r="AH8" s="44">
        <v>7</v>
      </c>
      <c r="AI8" s="43">
        <v>4000</v>
      </c>
      <c r="AJ8" s="44">
        <v>3</v>
      </c>
      <c r="AK8" s="44">
        <v>4</v>
      </c>
      <c r="AL8" s="44">
        <v>9</v>
      </c>
      <c r="AM8" s="44">
        <v>13</v>
      </c>
      <c r="AN8" s="44">
        <v>20</v>
      </c>
      <c r="AO8" s="44">
        <v>11</v>
      </c>
      <c r="AP8" s="22"/>
      <c r="AW8" s="22"/>
      <c r="AX8" s="108" t="s">
        <v>30</v>
      </c>
      <c r="AY8" s="16" t="s">
        <v>113</v>
      </c>
      <c r="AZ8" s="39">
        <v>43</v>
      </c>
      <c r="BA8" s="39">
        <v>2</v>
      </c>
      <c r="BB8" s="39">
        <v>0</v>
      </c>
      <c r="BC8" s="30">
        <f>SUM(AZ8:BB8)</f>
        <v>45</v>
      </c>
      <c r="BD8" s="18" t="s">
        <v>38</v>
      </c>
      <c r="BE8" s="31">
        <v>45</v>
      </c>
      <c r="BF8" s="22"/>
    </row>
    <row r="9" spans="1:58" ht="21" thickBot="1" x14ac:dyDescent="0.25">
      <c r="A9" s="8"/>
      <c r="B9" s="96"/>
      <c r="C9" s="9" t="s">
        <v>115</v>
      </c>
      <c r="D9" s="13" t="s">
        <v>44</v>
      </c>
      <c r="E9" s="14" t="s">
        <v>38</v>
      </c>
      <c r="F9" s="14">
        <v>42</v>
      </c>
      <c r="G9" s="8"/>
      <c r="I9" s="143"/>
      <c r="J9" s="9" t="s">
        <v>117</v>
      </c>
      <c r="K9" s="135">
        <v>7</v>
      </c>
      <c r="L9" s="135">
        <v>14</v>
      </c>
      <c r="M9" s="135">
        <v>12</v>
      </c>
      <c r="O9" s="9" t="s">
        <v>117</v>
      </c>
      <c r="P9" s="6">
        <v>29</v>
      </c>
      <c r="Q9" s="19"/>
      <c r="R9" s="22"/>
      <c r="S9" s="109"/>
      <c r="T9" s="16" t="s">
        <v>115</v>
      </c>
      <c r="U9" s="39">
        <v>0</v>
      </c>
      <c r="V9" s="39">
        <v>0</v>
      </c>
      <c r="W9" s="39">
        <v>42</v>
      </c>
      <c r="X9" s="30">
        <f t="shared" si="0"/>
        <v>42</v>
      </c>
      <c r="Y9" s="18" t="s">
        <v>38</v>
      </c>
      <c r="Z9" s="31">
        <v>42</v>
      </c>
      <c r="AA9" s="22"/>
      <c r="AD9" s="22"/>
      <c r="AE9" s="104"/>
      <c r="AF9" s="16" t="s">
        <v>116</v>
      </c>
      <c r="AG9" s="44">
        <v>5</v>
      </c>
      <c r="AH9" s="44">
        <v>4</v>
      </c>
      <c r="AI9" s="44">
        <v>3</v>
      </c>
      <c r="AJ9" s="43">
        <v>4000</v>
      </c>
      <c r="AK9" s="44">
        <v>3</v>
      </c>
      <c r="AL9" s="44">
        <v>11</v>
      </c>
      <c r="AM9" s="44">
        <v>17</v>
      </c>
      <c r="AN9" s="44">
        <v>16</v>
      </c>
      <c r="AO9" s="44">
        <v>19</v>
      </c>
      <c r="AP9" s="22"/>
      <c r="AW9" s="22"/>
      <c r="AX9" s="109"/>
      <c r="AY9" s="16" t="s">
        <v>114</v>
      </c>
      <c r="AZ9" s="39">
        <v>0</v>
      </c>
      <c r="BA9" s="39">
        <v>1</v>
      </c>
      <c r="BB9" s="39">
        <v>25</v>
      </c>
      <c r="BC9" s="30">
        <f t="shared" ref="BC9:BC13" si="1">SUM(AZ9:BB9)</f>
        <v>26</v>
      </c>
      <c r="BD9" s="18" t="s">
        <v>38</v>
      </c>
      <c r="BE9" s="31">
        <v>26</v>
      </c>
      <c r="BF9" s="22"/>
    </row>
    <row r="10" spans="1:58" ht="21" thickBot="1" x14ac:dyDescent="0.25">
      <c r="A10" s="8"/>
      <c r="B10" s="96"/>
      <c r="C10" s="9" t="s">
        <v>116</v>
      </c>
      <c r="D10" s="13" t="s">
        <v>18</v>
      </c>
      <c r="E10" s="14" t="s">
        <v>38</v>
      </c>
      <c r="F10" s="14">
        <v>53</v>
      </c>
      <c r="G10" s="8"/>
      <c r="I10" s="143"/>
      <c r="J10" s="9" t="s">
        <v>118</v>
      </c>
      <c r="K10" s="135">
        <v>22</v>
      </c>
      <c r="L10" s="135">
        <v>16</v>
      </c>
      <c r="M10" s="135">
        <v>18</v>
      </c>
      <c r="O10" s="9" t="s">
        <v>118</v>
      </c>
      <c r="P10" s="7">
        <v>38</v>
      </c>
      <c r="Q10" s="19"/>
      <c r="R10" s="22"/>
      <c r="S10" s="109"/>
      <c r="T10" s="16" t="s">
        <v>116</v>
      </c>
      <c r="U10" s="39">
        <v>0</v>
      </c>
      <c r="V10" s="39">
        <v>53</v>
      </c>
      <c r="W10" s="39">
        <v>0</v>
      </c>
      <c r="X10" s="30">
        <f t="shared" si="0"/>
        <v>53</v>
      </c>
      <c r="Y10" s="18" t="s">
        <v>38</v>
      </c>
      <c r="Z10" s="31">
        <v>53</v>
      </c>
      <c r="AA10" s="22"/>
      <c r="AD10" s="22"/>
      <c r="AE10" s="104"/>
      <c r="AF10" s="16" t="s">
        <v>117</v>
      </c>
      <c r="AG10" s="44">
        <v>5</v>
      </c>
      <c r="AH10" s="44">
        <v>9</v>
      </c>
      <c r="AI10" s="44">
        <v>5</v>
      </c>
      <c r="AJ10" s="44">
        <v>3</v>
      </c>
      <c r="AK10" s="43">
        <v>4000</v>
      </c>
      <c r="AL10" s="44">
        <v>14</v>
      </c>
      <c r="AM10" s="44">
        <v>7</v>
      </c>
      <c r="AN10" s="44">
        <v>14</v>
      </c>
      <c r="AO10" s="44">
        <v>12</v>
      </c>
      <c r="AP10" s="22"/>
      <c r="AW10" s="22"/>
      <c r="AX10" s="109"/>
      <c r="AY10" s="16" t="s">
        <v>115</v>
      </c>
      <c r="AZ10" s="39">
        <v>0</v>
      </c>
      <c r="BA10" s="39">
        <v>0</v>
      </c>
      <c r="BB10" s="39">
        <v>42</v>
      </c>
      <c r="BC10" s="30">
        <f t="shared" si="1"/>
        <v>42</v>
      </c>
      <c r="BD10" s="18" t="s">
        <v>38</v>
      </c>
      <c r="BE10" s="31">
        <v>42</v>
      </c>
      <c r="BF10" s="22"/>
    </row>
    <row r="11" spans="1:58" ht="20" x14ac:dyDescent="0.2">
      <c r="A11" s="8"/>
      <c r="B11" s="96"/>
      <c r="C11" s="9" t="s">
        <v>117</v>
      </c>
      <c r="D11" s="13" t="s">
        <v>19</v>
      </c>
      <c r="E11" s="14" t="s">
        <v>38</v>
      </c>
      <c r="F11" s="14">
        <v>29</v>
      </c>
      <c r="G11" s="8"/>
      <c r="J11" s="132" t="s">
        <v>110</v>
      </c>
      <c r="K11" s="132"/>
      <c r="L11" s="132"/>
      <c r="M11" s="132"/>
      <c r="R11" s="22"/>
      <c r="S11" s="109"/>
      <c r="T11" s="16" t="s">
        <v>117</v>
      </c>
      <c r="U11" s="39">
        <v>29</v>
      </c>
      <c r="V11" s="39">
        <v>0</v>
      </c>
      <c r="W11" s="39">
        <v>0</v>
      </c>
      <c r="X11" s="30">
        <f t="shared" si="0"/>
        <v>29</v>
      </c>
      <c r="Y11" s="18" t="s">
        <v>38</v>
      </c>
      <c r="Z11" s="31">
        <v>29</v>
      </c>
      <c r="AA11" s="22"/>
      <c r="AD11" s="22"/>
      <c r="AE11" s="104"/>
      <c r="AF11" s="16" t="s">
        <v>118</v>
      </c>
      <c r="AG11" s="44">
        <v>4</v>
      </c>
      <c r="AH11" s="44">
        <v>7</v>
      </c>
      <c r="AI11" s="44">
        <v>11</v>
      </c>
      <c r="AJ11" s="44">
        <v>12</v>
      </c>
      <c r="AK11" s="44">
        <v>8</v>
      </c>
      <c r="AL11" s="43">
        <v>4000</v>
      </c>
      <c r="AM11" s="44">
        <v>22</v>
      </c>
      <c r="AN11" s="44">
        <v>16</v>
      </c>
      <c r="AO11" s="44">
        <v>18</v>
      </c>
      <c r="AP11" s="22"/>
      <c r="AW11" s="22"/>
      <c r="AX11" s="109"/>
      <c r="AY11" s="16" t="s">
        <v>116</v>
      </c>
      <c r="AZ11" s="39">
        <v>0</v>
      </c>
      <c r="BA11" s="39">
        <v>53</v>
      </c>
      <c r="BB11" s="39">
        <v>0</v>
      </c>
      <c r="BC11" s="30">
        <f t="shared" si="1"/>
        <v>53</v>
      </c>
      <c r="BD11" s="18" t="s">
        <v>38</v>
      </c>
      <c r="BE11" s="31">
        <v>53</v>
      </c>
      <c r="BF11" s="22"/>
    </row>
    <row r="12" spans="1:58" ht="20" x14ac:dyDescent="0.2">
      <c r="A12" s="8"/>
      <c r="B12" s="97"/>
      <c r="C12" s="9" t="s">
        <v>118</v>
      </c>
      <c r="D12" s="13" t="s">
        <v>20</v>
      </c>
      <c r="E12" s="14" t="s">
        <v>38</v>
      </c>
      <c r="F12" s="14">
        <v>38</v>
      </c>
      <c r="G12" s="8"/>
      <c r="R12" s="22"/>
      <c r="S12" s="110"/>
      <c r="T12" s="16" t="s">
        <v>118</v>
      </c>
      <c r="U12" s="39">
        <v>0</v>
      </c>
      <c r="V12" s="39">
        <v>29</v>
      </c>
      <c r="W12" s="39">
        <v>9</v>
      </c>
      <c r="X12" s="30">
        <f t="shared" si="0"/>
        <v>38</v>
      </c>
      <c r="Y12" s="18" t="s">
        <v>38</v>
      </c>
      <c r="Z12" s="31">
        <v>38</v>
      </c>
      <c r="AA12" s="22"/>
      <c r="AD12" s="22"/>
      <c r="AE12" s="104"/>
      <c r="AF12" s="16" t="s">
        <v>119</v>
      </c>
      <c r="AG12" s="43">
        <v>4000</v>
      </c>
      <c r="AH12" s="43">
        <v>4000</v>
      </c>
      <c r="AI12" s="43">
        <v>4000</v>
      </c>
      <c r="AJ12" s="43">
        <v>4000</v>
      </c>
      <c r="AK12" s="43">
        <v>4000</v>
      </c>
      <c r="AL12" s="43">
        <v>4000</v>
      </c>
      <c r="AM12" s="43">
        <v>4000</v>
      </c>
      <c r="AN12" s="43">
        <v>12</v>
      </c>
      <c r="AO12" s="43">
        <v>10</v>
      </c>
      <c r="AP12" s="22"/>
      <c r="AW12" s="22"/>
      <c r="AX12" s="109"/>
      <c r="AY12" s="16" t="s">
        <v>117</v>
      </c>
      <c r="AZ12" s="39">
        <v>29</v>
      </c>
      <c r="BA12" s="39">
        <v>0</v>
      </c>
      <c r="BB12" s="39">
        <v>0</v>
      </c>
      <c r="BC12" s="30">
        <f t="shared" si="1"/>
        <v>29</v>
      </c>
      <c r="BD12" s="18" t="s">
        <v>38</v>
      </c>
      <c r="BE12" s="31">
        <v>29</v>
      </c>
      <c r="BF12" s="22"/>
    </row>
    <row r="13" spans="1:58" ht="20" x14ac:dyDescent="0.2">
      <c r="A13" s="8"/>
      <c r="B13" s="8"/>
      <c r="C13" s="15"/>
      <c r="D13" s="12"/>
      <c r="E13" s="12"/>
      <c r="F13" s="12"/>
      <c r="G13" s="8"/>
      <c r="R13" s="22"/>
      <c r="S13" s="22"/>
      <c r="T13" s="21" t="s">
        <v>31</v>
      </c>
      <c r="U13" s="30">
        <f>SUM(U7:U12)</f>
        <v>67</v>
      </c>
      <c r="V13" s="30">
        <f t="shared" ref="V13:W13" si="2">SUM(V7:V12)</f>
        <v>89</v>
      </c>
      <c r="W13" s="30">
        <f t="shared" si="2"/>
        <v>77</v>
      </c>
      <c r="X13" s="22"/>
      <c r="Y13" s="22"/>
      <c r="Z13" s="20" t="s">
        <v>36</v>
      </c>
      <c r="AA13" s="22"/>
      <c r="AD13" s="22"/>
      <c r="AE13" s="104"/>
      <c r="AF13" s="16" t="s">
        <v>120</v>
      </c>
      <c r="AG13" s="43">
        <v>4000</v>
      </c>
      <c r="AH13" s="43">
        <v>4000</v>
      </c>
      <c r="AI13" s="43">
        <v>4000</v>
      </c>
      <c r="AJ13" s="43">
        <v>4000</v>
      </c>
      <c r="AK13" s="43">
        <v>4000</v>
      </c>
      <c r="AL13" s="43">
        <v>4000</v>
      </c>
      <c r="AM13" s="44">
        <v>12</v>
      </c>
      <c r="AN13" s="43">
        <v>4000</v>
      </c>
      <c r="AO13" s="44">
        <v>15</v>
      </c>
      <c r="AP13" s="22"/>
      <c r="AW13" s="22"/>
      <c r="AX13" s="110"/>
      <c r="AY13" s="16" t="s">
        <v>118</v>
      </c>
      <c r="AZ13" s="39">
        <v>0</v>
      </c>
      <c r="BA13" s="39">
        <v>38</v>
      </c>
      <c r="BB13" s="39">
        <v>0</v>
      </c>
      <c r="BC13" s="30">
        <f t="shared" si="1"/>
        <v>38</v>
      </c>
      <c r="BD13" s="18" t="s">
        <v>38</v>
      </c>
      <c r="BE13" s="31">
        <v>38</v>
      </c>
      <c r="BF13" s="22"/>
    </row>
    <row r="14" spans="1:58" ht="20" x14ac:dyDescent="0.2">
      <c r="A14" s="8"/>
      <c r="B14" s="95" t="s">
        <v>15</v>
      </c>
      <c r="C14" s="9" t="s">
        <v>119</v>
      </c>
      <c r="D14" s="13" t="s">
        <v>21</v>
      </c>
      <c r="E14" s="14" t="s">
        <v>26</v>
      </c>
      <c r="F14" s="14">
        <v>67</v>
      </c>
      <c r="G14" s="8"/>
      <c r="R14" s="22"/>
      <c r="S14" s="22"/>
      <c r="T14" s="22"/>
      <c r="U14" s="18" t="s">
        <v>26</v>
      </c>
      <c r="V14" s="18" t="s">
        <v>26</v>
      </c>
      <c r="W14" s="18" t="s">
        <v>26</v>
      </c>
      <c r="X14" s="22"/>
      <c r="Y14" s="22"/>
      <c r="Z14" s="20">
        <f>SUM(Z7:Z12)</f>
        <v>233</v>
      </c>
      <c r="AA14" s="22"/>
      <c r="AD14" s="22"/>
      <c r="AE14" s="104"/>
      <c r="AF14" s="16" t="s">
        <v>121</v>
      </c>
      <c r="AG14" s="43">
        <v>4000</v>
      </c>
      <c r="AH14" s="43">
        <v>4000</v>
      </c>
      <c r="AI14" s="43">
        <v>4000</v>
      </c>
      <c r="AJ14" s="43">
        <v>4000</v>
      </c>
      <c r="AK14" s="43">
        <v>4000</v>
      </c>
      <c r="AL14" s="43">
        <v>4000</v>
      </c>
      <c r="AM14" s="44">
        <v>10</v>
      </c>
      <c r="AN14" s="44">
        <v>15</v>
      </c>
      <c r="AO14" s="43">
        <v>4000</v>
      </c>
      <c r="AP14" s="22"/>
      <c r="AW14" s="22"/>
      <c r="AX14" s="22"/>
      <c r="AY14" s="21" t="s">
        <v>31</v>
      </c>
      <c r="AZ14" s="30">
        <f>SUM(AZ8:AZ13)</f>
        <v>72</v>
      </c>
      <c r="BA14" s="30">
        <f t="shared" ref="BA14:BB14" si="3">SUM(BA8:BA13)</f>
        <v>94</v>
      </c>
      <c r="BB14" s="30">
        <f t="shared" si="3"/>
        <v>67</v>
      </c>
      <c r="BC14" s="22"/>
      <c r="BD14" s="22"/>
      <c r="BE14" s="20" t="s">
        <v>36</v>
      </c>
      <c r="BF14" s="22"/>
    </row>
    <row r="15" spans="1:58" ht="21" customHeight="1" x14ac:dyDescent="0.2">
      <c r="A15" s="8"/>
      <c r="B15" s="96"/>
      <c r="C15" s="9" t="s">
        <v>120</v>
      </c>
      <c r="D15" s="13" t="s">
        <v>22</v>
      </c>
      <c r="E15" s="14" t="s">
        <v>26</v>
      </c>
      <c r="F15" s="14">
        <v>89</v>
      </c>
      <c r="G15" s="8"/>
      <c r="J15" s="27"/>
      <c r="K15" s="129" t="s">
        <v>122</v>
      </c>
      <c r="L15" s="130"/>
      <c r="M15" s="130"/>
      <c r="N15" s="130"/>
      <c r="O15" s="130"/>
      <c r="P15" s="131"/>
      <c r="Q15" s="26"/>
      <c r="R15" s="22"/>
      <c r="S15" s="22"/>
      <c r="T15" s="23" t="s">
        <v>33</v>
      </c>
      <c r="U15" s="18">
        <v>67</v>
      </c>
      <c r="V15" s="18">
        <v>89</v>
      </c>
      <c r="W15" s="18">
        <v>108</v>
      </c>
      <c r="X15" s="20" t="s">
        <v>35</v>
      </c>
      <c r="Y15" s="20">
        <f>SUM(U15:W15)</f>
        <v>264</v>
      </c>
      <c r="Z15" s="22"/>
      <c r="AA15" s="22"/>
      <c r="AD15" s="22"/>
      <c r="AE15" s="22"/>
      <c r="AF15" s="21"/>
      <c r="AG15" s="37"/>
      <c r="AH15" s="37"/>
      <c r="AI15" s="37"/>
      <c r="AJ15" s="37"/>
      <c r="AK15" s="37"/>
      <c r="AL15" s="37"/>
      <c r="AM15" s="38"/>
      <c r="AN15" s="38"/>
      <c r="AO15" s="38"/>
      <c r="AP15" s="22"/>
      <c r="AW15" s="22"/>
      <c r="AX15" s="22"/>
      <c r="AY15" s="22"/>
      <c r="AZ15" s="18" t="s">
        <v>26</v>
      </c>
      <c r="BA15" s="18" t="s">
        <v>26</v>
      </c>
      <c r="BB15" s="18" t="s">
        <v>26</v>
      </c>
      <c r="BC15" s="22"/>
      <c r="BD15" s="22"/>
      <c r="BE15" s="20">
        <f>SUM(BE8:BE13)</f>
        <v>233</v>
      </c>
      <c r="BF15" s="22"/>
    </row>
    <row r="16" spans="1:58" ht="40" x14ac:dyDescent="0.2">
      <c r="A16" s="8"/>
      <c r="B16" s="97"/>
      <c r="C16" s="9" t="s">
        <v>121</v>
      </c>
      <c r="D16" s="13" t="s">
        <v>23</v>
      </c>
      <c r="E16" s="14" t="s">
        <v>26</v>
      </c>
      <c r="F16" s="14">
        <v>108</v>
      </c>
      <c r="G16" s="8"/>
      <c r="J16" s="26"/>
      <c r="K16" s="9" t="s">
        <v>113</v>
      </c>
      <c r="L16" s="9" t="s">
        <v>114</v>
      </c>
      <c r="M16" s="9" t="s">
        <v>115</v>
      </c>
      <c r="N16" s="9" t="s">
        <v>116</v>
      </c>
      <c r="O16" s="9" t="s">
        <v>117</v>
      </c>
      <c r="P16" s="9" t="s">
        <v>118</v>
      </c>
      <c r="Q16" s="27"/>
      <c r="R16" s="22"/>
      <c r="S16" s="22"/>
      <c r="T16" s="22"/>
      <c r="U16" s="22"/>
      <c r="V16" s="22"/>
      <c r="W16" s="22"/>
      <c r="X16" s="22"/>
      <c r="Y16" s="22"/>
      <c r="Z16" s="22"/>
      <c r="AA16" s="22"/>
      <c r="AW16" s="22"/>
      <c r="AX16" s="22"/>
      <c r="AY16" s="23" t="s">
        <v>33</v>
      </c>
      <c r="AZ16" s="47">
        <f>67+5</f>
        <v>72</v>
      </c>
      <c r="BA16" s="47">
        <f>89+5</f>
        <v>94</v>
      </c>
      <c r="BB16" s="47">
        <f>108+5</f>
        <v>113</v>
      </c>
      <c r="BC16" s="20" t="s">
        <v>35</v>
      </c>
      <c r="BD16" s="20">
        <f>SUM(AZ16:BB16)</f>
        <v>279</v>
      </c>
      <c r="BE16" s="22"/>
      <c r="BF16" s="22"/>
    </row>
    <row r="17" spans="1:65" ht="21" thickBot="1" x14ac:dyDescent="0.25">
      <c r="A17" s="8"/>
      <c r="B17" s="8"/>
      <c r="C17" s="8"/>
      <c r="D17" s="8"/>
      <c r="E17" s="8"/>
      <c r="F17" s="8"/>
      <c r="G17" s="8"/>
      <c r="I17" s="142" t="s">
        <v>122</v>
      </c>
      <c r="J17" s="9" t="s">
        <v>113</v>
      </c>
      <c r="K17" s="135">
        <v>0</v>
      </c>
      <c r="L17" s="135">
        <v>3</v>
      </c>
      <c r="M17" s="135">
        <v>4</v>
      </c>
      <c r="N17" s="135">
        <v>9</v>
      </c>
      <c r="O17" s="135">
        <v>5</v>
      </c>
      <c r="P17" s="135">
        <v>4</v>
      </c>
      <c r="Q17" s="28"/>
      <c r="AW17" s="22"/>
      <c r="AX17" s="22"/>
      <c r="AY17" s="22"/>
      <c r="AZ17" s="22"/>
      <c r="BA17" s="22"/>
      <c r="BB17" s="22"/>
      <c r="BC17" s="22"/>
      <c r="BD17" s="22"/>
      <c r="BE17" s="22"/>
      <c r="BF17" s="22"/>
    </row>
    <row r="18" spans="1:65" ht="21" thickBot="1" x14ac:dyDescent="0.25">
      <c r="A18" s="8"/>
      <c r="B18" s="8"/>
      <c r="C18" s="16" t="s">
        <v>108</v>
      </c>
      <c r="D18" s="17" t="s">
        <v>27</v>
      </c>
      <c r="E18" s="18" t="s">
        <v>25</v>
      </c>
      <c r="F18" s="18">
        <v>0</v>
      </c>
      <c r="G18" s="8"/>
      <c r="I18" s="143"/>
      <c r="J18" s="9" t="s">
        <v>114</v>
      </c>
      <c r="K18" s="135">
        <v>6</v>
      </c>
      <c r="L18" s="135">
        <v>0</v>
      </c>
      <c r="M18" s="135">
        <v>7</v>
      </c>
      <c r="N18" s="135">
        <v>6</v>
      </c>
      <c r="O18" s="135">
        <v>9</v>
      </c>
      <c r="P18" s="135">
        <v>4</v>
      </c>
      <c r="Q18" s="19"/>
      <c r="AU18" s="52"/>
    </row>
    <row r="19" spans="1:65" ht="21" thickBot="1" x14ac:dyDescent="0.25">
      <c r="A19" s="8"/>
      <c r="B19" s="8"/>
      <c r="C19" s="8"/>
      <c r="D19" s="8"/>
      <c r="E19" s="8"/>
      <c r="F19" s="8"/>
      <c r="G19" s="8"/>
      <c r="I19" s="143"/>
      <c r="J19" s="9" t="s">
        <v>115</v>
      </c>
      <c r="K19" s="135">
        <v>5</v>
      </c>
      <c r="L19" s="135">
        <v>7</v>
      </c>
      <c r="M19" s="135">
        <v>0</v>
      </c>
      <c r="N19" s="135">
        <v>3</v>
      </c>
      <c r="O19" s="135">
        <v>4</v>
      </c>
      <c r="P19" s="135">
        <v>9</v>
      </c>
      <c r="Q19" s="19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52"/>
      <c r="AY19" s="64" t="s">
        <v>41</v>
      </c>
      <c r="AZ19" s="64"/>
    </row>
    <row r="20" spans="1:65" ht="21" thickBot="1" x14ac:dyDescent="0.25">
      <c r="I20" s="143"/>
      <c r="J20" s="9" t="s">
        <v>116</v>
      </c>
      <c r="K20" s="135">
        <v>5</v>
      </c>
      <c r="L20" s="135">
        <v>4</v>
      </c>
      <c r="M20" s="135">
        <v>3</v>
      </c>
      <c r="N20" s="135">
        <v>0</v>
      </c>
      <c r="O20" s="135">
        <v>3</v>
      </c>
      <c r="P20" s="135">
        <v>11</v>
      </c>
      <c r="Q20" s="19"/>
      <c r="T20" s="118" t="s">
        <v>41</v>
      </c>
      <c r="U20" s="118"/>
      <c r="AD20" s="22"/>
      <c r="AE20" s="111" t="s">
        <v>29</v>
      </c>
      <c r="AF20" s="112"/>
      <c r="AG20" s="33"/>
      <c r="AH20" s="33"/>
      <c r="AI20" s="33"/>
      <c r="AJ20" s="33"/>
      <c r="AK20" s="33"/>
      <c r="AL20" s="33"/>
      <c r="AM20" s="22"/>
      <c r="AN20" s="22"/>
      <c r="AO20" s="22"/>
      <c r="AP20" s="22"/>
      <c r="AQ20" s="22"/>
      <c r="AR20" s="22"/>
      <c r="AS20" s="22"/>
      <c r="AT20" s="22"/>
      <c r="AU20" s="52"/>
      <c r="AY20" s="63">
        <f>SUMPRODUCT(K5:M10,AZ8:BB13)</f>
        <v>2926</v>
      </c>
      <c r="AZ20" s="63"/>
    </row>
    <row r="21" spans="1:65" ht="21" thickBot="1" x14ac:dyDescent="0.25">
      <c r="I21" s="143"/>
      <c r="J21" s="9" t="s">
        <v>117</v>
      </c>
      <c r="K21" s="135">
        <v>5</v>
      </c>
      <c r="L21" s="135">
        <v>9</v>
      </c>
      <c r="M21" s="135">
        <v>5</v>
      </c>
      <c r="N21" s="135">
        <v>3</v>
      </c>
      <c r="O21" s="135">
        <v>0</v>
      </c>
      <c r="P21" s="135">
        <v>14</v>
      </c>
      <c r="Q21" s="19"/>
      <c r="T21" s="119">
        <f>SUMPRODUCT(K5:M10,U7:W12)</f>
        <v>2960</v>
      </c>
      <c r="U21" s="119"/>
      <c r="AD21" s="22"/>
      <c r="AE21" s="113"/>
      <c r="AF21" s="114"/>
      <c r="AG21" s="102" t="s">
        <v>39</v>
      </c>
      <c r="AH21" s="102"/>
      <c r="AI21" s="102"/>
      <c r="AJ21" s="102"/>
      <c r="AK21" s="102"/>
      <c r="AL21" s="102"/>
      <c r="AM21" s="102"/>
      <c r="AN21" s="102"/>
      <c r="AO21" s="102"/>
      <c r="AP21" s="22"/>
      <c r="AQ21" s="22"/>
      <c r="AR21" s="22"/>
      <c r="AS21" s="22"/>
      <c r="AT21" s="22"/>
      <c r="AU21" s="52"/>
    </row>
    <row r="22" spans="1:65" ht="36" customHeight="1" thickBot="1" x14ac:dyDescent="0.25">
      <c r="C22" s="1"/>
      <c r="D22" s="126" t="s">
        <v>109</v>
      </c>
      <c r="E22" s="127"/>
      <c r="F22" s="128"/>
      <c r="I22" s="143"/>
      <c r="J22" s="9" t="s">
        <v>118</v>
      </c>
      <c r="K22" s="135">
        <v>4</v>
      </c>
      <c r="L22" s="135">
        <v>7</v>
      </c>
      <c r="M22" s="135">
        <v>11</v>
      </c>
      <c r="N22" s="135">
        <v>12</v>
      </c>
      <c r="O22" s="135">
        <v>8</v>
      </c>
      <c r="P22" s="135">
        <v>0</v>
      </c>
      <c r="Q22" s="19"/>
      <c r="AD22" s="22"/>
      <c r="AE22" s="115"/>
      <c r="AF22" s="116"/>
      <c r="AG22" s="16" t="s">
        <v>113</v>
      </c>
      <c r="AH22" s="16" t="s">
        <v>114</v>
      </c>
      <c r="AI22" s="16" t="s">
        <v>115</v>
      </c>
      <c r="AJ22" s="16" t="s">
        <v>116</v>
      </c>
      <c r="AK22" s="16" t="s">
        <v>117</v>
      </c>
      <c r="AL22" s="16" t="s">
        <v>118</v>
      </c>
      <c r="AM22" s="16" t="s">
        <v>119</v>
      </c>
      <c r="AN22" s="16" t="s">
        <v>120</v>
      </c>
      <c r="AO22" s="16" t="s">
        <v>121</v>
      </c>
      <c r="AP22" s="21" t="s">
        <v>42</v>
      </c>
      <c r="AQ22" s="22"/>
      <c r="AR22" s="24" t="s">
        <v>34</v>
      </c>
      <c r="AS22" s="56" t="s">
        <v>63</v>
      </c>
      <c r="AT22" s="22"/>
      <c r="AU22" s="52"/>
      <c r="AW22" s="98" t="s">
        <v>66</v>
      </c>
      <c r="AX22" s="99"/>
    </row>
    <row r="23" spans="1:65" ht="22" thickTop="1" thickBot="1" x14ac:dyDescent="0.25">
      <c r="C23" s="144" t="s">
        <v>122</v>
      </c>
      <c r="D23" s="9" t="s">
        <v>119</v>
      </c>
      <c r="E23" s="9" t="s">
        <v>120</v>
      </c>
      <c r="F23" s="9" t="s">
        <v>121</v>
      </c>
      <c r="J23" s="133" t="s">
        <v>111</v>
      </c>
      <c r="K23" s="134"/>
      <c r="L23" s="134"/>
      <c r="M23" s="134"/>
      <c r="N23" s="134"/>
      <c r="O23" s="134"/>
      <c r="P23" s="134"/>
      <c r="Q23" s="29"/>
      <c r="AD23" s="22"/>
      <c r="AE23" s="102" t="s">
        <v>40</v>
      </c>
      <c r="AF23" s="16" t="s">
        <v>113</v>
      </c>
      <c r="AG23" s="51">
        <v>0</v>
      </c>
      <c r="AH23" s="51">
        <v>45</v>
      </c>
      <c r="AI23" s="51">
        <v>0</v>
      </c>
      <c r="AJ23" s="51">
        <v>0</v>
      </c>
      <c r="AK23" s="51">
        <v>0</v>
      </c>
      <c r="AL23" s="51">
        <v>0</v>
      </c>
      <c r="AM23" s="45">
        <v>0</v>
      </c>
      <c r="AN23" s="46">
        <v>0</v>
      </c>
      <c r="AO23" s="46">
        <v>0</v>
      </c>
      <c r="AP23" s="50">
        <f>SUM(AG23:AO23)</f>
        <v>45</v>
      </c>
      <c r="AQ23" s="47" t="s">
        <v>38</v>
      </c>
      <c r="AR23" s="55">
        <v>45</v>
      </c>
      <c r="AS23" s="57">
        <f>AP23 - AG32</f>
        <v>45</v>
      </c>
      <c r="AT23" s="22"/>
      <c r="AU23" s="52"/>
      <c r="AW23" s="100"/>
      <c r="AX23" s="101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</row>
    <row r="24" spans="1:65" ht="25" customHeight="1" x14ac:dyDescent="0.2">
      <c r="C24" s="9" t="s">
        <v>113</v>
      </c>
      <c r="D24" s="53" t="s">
        <v>45</v>
      </c>
      <c r="E24" s="53" t="s">
        <v>51</v>
      </c>
      <c r="F24" s="53" t="s">
        <v>57</v>
      </c>
      <c r="AD24" s="22"/>
      <c r="AE24" s="102"/>
      <c r="AF24" s="16" t="s">
        <v>114</v>
      </c>
      <c r="AG24" s="51">
        <v>0</v>
      </c>
      <c r="AH24" s="51">
        <v>0</v>
      </c>
      <c r="AI24" s="51">
        <v>0</v>
      </c>
      <c r="AJ24" s="51">
        <v>0</v>
      </c>
      <c r="AK24" s="51">
        <v>0</v>
      </c>
      <c r="AL24" s="51">
        <v>0</v>
      </c>
      <c r="AM24" s="45">
        <v>0</v>
      </c>
      <c r="AN24" s="46">
        <v>51</v>
      </c>
      <c r="AO24" s="46">
        <v>35</v>
      </c>
      <c r="AP24" s="50">
        <f>SUM(AG24:AO24)</f>
        <v>86</v>
      </c>
      <c r="AQ24" s="47" t="s">
        <v>38</v>
      </c>
      <c r="AR24" s="55">
        <v>26</v>
      </c>
      <c r="AS24" s="58">
        <f>AP24 - AH32</f>
        <v>26</v>
      </c>
      <c r="AT24" s="22"/>
      <c r="AU24" s="52"/>
      <c r="AW24" s="22"/>
      <c r="AX24" s="111" t="s">
        <v>29</v>
      </c>
      <c r="AY24" s="112"/>
      <c r="AZ24" s="33"/>
      <c r="BA24" s="33"/>
      <c r="BB24" s="33"/>
      <c r="BC24" s="33"/>
      <c r="BD24" s="33"/>
      <c r="BE24" s="33"/>
      <c r="BF24" s="22"/>
      <c r="BG24" s="22"/>
      <c r="BH24" s="22"/>
      <c r="BI24" s="22"/>
      <c r="BJ24" s="22"/>
      <c r="BK24" s="22"/>
      <c r="BL24" s="22"/>
      <c r="BM24" s="22"/>
    </row>
    <row r="25" spans="1:65" ht="26" customHeight="1" thickBot="1" x14ac:dyDescent="0.25">
      <c r="C25" s="9" t="s">
        <v>114</v>
      </c>
      <c r="D25" s="53" t="s">
        <v>46</v>
      </c>
      <c r="E25" s="53" t="s">
        <v>52</v>
      </c>
      <c r="F25" s="53" t="s">
        <v>59</v>
      </c>
      <c r="AD25" s="22"/>
      <c r="AE25" s="102"/>
      <c r="AF25" s="16" t="s">
        <v>115</v>
      </c>
      <c r="AG25" s="51">
        <v>0</v>
      </c>
      <c r="AH25" s="51">
        <v>0</v>
      </c>
      <c r="AI25" s="51">
        <v>0</v>
      </c>
      <c r="AJ25" s="51">
        <v>0</v>
      </c>
      <c r="AK25" s="51">
        <v>0</v>
      </c>
      <c r="AL25" s="51">
        <v>0</v>
      </c>
      <c r="AM25" s="45">
        <v>0</v>
      </c>
      <c r="AN25" s="46">
        <v>0</v>
      </c>
      <c r="AO25" s="46">
        <v>42</v>
      </c>
      <c r="AP25" s="50">
        <f t="shared" ref="AP25:AP27" si="4">SUM(AG25:AO25)</f>
        <v>42</v>
      </c>
      <c r="AQ25" s="47" t="s">
        <v>38</v>
      </c>
      <c r="AR25" s="55">
        <v>42</v>
      </c>
      <c r="AS25" s="58">
        <f>AP25 - AI32</f>
        <v>42</v>
      </c>
      <c r="AT25" s="22"/>
      <c r="AU25" s="52"/>
      <c r="AW25" s="22"/>
      <c r="AX25" s="113"/>
      <c r="AY25" s="114"/>
      <c r="AZ25" s="102" t="s">
        <v>39</v>
      </c>
      <c r="BA25" s="102"/>
      <c r="BB25" s="102"/>
      <c r="BC25" s="102"/>
      <c r="BD25" s="102"/>
      <c r="BE25" s="102"/>
      <c r="BF25" s="102"/>
      <c r="BG25" s="102"/>
      <c r="BH25" s="102"/>
      <c r="BI25" s="22"/>
      <c r="BJ25" s="22"/>
      <c r="BK25" s="22"/>
      <c r="BL25" s="22"/>
      <c r="BM25" s="22"/>
    </row>
    <row r="26" spans="1:65" ht="49" customHeight="1" thickBot="1" x14ac:dyDescent="0.25">
      <c r="C26" s="9" t="s">
        <v>115</v>
      </c>
      <c r="D26" s="53" t="s">
        <v>47</v>
      </c>
      <c r="E26" s="53" t="s">
        <v>53</v>
      </c>
      <c r="F26" s="53" t="s">
        <v>58</v>
      </c>
      <c r="J26" s="27"/>
      <c r="K26" s="129" t="s">
        <v>109</v>
      </c>
      <c r="L26" s="130"/>
      <c r="M26" s="131"/>
      <c r="O26" s="141" t="s">
        <v>1</v>
      </c>
      <c r="P26" s="140" t="s">
        <v>43</v>
      </c>
      <c r="AD26" s="22"/>
      <c r="AE26" s="102"/>
      <c r="AF26" s="16" t="s">
        <v>116</v>
      </c>
      <c r="AG26" s="51">
        <v>0</v>
      </c>
      <c r="AH26" s="51">
        <v>15</v>
      </c>
      <c r="AI26" s="51">
        <v>0</v>
      </c>
      <c r="AJ26" s="51">
        <v>0</v>
      </c>
      <c r="AK26" s="51">
        <v>38</v>
      </c>
      <c r="AL26" s="51">
        <v>0</v>
      </c>
      <c r="AM26" s="45">
        <v>0</v>
      </c>
      <c r="AN26" s="46">
        <v>0</v>
      </c>
      <c r="AO26" s="46">
        <v>0</v>
      </c>
      <c r="AP26" s="50">
        <f t="shared" si="4"/>
        <v>53</v>
      </c>
      <c r="AQ26" s="47" t="s">
        <v>38</v>
      </c>
      <c r="AR26" s="55">
        <v>53</v>
      </c>
      <c r="AS26" s="58">
        <f>AP26 - AJ32</f>
        <v>53</v>
      </c>
      <c r="AT26" s="22"/>
      <c r="AU26" s="52"/>
      <c r="AW26" s="22"/>
      <c r="AX26" s="115"/>
      <c r="AY26" s="116"/>
      <c r="AZ26" s="16" t="s">
        <v>113</v>
      </c>
      <c r="BA26" s="16" t="s">
        <v>114</v>
      </c>
      <c r="BB26" s="16" t="s">
        <v>115</v>
      </c>
      <c r="BC26" s="16" t="s">
        <v>116</v>
      </c>
      <c r="BD26" s="16" t="s">
        <v>117</v>
      </c>
      <c r="BE26" s="16" t="s">
        <v>118</v>
      </c>
      <c r="BF26" s="16" t="s">
        <v>119</v>
      </c>
      <c r="BG26" s="16" t="s">
        <v>120</v>
      </c>
      <c r="BH26" s="16" t="s">
        <v>121</v>
      </c>
      <c r="BI26" s="21" t="s">
        <v>42</v>
      </c>
      <c r="BJ26" s="22"/>
      <c r="BK26" s="24" t="s">
        <v>34</v>
      </c>
      <c r="BL26" s="56" t="s">
        <v>63</v>
      </c>
      <c r="BM26" s="22"/>
    </row>
    <row r="27" spans="1:65" ht="41" customHeight="1" thickBot="1" x14ac:dyDescent="0.25">
      <c r="C27" s="9" t="s">
        <v>116</v>
      </c>
      <c r="D27" s="53" t="s">
        <v>48</v>
      </c>
      <c r="E27" s="53" t="s">
        <v>54</v>
      </c>
      <c r="F27" s="53" t="s">
        <v>60</v>
      </c>
      <c r="J27" s="26"/>
      <c r="K27" s="9" t="s">
        <v>119</v>
      </c>
      <c r="L27" s="9" t="s">
        <v>120</v>
      </c>
      <c r="M27" s="9" t="s">
        <v>121</v>
      </c>
      <c r="O27" s="9" t="s">
        <v>119</v>
      </c>
      <c r="P27" s="6">
        <v>67</v>
      </c>
      <c r="AD27" s="22"/>
      <c r="AE27" s="102"/>
      <c r="AF27" s="16" t="s">
        <v>117</v>
      </c>
      <c r="AG27" s="51">
        <v>0</v>
      </c>
      <c r="AH27" s="51">
        <v>0</v>
      </c>
      <c r="AI27" s="51">
        <v>0</v>
      </c>
      <c r="AJ27" s="51">
        <v>0</v>
      </c>
      <c r="AK27" s="51">
        <v>0</v>
      </c>
      <c r="AL27" s="51">
        <v>0</v>
      </c>
      <c r="AM27" s="45">
        <v>67</v>
      </c>
      <c r="AN27" s="46">
        <v>0</v>
      </c>
      <c r="AO27" s="46">
        <v>0</v>
      </c>
      <c r="AP27" s="50">
        <f t="shared" si="4"/>
        <v>67</v>
      </c>
      <c r="AQ27" s="47" t="s">
        <v>38</v>
      </c>
      <c r="AR27" s="55">
        <v>29</v>
      </c>
      <c r="AS27" s="58">
        <f>AP27 - AK32</f>
        <v>29</v>
      </c>
      <c r="AT27" s="22"/>
      <c r="AU27" s="52"/>
      <c r="AW27" s="22"/>
      <c r="AX27" s="102" t="s">
        <v>40</v>
      </c>
      <c r="AY27" s="16" t="s">
        <v>113</v>
      </c>
      <c r="AZ27" s="51">
        <v>0</v>
      </c>
      <c r="BA27" s="51">
        <v>45</v>
      </c>
      <c r="BB27" s="51">
        <v>0</v>
      </c>
      <c r="BC27" s="51">
        <v>0</v>
      </c>
      <c r="BD27" s="51">
        <v>0</v>
      </c>
      <c r="BE27" s="51">
        <v>0</v>
      </c>
      <c r="BF27" s="45">
        <v>0</v>
      </c>
      <c r="BG27" s="46">
        <v>0</v>
      </c>
      <c r="BH27" s="46">
        <v>0</v>
      </c>
      <c r="BI27" s="50">
        <f>SUM(AZ27:BH27)</f>
        <v>45</v>
      </c>
      <c r="BJ27" s="47" t="s">
        <v>38</v>
      </c>
      <c r="BK27" s="55">
        <v>45</v>
      </c>
      <c r="BL27" s="57">
        <f>BI27 - AZ36</f>
        <v>45</v>
      </c>
      <c r="BM27" s="22"/>
    </row>
    <row r="28" spans="1:65" ht="21" customHeight="1" thickBot="1" x14ac:dyDescent="0.25">
      <c r="C28" s="9" t="s">
        <v>117</v>
      </c>
      <c r="D28" s="53" t="s">
        <v>49</v>
      </c>
      <c r="E28" s="53" t="s">
        <v>55</v>
      </c>
      <c r="F28" s="53" t="s">
        <v>61</v>
      </c>
      <c r="I28" s="137" t="s">
        <v>109</v>
      </c>
      <c r="J28" s="9" t="s">
        <v>119</v>
      </c>
      <c r="K28" s="135">
        <v>0</v>
      </c>
      <c r="L28" s="135">
        <v>12</v>
      </c>
      <c r="M28" s="135">
        <v>10</v>
      </c>
      <c r="O28" s="9" t="s">
        <v>120</v>
      </c>
      <c r="P28" s="6">
        <v>89</v>
      </c>
      <c r="AD28" s="22"/>
      <c r="AE28" s="102"/>
      <c r="AF28" s="16" t="s">
        <v>118</v>
      </c>
      <c r="AG28" s="51">
        <v>0</v>
      </c>
      <c r="AH28" s="51">
        <v>0</v>
      </c>
      <c r="AI28" s="51">
        <v>0</v>
      </c>
      <c r="AJ28" s="51">
        <v>0</v>
      </c>
      <c r="AK28" s="51">
        <v>0</v>
      </c>
      <c r="AL28" s="51">
        <v>0</v>
      </c>
      <c r="AM28" s="45">
        <v>0</v>
      </c>
      <c r="AN28" s="46">
        <v>38</v>
      </c>
      <c r="AO28" s="46">
        <v>0</v>
      </c>
      <c r="AP28" s="50">
        <f>SUM(AG28:AO28)</f>
        <v>38</v>
      </c>
      <c r="AQ28" s="47" t="s">
        <v>38</v>
      </c>
      <c r="AR28" s="55">
        <v>38</v>
      </c>
      <c r="AS28" s="59">
        <f>AP28 - AL32</f>
        <v>38</v>
      </c>
      <c r="AT28" s="22"/>
      <c r="AU28" s="52"/>
      <c r="AW28" s="22"/>
      <c r="AX28" s="102"/>
      <c r="AY28" s="16" t="s">
        <v>114</v>
      </c>
      <c r="AZ28" s="51">
        <v>0</v>
      </c>
      <c r="BA28" s="51">
        <v>0</v>
      </c>
      <c r="BB28" s="51">
        <v>0</v>
      </c>
      <c r="BC28" s="51">
        <v>0</v>
      </c>
      <c r="BD28" s="51">
        <v>0</v>
      </c>
      <c r="BE28" s="51">
        <v>0</v>
      </c>
      <c r="BF28" s="45">
        <v>0</v>
      </c>
      <c r="BG28" s="46">
        <v>56</v>
      </c>
      <c r="BH28" s="46">
        <v>15</v>
      </c>
      <c r="BI28" s="50">
        <f>SUM(AZ28:BH28)</f>
        <v>71</v>
      </c>
      <c r="BJ28" s="47" t="s">
        <v>38</v>
      </c>
      <c r="BK28" s="55">
        <v>26</v>
      </c>
      <c r="BL28" s="58">
        <f>BI28 - BA36</f>
        <v>26</v>
      </c>
      <c r="BM28" s="22"/>
    </row>
    <row r="29" spans="1:65" ht="21" customHeight="1" thickBot="1" x14ac:dyDescent="0.25">
      <c r="C29" s="9" t="s">
        <v>118</v>
      </c>
      <c r="D29" s="53" t="s">
        <v>50</v>
      </c>
      <c r="E29" s="53" t="s">
        <v>56</v>
      </c>
      <c r="F29" s="53" t="s">
        <v>62</v>
      </c>
      <c r="I29" s="138"/>
      <c r="J29" s="9" t="s">
        <v>120</v>
      </c>
      <c r="K29" s="135">
        <v>12</v>
      </c>
      <c r="L29" s="135">
        <v>0</v>
      </c>
      <c r="M29" s="135">
        <v>15</v>
      </c>
      <c r="O29" s="9" t="s">
        <v>121</v>
      </c>
      <c r="P29" s="6">
        <v>108</v>
      </c>
      <c r="AD29" s="22"/>
      <c r="AE29" s="102"/>
      <c r="AF29" s="16" t="s">
        <v>119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50">
        <f t="shared" ref="AP29:AP31" si="5">SUM(AG29:AO29)</f>
        <v>0</v>
      </c>
      <c r="AQ29" s="47" t="s">
        <v>26</v>
      </c>
      <c r="AR29" s="47">
        <v>67</v>
      </c>
      <c r="AS29" s="37"/>
      <c r="AT29" s="22"/>
      <c r="AU29" s="52"/>
      <c r="AW29" s="22"/>
      <c r="AX29" s="102"/>
      <c r="AY29" s="16" t="s">
        <v>115</v>
      </c>
      <c r="AZ29" s="51">
        <v>0</v>
      </c>
      <c r="BA29" s="51">
        <v>0</v>
      </c>
      <c r="BB29" s="51">
        <v>0</v>
      </c>
      <c r="BC29" s="51">
        <v>0</v>
      </c>
      <c r="BD29" s="51">
        <v>0</v>
      </c>
      <c r="BE29" s="51">
        <v>0</v>
      </c>
      <c r="BF29" s="45">
        <v>0</v>
      </c>
      <c r="BG29" s="46">
        <v>0</v>
      </c>
      <c r="BH29" s="46">
        <v>52</v>
      </c>
      <c r="BI29" s="50">
        <f t="shared" ref="BI29:BI31" si="6">SUM(AZ29:BH29)</f>
        <v>52</v>
      </c>
      <c r="BJ29" s="47" t="s">
        <v>38</v>
      </c>
      <c r="BK29" s="55">
        <v>42</v>
      </c>
      <c r="BL29" s="58">
        <f>BI29 - BB36</f>
        <v>42</v>
      </c>
      <c r="BM29" s="22"/>
    </row>
    <row r="30" spans="1:65" ht="21" thickBot="1" x14ac:dyDescent="0.25">
      <c r="I30" s="139"/>
      <c r="J30" s="9" t="s">
        <v>121</v>
      </c>
      <c r="K30" s="135">
        <v>10</v>
      </c>
      <c r="L30" s="135">
        <v>15</v>
      </c>
      <c r="M30" s="135">
        <v>0</v>
      </c>
      <c r="AD30" s="22"/>
      <c r="AE30" s="102"/>
      <c r="AF30" s="16" t="s">
        <v>120</v>
      </c>
      <c r="AG30" s="46">
        <v>0</v>
      </c>
      <c r="AH30" s="46">
        <v>0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  <c r="AN30" s="46">
        <v>0</v>
      </c>
      <c r="AO30" s="46">
        <v>0</v>
      </c>
      <c r="AP30" s="50">
        <f t="shared" si="5"/>
        <v>0</v>
      </c>
      <c r="AQ30" s="47" t="s">
        <v>26</v>
      </c>
      <c r="AR30" s="47">
        <v>89</v>
      </c>
      <c r="AS30" s="37"/>
      <c r="AT30" s="22"/>
      <c r="AU30" s="52"/>
      <c r="AW30" s="22"/>
      <c r="AX30" s="102"/>
      <c r="AY30" s="16" t="s">
        <v>116</v>
      </c>
      <c r="AZ30" s="51">
        <v>0</v>
      </c>
      <c r="BA30" s="51">
        <v>0</v>
      </c>
      <c r="BB30" s="51">
        <v>10</v>
      </c>
      <c r="BC30" s="51">
        <v>0</v>
      </c>
      <c r="BD30" s="51">
        <v>43</v>
      </c>
      <c r="BE30" s="51">
        <v>0</v>
      </c>
      <c r="BF30" s="45">
        <v>0</v>
      </c>
      <c r="BG30" s="46">
        <v>0</v>
      </c>
      <c r="BH30" s="46">
        <v>0</v>
      </c>
      <c r="BI30" s="50">
        <f t="shared" si="6"/>
        <v>53</v>
      </c>
      <c r="BJ30" s="47" t="s">
        <v>38</v>
      </c>
      <c r="BK30" s="55">
        <v>53</v>
      </c>
      <c r="BL30" s="58">
        <f>BI30 - BC36</f>
        <v>53</v>
      </c>
      <c r="BM30" s="22"/>
    </row>
    <row r="31" spans="1:65" ht="20" x14ac:dyDescent="0.2">
      <c r="J31" s="132" t="s">
        <v>112</v>
      </c>
      <c r="K31" s="132"/>
      <c r="L31" s="132"/>
      <c r="M31" s="132"/>
      <c r="AD31" s="22"/>
      <c r="AE31" s="102"/>
      <c r="AF31" s="16" t="s">
        <v>121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50">
        <f t="shared" si="5"/>
        <v>0</v>
      </c>
      <c r="AQ31" s="47" t="s">
        <v>26</v>
      </c>
      <c r="AR31" s="47">
        <v>108</v>
      </c>
      <c r="AS31" s="37"/>
      <c r="AT31" s="22"/>
      <c r="AU31" s="52"/>
      <c r="AW31" s="22"/>
      <c r="AX31" s="102"/>
      <c r="AY31" s="16" t="s">
        <v>117</v>
      </c>
      <c r="AZ31" s="51">
        <v>0</v>
      </c>
      <c r="BA31" s="51">
        <v>0</v>
      </c>
      <c r="BB31" s="51">
        <v>0</v>
      </c>
      <c r="BC31" s="51">
        <v>0</v>
      </c>
      <c r="BD31" s="51">
        <v>0</v>
      </c>
      <c r="BE31" s="51">
        <v>0</v>
      </c>
      <c r="BF31" s="45">
        <v>72</v>
      </c>
      <c r="BG31" s="46">
        <v>0</v>
      </c>
      <c r="BH31" s="46">
        <v>0</v>
      </c>
      <c r="BI31" s="50">
        <f t="shared" si="6"/>
        <v>72</v>
      </c>
      <c r="BJ31" s="47" t="s">
        <v>38</v>
      </c>
      <c r="BK31" s="55">
        <v>29</v>
      </c>
      <c r="BL31" s="58">
        <f>BI31 - BD36</f>
        <v>29</v>
      </c>
      <c r="BM31" s="22"/>
    </row>
    <row r="32" spans="1:65" ht="21" thickBot="1" x14ac:dyDescent="0.25">
      <c r="AD32" s="22"/>
      <c r="AE32" s="22"/>
      <c r="AF32" s="21" t="s">
        <v>31</v>
      </c>
      <c r="AG32" s="34">
        <f>SUM(AG23:AG31)</f>
        <v>0</v>
      </c>
      <c r="AH32" s="34">
        <f t="shared" ref="AH32:AO32" si="7">SUM(AH23:AH31)</f>
        <v>60</v>
      </c>
      <c r="AI32" s="34">
        <f t="shared" si="7"/>
        <v>0</v>
      </c>
      <c r="AJ32" s="34">
        <f t="shared" si="7"/>
        <v>0</v>
      </c>
      <c r="AK32" s="34">
        <f t="shared" si="7"/>
        <v>38</v>
      </c>
      <c r="AL32" s="34">
        <f t="shared" si="7"/>
        <v>0</v>
      </c>
      <c r="AM32" s="34">
        <f t="shared" si="7"/>
        <v>67</v>
      </c>
      <c r="AN32" s="34">
        <f t="shared" si="7"/>
        <v>89</v>
      </c>
      <c r="AO32" s="34">
        <f t="shared" si="7"/>
        <v>77</v>
      </c>
      <c r="AP32" s="42"/>
      <c r="AQ32" s="42"/>
      <c r="AR32" s="145" t="s">
        <v>36</v>
      </c>
      <c r="AS32" s="22"/>
      <c r="AT32" s="22"/>
      <c r="AU32" s="52"/>
      <c r="AW32" s="22"/>
      <c r="AX32" s="102"/>
      <c r="AY32" s="16" t="s">
        <v>118</v>
      </c>
      <c r="AZ32" s="51">
        <v>0</v>
      </c>
      <c r="BA32" s="51">
        <v>0</v>
      </c>
      <c r="BB32" s="51">
        <v>0</v>
      </c>
      <c r="BC32" s="51">
        <v>0</v>
      </c>
      <c r="BD32" s="51">
        <v>0</v>
      </c>
      <c r="BE32" s="51">
        <v>0</v>
      </c>
      <c r="BF32" s="45">
        <v>0</v>
      </c>
      <c r="BG32" s="46">
        <v>38</v>
      </c>
      <c r="BH32" s="46">
        <v>0</v>
      </c>
      <c r="BI32" s="50">
        <f>SUM(AZ32:BH32)</f>
        <v>38</v>
      </c>
      <c r="BJ32" s="47" t="s">
        <v>38</v>
      </c>
      <c r="BK32" s="55">
        <v>38</v>
      </c>
      <c r="BL32" s="59">
        <f>BI32 - BE36</f>
        <v>38</v>
      </c>
      <c r="BM32" s="22"/>
    </row>
    <row r="33" spans="30:65" ht="40" x14ac:dyDescent="0.2">
      <c r="AD33" s="22"/>
      <c r="AE33" s="22"/>
      <c r="AF33" s="42"/>
      <c r="AG33" s="47" t="s">
        <v>38</v>
      </c>
      <c r="AH33" s="47" t="s">
        <v>38</v>
      </c>
      <c r="AI33" s="47" t="s">
        <v>38</v>
      </c>
      <c r="AJ33" s="47" t="s">
        <v>38</v>
      </c>
      <c r="AK33" s="47" t="s">
        <v>38</v>
      </c>
      <c r="AL33" s="47" t="s">
        <v>38</v>
      </c>
      <c r="AM33" s="48" t="s">
        <v>26</v>
      </c>
      <c r="AN33" s="47" t="s">
        <v>26</v>
      </c>
      <c r="AO33" s="47" t="s">
        <v>26</v>
      </c>
      <c r="AP33" s="42"/>
      <c r="AQ33" s="42"/>
      <c r="AR33" s="145">
        <f>SUM(AR23:AR28)</f>
        <v>233</v>
      </c>
      <c r="AS33" s="22"/>
      <c r="AT33" s="22"/>
      <c r="AU33" s="52"/>
      <c r="AW33" s="22"/>
      <c r="AX33" s="102"/>
      <c r="AY33" s="16" t="s">
        <v>119</v>
      </c>
      <c r="AZ33" s="46">
        <v>0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50">
        <f t="shared" ref="BI33:BI35" si="8">SUM(AZ33:BH33)</f>
        <v>0</v>
      </c>
      <c r="BJ33" s="47" t="s">
        <v>26</v>
      </c>
      <c r="BK33" s="54">
        <f>67+5</f>
        <v>72</v>
      </c>
      <c r="BL33" s="37"/>
      <c r="BM33" s="22"/>
    </row>
    <row r="34" spans="30:65" ht="21" thickBot="1" x14ac:dyDescent="0.25">
      <c r="AD34" s="22"/>
      <c r="AE34" s="22"/>
      <c r="AF34" s="23" t="s">
        <v>33</v>
      </c>
      <c r="AG34" s="49">
        <v>45</v>
      </c>
      <c r="AH34" s="49">
        <v>26</v>
      </c>
      <c r="AI34" s="49">
        <v>42</v>
      </c>
      <c r="AJ34" s="49">
        <v>53</v>
      </c>
      <c r="AK34" s="49">
        <v>29</v>
      </c>
      <c r="AL34" s="49">
        <v>38</v>
      </c>
      <c r="AM34" s="54">
        <v>67</v>
      </c>
      <c r="AN34" s="54">
        <v>89</v>
      </c>
      <c r="AO34" s="54">
        <v>108</v>
      </c>
      <c r="AP34" s="145" t="s">
        <v>35</v>
      </c>
      <c r="AQ34" s="145">
        <f>SUM(AM34:AO34)</f>
        <v>264</v>
      </c>
      <c r="AR34" s="22"/>
      <c r="AS34" s="42"/>
      <c r="AT34" s="22"/>
      <c r="AU34" s="52"/>
      <c r="AW34" s="22"/>
      <c r="AX34" s="102"/>
      <c r="AY34" s="16" t="s">
        <v>120</v>
      </c>
      <c r="AZ34" s="46">
        <v>0</v>
      </c>
      <c r="BA34" s="46">
        <v>0</v>
      </c>
      <c r="BB34" s="46">
        <v>0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50">
        <f t="shared" si="8"/>
        <v>0</v>
      </c>
      <c r="BJ34" s="47" t="s">
        <v>26</v>
      </c>
      <c r="BK34" s="54">
        <f>89+5</f>
        <v>94</v>
      </c>
      <c r="BL34" s="37"/>
      <c r="BM34" s="22"/>
    </row>
    <row r="35" spans="30:65" ht="41" customHeight="1" thickBot="1" x14ac:dyDescent="0.25">
      <c r="AD35" s="22"/>
      <c r="AE35" s="22"/>
      <c r="AF35" s="56" t="s">
        <v>63</v>
      </c>
      <c r="AG35" s="22"/>
      <c r="AH35" s="22"/>
      <c r="AI35" s="22"/>
      <c r="AJ35" s="22"/>
      <c r="AK35" s="22"/>
      <c r="AL35" s="22"/>
      <c r="AM35" s="60">
        <f>AM32-AP29</f>
        <v>67</v>
      </c>
      <c r="AN35" s="61">
        <f>AN32-AP30</f>
        <v>89</v>
      </c>
      <c r="AO35" s="62">
        <f>AO32-AP31</f>
        <v>77</v>
      </c>
      <c r="AP35" s="22"/>
      <c r="AQ35" s="22"/>
      <c r="AR35" s="22"/>
      <c r="AS35" s="22"/>
      <c r="AT35" s="22"/>
      <c r="AU35" s="52"/>
      <c r="AW35" s="22"/>
      <c r="AX35" s="102"/>
      <c r="AY35" s="16" t="s">
        <v>121</v>
      </c>
      <c r="AZ35" s="46">
        <v>0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50">
        <f t="shared" si="8"/>
        <v>0</v>
      </c>
      <c r="BJ35" s="47" t="s">
        <v>26</v>
      </c>
      <c r="BK35" s="54">
        <f>108+5</f>
        <v>113</v>
      </c>
      <c r="BL35" s="37"/>
      <c r="BM35" s="22"/>
    </row>
    <row r="36" spans="30:65" ht="27" customHeight="1" x14ac:dyDescent="0.2"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52"/>
      <c r="AW36" s="22"/>
      <c r="AX36" s="22"/>
      <c r="AY36" s="21" t="s">
        <v>31</v>
      </c>
      <c r="AZ36" s="34">
        <f>SUM(AZ27:AZ35)</f>
        <v>0</v>
      </c>
      <c r="BA36" s="34">
        <f t="shared" ref="BA36:BH36" si="9">SUM(BA27:BA35)</f>
        <v>45</v>
      </c>
      <c r="BB36" s="34">
        <f t="shared" si="9"/>
        <v>10</v>
      </c>
      <c r="BC36" s="34">
        <f t="shared" si="9"/>
        <v>0</v>
      </c>
      <c r="BD36" s="34">
        <f t="shared" si="9"/>
        <v>43</v>
      </c>
      <c r="BE36" s="34">
        <f t="shared" si="9"/>
        <v>0</v>
      </c>
      <c r="BF36" s="34">
        <f t="shared" si="9"/>
        <v>72</v>
      </c>
      <c r="BG36" s="34">
        <f t="shared" si="9"/>
        <v>94</v>
      </c>
      <c r="BH36" s="34">
        <f t="shared" si="9"/>
        <v>67</v>
      </c>
      <c r="BI36" s="42"/>
      <c r="BJ36" s="42"/>
      <c r="BK36" s="145" t="s">
        <v>36</v>
      </c>
      <c r="BL36" s="22"/>
      <c r="BM36" s="22"/>
    </row>
    <row r="37" spans="30:65" ht="28" customHeight="1" x14ac:dyDescent="0.2">
      <c r="AU37" s="52"/>
      <c r="AW37" s="22"/>
      <c r="AX37" s="22"/>
      <c r="AY37" s="42"/>
      <c r="AZ37" s="47" t="s">
        <v>38</v>
      </c>
      <c r="BA37" s="47" t="s">
        <v>38</v>
      </c>
      <c r="BB37" s="47" t="s">
        <v>38</v>
      </c>
      <c r="BC37" s="47" t="s">
        <v>38</v>
      </c>
      <c r="BD37" s="47" t="s">
        <v>38</v>
      </c>
      <c r="BE37" s="47" t="s">
        <v>38</v>
      </c>
      <c r="BF37" s="48" t="s">
        <v>26</v>
      </c>
      <c r="BG37" s="47" t="s">
        <v>26</v>
      </c>
      <c r="BH37" s="47" t="s">
        <v>26</v>
      </c>
      <c r="BI37" s="42"/>
      <c r="BJ37" s="42"/>
      <c r="BK37" s="145">
        <f>SUM(BK27:BK32)</f>
        <v>233</v>
      </c>
      <c r="BL37" s="22"/>
      <c r="BM37" s="22"/>
    </row>
    <row r="38" spans="30:65" ht="31" customHeight="1" thickBot="1" x14ac:dyDescent="0.25">
      <c r="AU38" s="52"/>
      <c r="AW38" s="22"/>
      <c r="AX38" s="22"/>
      <c r="AY38" s="23" t="s">
        <v>33</v>
      </c>
      <c r="AZ38" s="49">
        <v>45</v>
      </c>
      <c r="BA38" s="49">
        <v>26</v>
      </c>
      <c r="BB38" s="49">
        <v>42</v>
      </c>
      <c r="BC38" s="49">
        <v>53</v>
      </c>
      <c r="BD38" s="49">
        <v>29</v>
      </c>
      <c r="BE38" s="49">
        <v>38</v>
      </c>
      <c r="BF38" s="54">
        <f>67+5</f>
        <v>72</v>
      </c>
      <c r="BG38" s="54">
        <f>89+5</f>
        <v>94</v>
      </c>
      <c r="BH38" s="54">
        <f>108+5</f>
        <v>113</v>
      </c>
      <c r="BI38" s="145" t="s">
        <v>35</v>
      </c>
      <c r="BJ38" s="145">
        <f>SUM(BF38:BH38)</f>
        <v>279</v>
      </c>
      <c r="BK38" s="22"/>
      <c r="BL38" s="42"/>
      <c r="BM38" s="22"/>
    </row>
    <row r="39" spans="30:65" ht="65" customHeight="1" thickBot="1" x14ac:dyDescent="0.25">
      <c r="AF39" s="120" t="s">
        <v>41</v>
      </c>
      <c r="AG39" s="121"/>
      <c r="AH39" s="35"/>
      <c r="AI39" s="35"/>
      <c r="AJ39" s="35"/>
      <c r="AK39" s="35"/>
      <c r="AL39" s="35"/>
      <c r="AW39" s="22"/>
      <c r="AX39" s="22"/>
      <c r="AY39" s="56" t="s">
        <v>63</v>
      </c>
      <c r="AZ39" s="22"/>
      <c r="BA39" s="22"/>
      <c r="BB39" s="22"/>
      <c r="BC39" s="22"/>
      <c r="BD39" s="22"/>
      <c r="BE39" s="22"/>
      <c r="BF39" s="60">
        <f>BF36-BI33</f>
        <v>72</v>
      </c>
      <c r="BG39" s="61">
        <f>BG36-BI34</f>
        <v>94</v>
      </c>
      <c r="BH39" s="62">
        <f>BH36-BI35</f>
        <v>67</v>
      </c>
      <c r="BI39" s="22"/>
      <c r="BJ39" s="22"/>
      <c r="BK39" s="22"/>
      <c r="BL39" s="22"/>
      <c r="BM39" s="22"/>
    </row>
    <row r="40" spans="30:65" ht="19" x14ac:dyDescent="0.2">
      <c r="AF40" s="122">
        <f>SUMPRODUCT(AG6:AO14,AG23:AO31)</f>
        <v>2657</v>
      </c>
      <c r="AG40" s="123"/>
      <c r="AH40" s="36"/>
      <c r="AI40" s="36"/>
      <c r="AJ40" s="36"/>
      <c r="AK40" s="36"/>
      <c r="AL40" s="36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3" spans="30:65" ht="19" x14ac:dyDescent="0.2">
      <c r="AY43" s="120" t="s">
        <v>41</v>
      </c>
      <c r="AZ43" s="121"/>
      <c r="BA43" s="35"/>
      <c r="BB43" s="35"/>
      <c r="BC43" s="35"/>
      <c r="BD43" s="35"/>
      <c r="BE43" s="35"/>
    </row>
    <row r="44" spans="30:65" ht="19" x14ac:dyDescent="0.2">
      <c r="AY44" s="40">
        <f>SUMPRODUCT(AG6:AO14,AZ27:BH35)</f>
        <v>2632</v>
      </c>
      <c r="AZ44" s="41"/>
      <c r="BA44" s="36"/>
      <c r="BB44" s="36"/>
      <c r="BC44" s="36"/>
      <c r="BD44" s="36"/>
      <c r="BE44" s="36"/>
    </row>
    <row r="47" spans="30:65" ht="16" customHeight="1" x14ac:dyDescent="0.2"/>
    <row r="48" spans="30:65" ht="16" customHeight="1" x14ac:dyDescent="0.2"/>
    <row r="50" ht="20" customHeight="1" x14ac:dyDescent="0.2"/>
  </sheetData>
  <mergeCells count="38">
    <mergeCell ref="AW22:AX23"/>
    <mergeCell ref="AW1:AX2"/>
    <mergeCell ref="AX5:AY7"/>
    <mergeCell ref="AZ6:BB6"/>
    <mergeCell ref="AX8:AX13"/>
    <mergeCell ref="AX24:AY26"/>
    <mergeCell ref="AZ25:BH25"/>
    <mergeCell ref="AX27:AX35"/>
    <mergeCell ref="AY43:AZ43"/>
    <mergeCell ref="AF39:AG39"/>
    <mergeCell ref="AF40:AG40"/>
    <mergeCell ref="T20:U20"/>
    <mergeCell ref="T21:U21"/>
    <mergeCell ref="AE23:AE31"/>
    <mergeCell ref="AG21:AO21"/>
    <mergeCell ref="AE20:AF22"/>
    <mergeCell ref="AE1:AF2"/>
    <mergeCell ref="AG4:AO4"/>
    <mergeCell ref="AE6:AE14"/>
    <mergeCell ref="S1:T2"/>
    <mergeCell ref="U5:W5"/>
    <mergeCell ref="S7:S12"/>
    <mergeCell ref="S4:T6"/>
    <mergeCell ref="AE4:AF5"/>
    <mergeCell ref="E4:F4"/>
    <mergeCell ref="B6:F6"/>
    <mergeCell ref="B7:B12"/>
    <mergeCell ref="B14:B16"/>
    <mergeCell ref="J31:M31"/>
    <mergeCell ref="D22:F22"/>
    <mergeCell ref="I5:I10"/>
    <mergeCell ref="I17:I22"/>
    <mergeCell ref="I28:I30"/>
    <mergeCell ref="K3:M3"/>
    <mergeCell ref="J11:M11"/>
    <mergeCell ref="K15:P15"/>
    <mergeCell ref="J23:P23"/>
    <mergeCell ref="K26:M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6FD9-9491-024D-8CA4-AD470BFBFFE2}">
  <dimension ref="B3:O36"/>
  <sheetViews>
    <sheetView tabSelected="1" workbookViewId="0">
      <selection activeCell="I8" sqref="I8"/>
    </sheetView>
  </sheetViews>
  <sheetFormatPr baseColWidth="10" defaultColWidth="11" defaultRowHeight="16" x14ac:dyDescent="0.2"/>
  <cols>
    <col min="1" max="1" width="5.6640625" customWidth="1"/>
    <col min="2" max="2" width="20" bestFit="1" customWidth="1"/>
    <col min="3" max="3" width="16.6640625" customWidth="1"/>
    <col min="4" max="4" width="17.83203125" customWidth="1"/>
    <col min="5" max="5" width="15.5" customWidth="1"/>
    <col min="6" max="6" width="16.1640625" customWidth="1"/>
    <col min="7" max="10" width="21.33203125" customWidth="1"/>
    <col min="11" max="11" width="16.1640625" customWidth="1"/>
    <col min="13" max="13" width="14.6640625" bestFit="1" customWidth="1"/>
    <col min="14" max="14" width="18.5" bestFit="1" customWidth="1"/>
    <col min="15" max="15" width="21.83203125" bestFit="1" customWidth="1"/>
    <col min="16" max="16" width="11.6640625" bestFit="1" customWidth="1"/>
  </cols>
  <sheetData>
    <row r="3" spans="2:15" ht="17" thickBot="1" x14ac:dyDescent="0.25"/>
    <row r="4" spans="2:15" ht="17" customHeight="1" thickBot="1" x14ac:dyDescent="0.25">
      <c r="E4" s="3"/>
      <c r="F4" s="148" t="s">
        <v>123</v>
      </c>
      <c r="G4" s="148" t="s">
        <v>124</v>
      </c>
      <c r="H4" s="148" t="s">
        <v>125</v>
      </c>
      <c r="I4" s="148" t="s">
        <v>126</v>
      </c>
      <c r="J4" s="148" t="s">
        <v>127</v>
      </c>
      <c r="K4" s="148" t="s">
        <v>128</v>
      </c>
      <c r="N4" s="78" t="s">
        <v>85</v>
      </c>
      <c r="O4" s="78" t="s">
        <v>84</v>
      </c>
    </row>
    <row r="5" spans="2:15" ht="17" thickBot="1" x14ac:dyDescent="0.25">
      <c r="B5" s="65"/>
      <c r="C5" s="66" t="s">
        <v>2</v>
      </c>
      <c r="E5" s="4"/>
      <c r="F5" s="146"/>
      <c r="G5" s="146"/>
      <c r="H5" s="146"/>
      <c r="I5" s="146"/>
      <c r="J5" s="146"/>
      <c r="K5" s="146"/>
      <c r="N5" s="75">
        <v>0.09</v>
      </c>
      <c r="O5" s="82">
        <v>4.5055101985451532E-4</v>
      </c>
    </row>
    <row r="6" spans="2:15" ht="17" thickBot="1" x14ac:dyDescent="0.25">
      <c r="B6" s="67" t="s">
        <v>123</v>
      </c>
      <c r="C6" s="77">
        <v>7.0000000000000007E-2</v>
      </c>
      <c r="E6" s="147" t="s">
        <v>123</v>
      </c>
      <c r="F6" s="70">
        <v>1E-3</v>
      </c>
      <c r="G6" s="5">
        <v>2.9999999999999997E-4</v>
      </c>
      <c r="H6" s="5">
        <v>-2.9999999999999997E-4</v>
      </c>
      <c r="I6" s="5">
        <v>3.5E-4</v>
      </c>
      <c r="J6" s="5">
        <v>-3.5E-4</v>
      </c>
      <c r="K6" s="5">
        <v>2.9999999999999997E-4</v>
      </c>
      <c r="N6" s="75">
        <v>0.1</v>
      </c>
      <c r="O6" s="82">
        <v>5.4200903964852153E-4</v>
      </c>
    </row>
    <row r="7" spans="2:15" ht="17" thickBot="1" x14ac:dyDescent="0.25">
      <c r="B7" s="67" t="s">
        <v>124</v>
      </c>
      <c r="C7" s="77">
        <v>0.12</v>
      </c>
      <c r="E7" s="67" t="s">
        <v>124</v>
      </c>
      <c r="F7" s="5" t="s">
        <v>9</v>
      </c>
      <c r="G7" s="70">
        <v>8.9999999999999993E-3</v>
      </c>
      <c r="H7" s="5">
        <v>4.0000000000000002E-4</v>
      </c>
      <c r="I7" s="5">
        <v>1.6000000000000001E-3</v>
      </c>
      <c r="J7" s="5">
        <v>-1.6000000000000001E-3</v>
      </c>
      <c r="K7" s="5">
        <v>5.9999999999999995E-4</v>
      </c>
      <c r="N7" s="75">
        <v>0.11</v>
      </c>
      <c r="O7" s="82">
        <v>8.2236059872969522E-4</v>
      </c>
    </row>
    <row r="8" spans="2:15" ht="17" thickBot="1" x14ac:dyDescent="0.25">
      <c r="B8" s="67" t="s">
        <v>125</v>
      </c>
      <c r="C8" s="77">
        <v>0.1</v>
      </c>
      <c r="E8" s="67" t="s">
        <v>125</v>
      </c>
      <c r="F8" s="5" t="s">
        <v>9</v>
      </c>
      <c r="G8" s="5"/>
      <c r="H8" s="70">
        <v>8.0000000000000002E-3</v>
      </c>
      <c r="I8" s="5">
        <v>1.5E-3</v>
      </c>
      <c r="J8" s="5">
        <v>-5.4999999999999997E-3</v>
      </c>
      <c r="K8" s="5">
        <v>-6.9999999999999999E-4</v>
      </c>
      <c r="N8" s="81">
        <v>0.115</v>
      </c>
      <c r="O8" s="82">
        <v>1.0331140737697311E-3</v>
      </c>
    </row>
    <row r="9" spans="2:15" ht="17" thickBot="1" x14ac:dyDescent="0.25">
      <c r="B9" s="67" t="s">
        <v>126</v>
      </c>
      <c r="C9" s="77">
        <v>0.14000000000000001</v>
      </c>
      <c r="E9" s="67" t="s">
        <v>126</v>
      </c>
      <c r="F9" s="5"/>
      <c r="G9" s="5"/>
      <c r="H9" s="5"/>
      <c r="I9" s="70">
        <v>1.2E-2</v>
      </c>
      <c r="J9" s="5">
        <v>-5.0000000000000001E-4</v>
      </c>
      <c r="K9" s="5">
        <v>8.0000000000000004E-4</v>
      </c>
      <c r="N9" s="75">
        <v>0.12</v>
      </c>
      <c r="O9" s="82">
        <v>1.3045922763993876E-3</v>
      </c>
    </row>
    <row r="10" spans="2:15" ht="17" thickBot="1" x14ac:dyDescent="0.25">
      <c r="B10" s="67" t="s">
        <v>127</v>
      </c>
      <c r="C10" s="77">
        <v>0.14000000000000001</v>
      </c>
      <c r="E10" s="67" t="s">
        <v>127</v>
      </c>
      <c r="F10" s="5"/>
      <c r="G10" s="5"/>
      <c r="H10" s="5"/>
      <c r="I10" s="5"/>
      <c r="J10" s="70">
        <v>1.2E-2</v>
      </c>
      <c r="K10" s="5">
        <v>-8.0000000000000004E-4</v>
      </c>
      <c r="N10" s="75">
        <v>0.13</v>
      </c>
      <c r="O10" s="82">
        <v>2.4864644427749997E-3</v>
      </c>
    </row>
    <row r="11" spans="2:15" ht="17" thickBot="1" x14ac:dyDescent="0.25">
      <c r="B11" s="67" t="s">
        <v>128</v>
      </c>
      <c r="C11" s="77">
        <v>0.09</v>
      </c>
      <c r="E11" s="67" t="s">
        <v>128</v>
      </c>
      <c r="F11" s="5"/>
      <c r="G11" s="5"/>
      <c r="H11" s="5"/>
      <c r="I11" s="5"/>
      <c r="J11" s="5"/>
      <c r="K11" s="70">
        <v>5.0000000000000001E-3</v>
      </c>
      <c r="N11" s="75">
        <v>0.14000000000000001</v>
      </c>
      <c r="O11" s="82">
        <v>6.0303726235935457E-3</v>
      </c>
    </row>
    <row r="12" spans="2:15" ht="19" x14ac:dyDescent="0.2">
      <c r="E12" s="2"/>
      <c r="F12" s="125" t="s">
        <v>10</v>
      </c>
      <c r="G12" s="125"/>
      <c r="H12" s="125"/>
      <c r="I12" s="125"/>
      <c r="J12" s="125"/>
      <c r="K12" s="125"/>
      <c r="N12" s="75">
        <v>0.15</v>
      </c>
      <c r="O12" s="79" t="s">
        <v>83</v>
      </c>
    </row>
    <row r="13" spans="2:15" x14ac:dyDescent="0.2">
      <c r="N13" s="75">
        <v>0.16</v>
      </c>
      <c r="O13" s="79" t="s">
        <v>83</v>
      </c>
    </row>
    <row r="14" spans="2:15" ht="52" thickBot="1" x14ac:dyDescent="0.25">
      <c r="C14" s="68"/>
      <c r="D14" s="83" t="s">
        <v>101</v>
      </c>
      <c r="E14" s="68"/>
      <c r="F14" s="68"/>
      <c r="J14" s="78" t="s">
        <v>82</v>
      </c>
    </row>
    <row r="15" spans="2:15" ht="17" thickBot="1" x14ac:dyDescent="0.25">
      <c r="B15" s="147" t="s">
        <v>123</v>
      </c>
      <c r="C15" s="69" t="s">
        <v>67</v>
      </c>
      <c r="D15" s="69">
        <v>0</v>
      </c>
      <c r="E15" s="68"/>
      <c r="F15" s="68"/>
      <c r="H15" s="69" t="s">
        <v>74</v>
      </c>
      <c r="I15" s="69">
        <f t="shared" ref="I15:I20" si="0">D15^2</f>
        <v>0</v>
      </c>
      <c r="J15" s="73">
        <v>1E-3</v>
      </c>
    </row>
    <row r="16" spans="2:15" ht="17" thickBot="1" x14ac:dyDescent="0.25">
      <c r="B16" s="67" t="s">
        <v>124</v>
      </c>
      <c r="C16" s="69" t="s">
        <v>68</v>
      </c>
      <c r="D16" s="69">
        <v>0.16322025028711337</v>
      </c>
      <c r="E16" s="68"/>
      <c r="F16" s="68"/>
      <c r="H16" s="69" t="s">
        <v>75</v>
      </c>
      <c r="I16" s="69">
        <f t="shared" si="0"/>
        <v>2.6640850103787934E-2</v>
      </c>
      <c r="J16" s="73">
        <v>8.9999999999999993E-3</v>
      </c>
    </row>
    <row r="17" spans="2:10" ht="17" thickBot="1" x14ac:dyDescent="0.25">
      <c r="B17" s="67" t="s">
        <v>125</v>
      </c>
      <c r="C17" s="69" t="s">
        <v>69</v>
      </c>
      <c r="D17" s="69">
        <v>0.28316123741160265</v>
      </c>
      <c r="E17" s="68"/>
      <c r="F17" s="68"/>
      <c r="H17" s="69" t="s">
        <v>76</v>
      </c>
      <c r="I17" s="69">
        <f t="shared" si="0"/>
        <v>8.0180286372470003E-2</v>
      </c>
      <c r="J17" s="73">
        <v>8.0000000000000002E-3</v>
      </c>
    </row>
    <row r="18" spans="2:10" ht="17" thickBot="1" x14ac:dyDescent="0.25">
      <c r="B18" s="67" t="s">
        <v>126</v>
      </c>
      <c r="C18" s="69" t="s">
        <v>70</v>
      </c>
      <c r="D18" s="69">
        <v>0.11560990167832957</v>
      </c>
      <c r="E18" s="68"/>
      <c r="F18" s="68"/>
      <c r="H18" s="69" t="s">
        <v>77</v>
      </c>
      <c r="I18" s="69">
        <f t="shared" si="0"/>
        <v>1.3365649366073032E-2</v>
      </c>
      <c r="J18" s="73">
        <v>1.2E-2</v>
      </c>
    </row>
    <row r="19" spans="2:10" ht="17" thickBot="1" x14ac:dyDescent="0.25">
      <c r="B19" s="67" t="s">
        <v>127</v>
      </c>
      <c r="C19" s="69" t="s">
        <v>71</v>
      </c>
      <c r="D19" s="69">
        <v>0.32982570678230755</v>
      </c>
      <c r="E19" s="68"/>
      <c r="F19" s="68"/>
      <c r="H19" s="69" t="s">
        <v>78</v>
      </c>
      <c r="I19" s="69">
        <f t="shared" si="0"/>
        <v>0.10878499685444872</v>
      </c>
      <c r="J19" s="73">
        <v>1.2E-2</v>
      </c>
    </row>
    <row r="20" spans="2:10" ht="17" thickBot="1" x14ac:dyDescent="0.25">
      <c r="B20" s="67" t="s">
        <v>128</v>
      </c>
      <c r="C20" s="71" t="s">
        <v>72</v>
      </c>
      <c r="D20" s="69">
        <v>0.10818290384064685</v>
      </c>
      <c r="E20" s="68"/>
      <c r="F20" s="68"/>
      <c r="H20" s="69" t="s">
        <v>79</v>
      </c>
      <c r="I20" s="69">
        <f t="shared" si="0"/>
        <v>1.1703540683394645E-2</v>
      </c>
      <c r="J20" s="73">
        <v>5.0000000000000001E-3</v>
      </c>
    </row>
    <row r="21" spans="2:10" x14ac:dyDescent="0.2">
      <c r="C21" s="72" t="s">
        <v>73</v>
      </c>
      <c r="D21" s="69">
        <f>SUM(D15:D20)</f>
        <v>1</v>
      </c>
      <c r="E21" s="69" t="s">
        <v>38</v>
      </c>
      <c r="F21" s="69">
        <v>1</v>
      </c>
      <c r="H21" s="69" t="s">
        <v>86</v>
      </c>
      <c r="I21" s="69">
        <f>D15*D16</f>
        <v>0</v>
      </c>
      <c r="J21" s="73">
        <f>2*0.0003</f>
        <v>5.9999999999999995E-4</v>
      </c>
    </row>
    <row r="22" spans="2:10" x14ac:dyDescent="0.2">
      <c r="H22" s="69" t="s">
        <v>87</v>
      </c>
      <c r="I22" s="69">
        <f>D15*D17</f>
        <v>0</v>
      </c>
      <c r="J22" s="73">
        <f>2*-0.0003</f>
        <v>-5.9999999999999995E-4</v>
      </c>
    </row>
    <row r="23" spans="2:10" x14ac:dyDescent="0.2">
      <c r="H23" s="69" t="s">
        <v>88</v>
      </c>
      <c r="I23" s="69">
        <f>D15*D18</f>
        <v>0</v>
      </c>
      <c r="J23" s="73">
        <f>2*0.00035</f>
        <v>6.9999999999999999E-4</v>
      </c>
    </row>
    <row r="24" spans="2:10" x14ac:dyDescent="0.2">
      <c r="H24" s="69" t="s">
        <v>89</v>
      </c>
      <c r="I24" s="69">
        <f>D15*D19</f>
        <v>0</v>
      </c>
      <c r="J24" s="73">
        <f>2*-0.00035</f>
        <v>-6.9999999999999999E-4</v>
      </c>
    </row>
    <row r="25" spans="2:10" x14ac:dyDescent="0.2">
      <c r="B25" s="74" t="s">
        <v>81</v>
      </c>
      <c r="H25" s="69" t="s">
        <v>90</v>
      </c>
      <c r="I25" s="69">
        <f>D15*D20</f>
        <v>0</v>
      </c>
      <c r="J25" s="73">
        <f>2*0.0003</f>
        <v>5.9999999999999995E-4</v>
      </c>
    </row>
    <row r="26" spans="2:10" x14ac:dyDescent="0.2">
      <c r="B26" s="76">
        <f>SUMPRODUCT(C6:C11,D15:D20)</f>
        <v>0.12000000030576129</v>
      </c>
      <c r="C26" s="69" t="s">
        <v>25</v>
      </c>
      <c r="D26" s="80">
        <v>0.12</v>
      </c>
      <c r="H26" s="69" t="s">
        <v>91</v>
      </c>
      <c r="I26" s="69">
        <f>D16*D17</f>
        <v>4.6217648041930515E-2</v>
      </c>
      <c r="J26" s="73">
        <f>2*0.0004</f>
        <v>8.0000000000000004E-4</v>
      </c>
    </row>
    <row r="27" spans="2:10" x14ac:dyDescent="0.2">
      <c r="H27" s="69" t="s">
        <v>92</v>
      </c>
      <c r="I27" s="69">
        <f>D16*D18</f>
        <v>1.886987708760552E-2</v>
      </c>
      <c r="J27" s="73">
        <f>2*0.0016</f>
        <v>3.2000000000000002E-3</v>
      </c>
    </row>
    <row r="28" spans="2:10" x14ac:dyDescent="0.2">
      <c r="H28" s="69" t="s">
        <v>100</v>
      </c>
      <c r="I28" s="69">
        <f>D16*D19</f>
        <v>5.3834234412132302E-2</v>
      </c>
      <c r="J28" s="73">
        <f>2*-0.0016</f>
        <v>-3.2000000000000002E-3</v>
      </c>
    </row>
    <row r="29" spans="2:10" x14ac:dyDescent="0.2">
      <c r="B29" s="124" t="s">
        <v>102</v>
      </c>
      <c r="C29" s="124"/>
      <c r="D29" s="124"/>
      <c r="E29" s="124"/>
      <c r="H29" s="69" t="s">
        <v>93</v>
      </c>
      <c r="I29" s="69">
        <f>D16*D20</f>
        <v>1.7657640641657098E-2</v>
      </c>
      <c r="J29" s="73">
        <f>2*0.0006</f>
        <v>1.1999999999999999E-3</v>
      </c>
    </row>
    <row r="30" spans="2:10" ht="51" x14ac:dyDescent="0.2">
      <c r="B30" s="88" t="s">
        <v>103</v>
      </c>
      <c r="C30" s="88" t="s">
        <v>105</v>
      </c>
      <c r="D30" s="88" t="s">
        <v>104</v>
      </c>
      <c r="E30" s="88" t="s">
        <v>106</v>
      </c>
      <c r="H30" s="69" t="s">
        <v>94</v>
      </c>
      <c r="I30" s="69">
        <f>D17*D18</f>
        <v>3.2736242816269523E-2</v>
      </c>
      <c r="J30" s="73">
        <f>2*0.0015</f>
        <v>3.0000000000000001E-3</v>
      </c>
    </row>
    <row r="31" spans="2:10" x14ac:dyDescent="0.2">
      <c r="B31" s="84" t="s">
        <v>3</v>
      </c>
      <c r="C31" s="85">
        <v>0</v>
      </c>
      <c r="D31" s="86">
        <f>C31</f>
        <v>0</v>
      </c>
      <c r="E31" s="89">
        <f>D31 * 10000</f>
        <v>0</v>
      </c>
      <c r="H31" s="69" t="s">
        <v>95</v>
      </c>
      <c r="I31" s="69">
        <f>D17*D19</f>
        <v>9.3393855262634634E-2</v>
      </c>
      <c r="J31" s="73">
        <f>2*-0.0055</f>
        <v>-1.0999999999999999E-2</v>
      </c>
    </row>
    <row r="32" spans="2:10" x14ac:dyDescent="0.2">
      <c r="B32" s="84" t="s">
        <v>4</v>
      </c>
      <c r="C32" s="85">
        <v>0.16322025028711337</v>
      </c>
      <c r="D32" s="87">
        <f>C32</f>
        <v>0.16322025028711337</v>
      </c>
      <c r="E32" s="90">
        <f>D32*10000</f>
        <v>1632.2025028711337</v>
      </c>
      <c r="H32" s="69" t="s">
        <v>96</v>
      </c>
      <c r="I32" s="69">
        <f>D17*D20</f>
        <v>3.0633204918297983E-2</v>
      </c>
      <c r="J32" s="73">
        <f>2*-0.0007</f>
        <v>-1.4E-3</v>
      </c>
    </row>
    <row r="33" spans="2:10" x14ac:dyDescent="0.2">
      <c r="B33" s="84" t="s">
        <v>5</v>
      </c>
      <c r="C33" s="85">
        <v>0.28316123741160265</v>
      </c>
      <c r="D33" s="86">
        <f t="shared" ref="D33:D36" si="1">C33</f>
        <v>0.28316123741160265</v>
      </c>
      <c r="E33" s="90">
        <f t="shared" ref="E33:E36" si="2">D33*10000</f>
        <v>2831.6123741160263</v>
      </c>
      <c r="H33" s="69" t="s">
        <v>97</v>
      </c>
      <c r="I33" s="69">
        <f>D18*D19</f>
        <v>3.8131117532088137E-2</v>
      </c>
      <c r="J33" s="73">
        <f>2*-0.0005</f>
        <v>-1E-3</v>
      </c>
    </row>
    <row r="34" spans="2:10" x14ac:dyDescent="0.2">
      <c r="B34" s="84" t="s">
        <v>6</v>
      </c>
      <c r="C34" s="85">
        <v>0.11560990167832957</v>
      </c>
      <c r="D34" s="87">
        <f t="shared" si="1"/>
        <v>0.11560990167832957</v>
      </c>
      <c r="E34" s="90">
        <f t="shared" si="2"/>
        <v>1156.0990167832958</v>
      </c>
      <c r="H34" s="69" t="s">
        <v>98</v>
      </c>
      <c r="I34" s="69">
        <f>D18*D20</f>
        <v>1.2507014876293366E-2</v>
      </c>
      <c r="J34" s="73">
        <f>2*0.0008</f>
        <v>1.6000000000000001E-3</v>
      </c>
    </row>
    <row r="35" spans="2:10" x14ac:dyDescent="0.2">
      <c r="B35" s="84" t="s">
        <v>7</v>
      </c>
      <c r="C35" s="85">
        <v>0.32982570678230755</v>
      </c>
      <c r="D35" s="86">
        <f t="shared" si="1"/>
        <v>0.32982570678230755</v>
      </c>
      <c r="E35" s="90">
        <f t="shared" si="2"/>
        <v>3298.2570678230754</v>
      </c>
      <c r="H35" s="69" t="s">
        <v>99</v>
      </c>
      <c r="I35" s="69">
        <f>D19*D20</f>
        <v>3.5681502721003761E-2</v>
      </c>
      <c r="J35" s="73">
        <f>2*-0.0008</f>
        <v>-1.6000000000000001E-3</v>
      </c>
    </row>
    <row r="36" spans="2:10" x14ac:dyDescent="0.2">
      <c r="B36" s="84" t="s">
        <v>8</v>
      </c>
      <c r="C36" s="85">
        <v>0.10818290384064685</v>
      </c>
      <c r="D36" s="87">
        <f t="shared" si="1"/>
        <v>0.10818290384064685</v>
      </c>
      <c r="E36" s="90">
        <f t="shared" si="2"/>
        <v>1081.8290384064685</v>
      </c>
      <c r="I36" s="78" t="s">
        <v>80</v>
      </c>
      <c r="J36" s="79">
        <f>SUMPRODUCT(I15:I35,J15:J35)</f>
        <v>1.3045922793327187E-3</v>
      </c>
    </row>
  </sheetData>
  <mergeCells count="8">
    <mergeCell ref="B29:E29"/>
    <mergeCell ref="F12:K12"/>
    <mergeCell ref="F4:F5"/>
    <mergeCell ref="G4:G5"/>
    <mergeCell ref="H4:H5"/>
    <mergeCell ref="I4:I5"/>
    <mergeCell ref="J4:J5"/>
    <mergeCell ref="K4:K5"/>
  </mergeCells>
  <phoneticPr fontId="2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Microsoft Office User</cp:lastModifiedBy>
  <dcterms:created xsi:type="dcterms:W3CDTF">2020-12-01T18:44:30Z</dcterms:created>
  <dcterms:modified xsi:type="dcterms:W3CDTF">2022-02-19T01:49:17Z</dcterms:modified>
</cp:coreProperties>
</file>