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F:\Programs\z_PROJECTS\MCL Project\Raman-Peak-Fitting-Model\Examples_raman_of_carbon\"/>
    </mc:Choice>
  </mc:AlternateContent>
  <xr:revisionPtr revIDLastSave="0" documentId="13_ncr:1_{4B412F4E-D514-4199-A4BF-866A3ED12F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C" sheetId="2" r:id="rId1"/>
    <sheet name="PC-BASAL" sheetId="1" r:id="rId2"/>
    <sheet name="PC-ED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2" l="1"/>
  <c r="C21" i="2"/>
  <c r="C20" i="2"/>
  <c r="K32" i="3"/>
  <c r="J32" i="3"/>
  <c r="K31" i="3"/>
  <c r="J31" i="3"/>
  <c r="K30" i="3"/>
  <c r="J30" i="3"/>
  <c r="K22" i="3"/>
  <c r="J22" i="3"/>
  <c r="K21" i="3"/>
  <c r="J21" i="3"/>
  <c r="K20" i="3"/>
  <c r="J24" i="3" s="1"/>
  <c r="J20" i="3"/>
  <c r="P21" i="3"/>
  <c r="N21" i="3"/>
  <c r="E21" i="3"/>
  <c r="E22" i="3" s="1"/>
  <c r="D21" i="3"/>
  <c r="C21" i="3"/>
  <c r="K32" i="1"/>
  <c r="J32" i="1"/>
  <c r="K31" i="1"/>
  <c r="J31" i="1"/>
  <c r="K30" i="1"/>
  <c r="J30" i="1"/>
  <c r="P21" i="1"/>
  <c r="P20" i="1"/>
  <c r="N21" i="1"/>
  <c r="K22" i="1"/>
  <c r="J22" i="1"/>
  <c r="K21" i="1"/>
  <c r="J21" i="1"/>
  <c r="K20" i="1"/>
  <c r="J20" i="1"/>
  <c r="J26" i="1" s="1"/>
  <c r="E21" i="1"/>
  <c r="D21" i="1"/>
  <c r="C21" i="1"/>
  <c r="K32" i="2"/>
  <c r="J32" i="2"/>
  <c r="K31" i="2"/>
  <c r="J31" i="2"/>
  <c r="K30" i="2"/>
  <c r="J30" i="2"/>
  <c r="O21" i="2"/>
  <c r="O22" i="2" s="1"/>
  <c r="P21" i="2"/>
  <c r="N21" i="2"/>
  <c r="P20" i="2"/>
  <c r="N20" i="2"/>
  <c r="K22" i="2"/>
  <c r="J22" i="2"/>
  <c r="K21" i="2"/>
  <c r="J21" i="2"/>
  <c r="K20" i="2"/>
  <c r="J20" i="2"/>
  <c r="E21" i="2"/>
  <c r="D21" i="2"/>
  <c r="J34" i="3"/>
  <c r="J36" i="3"/>
  <c r="O22" i="3"/>
  <c r="B21" i="3"/>
  <c r="P20" i="3"/>
  <c r="N20" i="3"/>
  <c r="M30" i="3"/>
  <c r="D20" i="3"/>
  <c r="C20" i="3"/>
  <c r="B20" i="3"/>
  <c r="J34" i="1"/>
  <c r="J36" i="1"/>
  <c r="O22" i="1"/>
  <c r="N20" i="1"/>
  <c r="J24" i="1"/>
  <c r="D20" i="1"/>
  <c r="C20" i="1"/>
  <c r="J34" i="2"/>
  <c r="J36" i="2"/>
  <c r="J24" i="2"/>
  <c r="D20" i="2"/>
  <c r="B21" i="1"/>
  <c r="B20" i="1"/>
  <c r="B21" i="2"/>
  <c r="B20" i="2"/>
  <c r="M32" i="3" l="1"/>
  <c r="M32" i="1"/>
  <c r="C22" i="2"/>
  <c r="M31" i="3"/>
  <c r="M30" i="2"/>
  <c r="C22" i="3"/>
  <c r="D22" i="3"/>
  <c r="D24" i="3" s="1"/>
  <c r="N22" i="3"/>
  <c r="J26" i="3"/>
  <c r="M31" i="1"/>
  <c r="N22" i="1"/>
  <c r="M31" i="2"/>
  <c r="M30" i="1"/>
  <c r="N22" i="2"/>
  <c r="J26" i="2"/>
  <c r="E22" i="2"/>
  <c r="D22" i="2"/>
  <c r="D24" i="2" s="1"/>
  <c r="E22" i="1"/>
  <c r="D22" i="1"/>
  <c r="E24" i="3" l="1"/>
  <c r="E24" i="2"/>
  <c r="E24" i="1"/>
  <c r="D24" i="1"/>
</calcChain>
</file>

<file path=xl/sharedStrings.xml><?xml version="1.0" encoding="utf-8"?>
<sst xmlns="http://schemas.openxmlformats.org/spreadsheetml/2006/main" count="143" uniqueCount="39">
  <si>
    <t>p</t>
  </si>
  <si>
    <t>a</t>
  </si>
  <si>
    <t>g</t>
  </si>
  <si>
    <t>w</t>
  </si>
  <si>
    <t>ar</t>
  </si>
  <si>
    <t>532 nm</t>
  </si>
  <si>
    <t>420 uW</t>
  </si>
  <si>
    <t>50x LWD</t>
  </si>
  <si>
    <t>633 nm</t>
  </si>
  <si>
    <t>120 uW</t>
  </si>
  <si>
    <t>Energy (eV)</t>
  </si>
  <si>
    <t>G peak</t>
  </si>
  <si>
    <t>D peak</t>
  </si>
  <si>
    <t>2D peak</t>
  </si>
  <si>
    <t>Dispersion</t>
  </si>
  <si>
    <t xml:space="preserve">633 nm </t>
  </si>
  <si>
    <t>Error (%)</t>
  </si>
  <si>
    <t>Should be 2X the D peak dispersion</t>
  </si>
  <si>
    <t>Should be 50 cm-1/eV</t>
  </si>
  <si>
    <t>Ratios</t>
  </si>
  <si>
    <t>D/G</t>
  </si>
  <si>
    <t>Area</t>
  </si>
  <si>
    <t>Intensity</t>
  </si>
  <si>
    <t>D'/G</t>
  </si>
  <si>
    <t>D/D'</t>
  </si>
  <si>
    <t>FWHM</t>
  </si>
  <si>
    <t>D</t>
  </si>
  <si>
    <t>2D</t>
  </si>
  <si>
    <t>Delta</t>
  </si>
  <si>
    <t>Defect Density</t>
  </si>
  <si>
    <t>G</t>
  </si>
  <si>
    <t>Defect 1D vs. 2D</t>
  </si>
  <si>
    <t>AVG</t>
  </si>
  <si>
    <t>PC-EDGE</t>
  </si>
  <si>
    <t>GC</t>
  </si>
  <si>
    <t>PC-BASAL</t>
  </si>
  <si>
    <t>amplitude</t>
  </si>
  <si>
    <t>fwhm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</si>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</sst>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6"/>
  <sheetViews>
    <sheetView tabSelected="1" workbookViewId="0">
      <selection activeCell="C3" sqref="C3"/>
    </sheetView>
  </sheetViews>
  <sheetFormatPr defaultRowHeight="15" x14ac:dyDescent="0.25"/>
  <cols>
    <col min="4" max="4" width="18.42578125" customWidth="1"/>
    <col min="9" max="9" width="15.85546875" customWidth="1"/>
  </cols>
  <sheetData>
    <row r="1" spans="1:14" x14ac:dyDescent="0.25">
      <c r="A1" t="s">
        <v>34</v>
      </c>
    </row>
    <row r="2" spans="1:14" x14ac:dyDescent="0.25">
      <c r="B2" t="s">
        <v>5</v>
      </c>
      <c r="C2" t="s">
        <v>6</v>
      </c>
      <c r="D2" t="s">
        <v>7</v>
      </c>
      <c r="I2" t="s">
        <v>15</v>
      </c>
      <c r="J2" t="s">
        <v>9</v>
      </c>
      <c r="K2" t="s">
        <v>7</v>
      </c>
    </row>
    <row r="3" spans="1:14" x14ac:dyDescent="0.25">
      <c r="C3" t="s">
        <v>0</v>
      </c>
      <c r="D3" t="s">
        <v>36</v>
      </c>
      <c r="E3" t="s">
        <v>2</v>
      </c>
      <c r="F3" t="s">
        <v>37</v>
      </c>
      <c r="G3" t="s">
        <v>38</v>
      </c>
      <c r="J3" t="s">
        <v>0</v>
      </c>
      <c r="K3" t="s">
        <v>1</v>
      </c>
      <c r="L3" t="s">
        <v>2</v>
      </c>
      <c r="M3" t="s">
        <v>3</v>
      </c>
      <c r="N3" t="s">
        <v>4</v>
      </c>
    </row>
    <row r="4" spans="1:14" x14ac:dyDescent="0.25">
      <c r="B4">
        <v>1</v>
      </c>
      <c r="C4">
        <v>1595.8</v>
      </c>
      <c r="D4">
        <v>1165.9100000000001</v>
      </c>
      <c r="E4">
        <v>0.507548</v>
      </c>
      <c r="F4">
        <v>62.119599999999998</v>
      </c>
      <c r="G4">
        <v>94643.7</v>
      </c>
      <c r="I4">
        <v>1</v>
      </c>
      <c r="J4">
        <v>1591.84</v>
      </c>
      <c r="K4">
        <v>500.46</v>
      </c>
      <c r="L4">
        <v>0.163275</v>
      </c>
      <c r="M4">
        <v>59.914200000000001</v>
      </c>
      <c r="N4">
        <v>43821.7</v>
      </c>
    </row>
    <row r="5" spans="1:14" x14ac:dyDescent="0.25">
      <c r="B5">
        <v>2</v>
      </c>
      <c r="C5">
        <v>1351.36</v>
      </c>
      <c r="D5">
        <v>2154.2600000000002</v>
      </c>
      <c r="E5">
        <v>0.12657399999999999</v>
      </c>
      <c r="F5">
        <v>52.481999999999999</v>
      </c>
      <c r="G5">
        <v>169080</v>
      </c>
      <c r="I5">
        <v>2</v>
      </c>
      <c r="J5">
        <v>1333.97</v>
      </c>
      <c r="K5">
        <v>1482.71</v>
      </c>
      <c r="L5">
        <v>0.216756</v>
      </c>
      <c r="M5">
        <v>54.546199999999999</v>
      </c>
      <c r="N5">
        <v>116549</v>
      </c>
    </row>
    <row r="6" spans="1:14" x14ac:dyDescent="0.25">
      <c r="B6">
        <v>3</v>
      </c>
      <c r="C6">
        <v>2691.12</v>
      </c>
      <c r="D6">
        <v>696.36699999999996</v>
      </c>
      <c r="E6">
        <v>0.16889799999999999</v>
      </c>
      <c r="F6">
        <v>95.665300000000002</v>
      </c>
      <c r="G6">
        <v>97689.4</v>
      </c>
      <c r="I6">
        <v>3</v>
      </c>
      <c r="J6">
        <v>1619.02</v>
      </c>
      <c r="K6">
        <v>300.33699999999999</v>
      </c>
      <c r="L6">
        <v>1</v>
      </c>
      <c r="M6">
        <v>37.0535</v>
      </c>
      <c r="N6">
        <v>11845.9</v>
      </c>
    </row>
    <row r="7" spans="1:14" x14ac:dyDescent="0.25">
      <c r="B7">
        <v>4</v>
      </c>
      <c r="C7">
        <v>1628.02</v>
      </c>
      <c r="D7">
        <v>206.435</v>
      </c>
      <c r="E7">
        <v>1</v>
      </c>
      <c r="F7">
        <v>22.982900000000001</v>
      </c>
      <c r="G7">
        <v>5050.33</v>
      </c>
      <c r="I7">
        <v>4</v>
      </c>
      <c r="J7">
        <v>1478.76</v>
      </c>
      <c r="K7">
        <v>24.426400000000001</v>
      </c>
      <c r="L7">
        <v>0</v>
      </c>
      <c r="M7">
        <v>150</v>
      </c>
      <c r="N7">
        <v>5484.37</v>
      </c>
    </row>
    <row r="8" spans="1:14" x14ac:dyDescent="0.25">
      <c r="B8">
        <v>5</v>
      </c>
      <c r="C8">
        <v>1495.35</v>
      </c>
      <c r="D8">
        <v>64.412400000000005</v>
      </c>
      <c r="E8">
        <v>0.25530399999999998</v>
      </c>
      <c r="F8">
        <v>147.68899999999999</v>
      </c>
      <c r="G8">
        <v>13467.4</v>
      </c>
      <c r="I8">
        <v>5</v>
      </c>
      <c r="J8">
        <v>1260.3499999999999</v>
      </c>
      <c r="K8">
        <v>60.106000000000002</v>
      </c>
      <c r="L8">
        <v>0</v>
      </c>
      <c r="M8">
        <v>149.01599999999999</v>
      </c>
      <c r="N8">
        <v>13454.8</v>
      </c>
    </row>
    <row r="9" spans="1:14" x14ac:dyDescent="0.25">
      <c r="B9">
        <v>6</v>
      </c>
      <c r="C9">
        <v>1225.49</v>
      </c>
      <c r="D9">
        <v>40.316699999999997</v>
      </c>
      <c r="E9">
        <v>0.87172499999999997</v>
      </c>
      <c r="F9">
        <v>150</v>
      </c>
      <c r="G9">
        <v>6800.44</v>
      </c>
      <c r="I9">
        <v>6</v>
      </c>
      <c r="J9">
        <v>1133.46</v>
      </c>
      <c r="K9">
        <v>50.006</v>
      </c>
      <c r="L9">
        <v>0</v>
      </c>
      <c r="M9">
        <v>123.324</v>
      </c>
      <c r="N9">
        <v>9337.32</v>
      </c>
    </row>
    <row r="10" spans="1:14" x14ac:dyDescent="0.25">
      <c r="B10">
        <v>7</v>
      </c>
      <c r="C10">
        <v>2482.39</v>
      </c>
      <c r="D10">
        <v>40.636600000000001</v>
      </c>
      <c r="E10">
        <v>0</v>
      </c>
      <c r="F10">
        <v>149.51900000000001</v>
      </c>
      <c r="G10">
        <v>9337.76</v>
      </c>
    </row>
    <row r="11" spans="1:14" x14ac:dyDescent="0.25">
      <c r="B11">
        <v>8</v>
      </c>
      <c r="C11">
        <v>2940.8</v>
      </c>
      <c r="D11">
        <v>239.517</v>
      </c>
      <c r="E11">
        <v>0</v>
      </c>
      <c r="F11">
        <v>108.28400000000001</v>
      </c>
      <c r="G11">
        <v>40017.5</v>
      </c>
    </row>
    <row r="12" spans="1:14" x14ac:dyDescent="0.25">
      <c r="B12">
        <v>9</v>
      </c>
      <c r="C12">
        <v>3228.2</v>
      </c>
      <c r="D12">
        <v>51.632399999999997</v>
      </c>
      <c r="E12">
        <v>1</v>
      </c>
      <c r="F12">
        <v>95.445899999999995</v>
      </c>
      <c r="G12">
        <v>5245.8</v>
      </c>
    </row>
    <row r="13" spans="1:14" x14ac:dyDescent="0.25">
      <c r="B13">
        <v>10</v>
      </c>
      <c r="C13">
        <v>4269.25</v>
      </c>
      <c r="D13">
        <v>58.292000000000002</v>
      </c>
      <c r="E13">
        <v>0</v>
      </c>
      <c r="F13">
        <v>135.96100000000001</v>
      </c>
      <c r="G13">
        <v>9560.26</v>
      </c>
    </row>
    <row r="14" spans="1:14" x14ac:dyDescent="0.25">
      <c r="B14">
        <v>11</v>
      </c>
      <c r="C14">
        <v>1116.0899999999999</v>
      </c>
      <c r="D14">
        <v>56.983499999999999</v>
      </c>
      <c r="E14">
        <v>0.56838999999999995</v>
      </c>
      <c r="F14">
        <v>102.197</v>
      </c>
      <c r="G14">
        <v>7402.97</v>
      </c>
    </row>
    <row r="18" spans="2:16" x14ac:dyDescent="0.25">
      <c r="D18" t="s">
        <v>18</v>
      </c>
      <c r="E18" t="s">
        <v>17</v>
      </c>
      <c r="I18">
        <v>532</v>
      </c>
    </row>
    <row r="19" spans="2:16" x14ac:dyDescent="0.25">
      <c r="B19" t="s">
        <v>10</v>
      </c>
      <c r="C19" t="s">
        <v>11</v>
      </c>
      <c r="D19" t="s">
        <v>12</v>
      </c>
      <c r="E19" t="s">
        <v>13</v>
      </c>
      <c r="I19" t="s">
        <v>19</v>
      </c>
      <c r="J19" t="s">
        <v>21</v>
      </c>
      <c r="K19" t="s">
        <v>22</v>
      </c>
      <c r="M19" t="s">
        <v>25</v>
      </c>
      <c r="N19" t="s">
        <v>26</v>
      </c>
      <c r="O19" t="s">
        <v>27</v>
      </c>
      <c r="P19" t="s">
        <v>30</v>
      </c>
    </row>
    <row r="20" spans="2:16" x14ac:dyDescent="0.25">
      <c r="B20">
        <f>1241/633</f>
        <v>1.9605055292259084</v>
      </c>
      <c r="C20">
        <f>J4</f>
        <v>1591.84</v>
      </c>
      <c r="D20">
        <f>J5</f>
        <v>1333.97</v>
      </c>
      <c r="I20" t="s">
        <v>20</v>
      </c>
      <c r="J20">
        <f>G5/G4</f>
        <v>1.7864897505063728</v>
      </c>
      <c r="K20">
        <f>D5/D4</f>
        <v>1.8477069413591101</v>
      </c>
      <c r="M20">
        <v>633</v>
      </c>
      <c r="N20">
        <f>M5</f>
        <v>54.546199999999999</v>
      </c>
      <c r="P20">
        <f>M4</f>
        <v>59.914200000000001</v>
      </c>
    </row>
    <row r="21" spans="2:16" x14ac:dyDescent="0.25">
      <c r="B21">
        <f>1241/532</f>
        <v>2.3327067669172932</v>
      </c>
      <c r="C21">
        <f>C4</f>
        <v>1595.8</v>
      </c>
      <c r="D21">
        <f>C5</f>
        <v>1351.36</v>
      </c>
      <c r="E21">
        <f>C6</f>
        <v>2691.12</v>
      </c>
      <c r="I21" t="s">
        <v>23</v>
      </c>
      <c r="J21">
        <f>G7/G4</f>
        <v>5.3361502139075291E-2</v>
      </c>
      <c r="K21">
        <f>D7/D4</f>
        <v>0.17705912120146494</v>
      </c>
      <c r="M21">
        <v>532</v>
      </c>
      <c r="N21">
        <f>F5</f>
        <v>52.481999999999999</v>
      </c>
      <c r="O21">
        <f>F6</f>
        <v>95.665300000000002</v>
      </c>
      <c r="P21">
        <f>F4</f>
        <v>62.119599999999998</v>
      </c>
    </row>
    <row r="22" spans="2:16" x14ac:dyDescent="0.25">
      <c r="B22" t="s">
        <v>14</v>
      </c>
      <c r="C22">
        <f>(C21-C20)/($B21-$B20)</f>
        <v>10.639405781029451</v>
      </c>
      <c r="D22">
        <f t="shared" ref="D22:E22" si="0">(D21-D20)/($B21-$B20)</f>
        <v>46.722037003055327</v>
      </c>
      <c r="E22">
        <f t="shared" si="0"/>
        <v>7230.2822437989171</v>
      </c>
      <c r="I22" t="s">
        <v>24</v>
      </c>
      <c r="J22">
        <f>G5/G7</f>
        <v>33.479000382153245</v>
      </c>
      <c r="K22">
        <f>D5/D7</f>
        <v>10.435536609586554</v>
      </c>
      <c r="M22" t="s">
        <v>28</v>
      </c>
      <c r="N22">
        <f>N20-N21</f>
        <v>2.0641999999999996</v>
      </c>
      <c r="O22">
        <f>O20-O21</f>
        <v>-95.665300000000002</v>
      </c>
    </row>
    <row r="24" spans="2:16" x14ac:dyDescent="0.25">
      <c r="B24" t="s">
        <v>16</v>
      </c>
      <c r="D24">
        <f>(ABS(D22-50)/50)*100</f>
        <v>6.5559259938893462</v>
      </c>
      <c r="E24">
        <f>(1-((E22/D22)/2))*100</f>
        <v>-7637.5503162737768</v>
      </c>
      <c r="I24" t="s">
        <v>29</v>
      </c>
      <c r="J24">
        <f>((1241/532)^4)*K20</f>
        <v>54.710878348997262</v>
      </c>
    </row>
    <row r="26" spans="2:16" x14ac:dyDescent="0.25">
      <c r="I26" t="s">
        <v>31</v>
      </c>
      <c r="J26">
        <f>J20*((1241/532)/2.41)</f>
        <v>1.7291936639147729</v>
      </c>
    </row>
    <row r="28" spans="2:16" x14ac:dyDescent="0.25">
      <c r="I28">
        <v>633</v>
      </c>
      <c r="M28" t="s">
        <v>32</v>
      </c>
    </row>
    <row r="29" spans="2:16" x14ac:dyDescent="0.25">
      <c r="I29" t="s">
        <v>19</v>
      </c>
      <c r="J29" t="s">
        <v>21</v>
      </c>
      <c r="K29" t="s">
        <v>22</v>
      </c>
    </row>
    <row r="30" spans="2:16" x14ac:dyDescent="0.25">
      <c r="I30" t="s">
        <v>20</v>
      </c>
      <c r="J30">
        <f>N5/N4</f>
        <v>2.6596184082315384</v>
      </c>
      <c r="K30">
        <f>K5/K4</f>
        <v>2.9626943212244736</v>
      </c>
      <c r="M30">
        <f>AVERAGE(J20,K20,J30,K30)</f>
        <v>2.3141273553303736</v>
      </c>
    </row>
    <row r="31" spans="2:16" x14ac:dyDescent="0.25">
      <c r="I31" t="s">
        <v>23</v>
      </c>
      <c r="J31">
        <f>N6/N4</f>
        <v>0.2703204120333077</v>
      </c>
      <c r="K31">
        <f>K6/K4</f>
        <v>0.60012188786316589</v>
      </c>
      <c r="M31">
        <f>AVERAGE(J21,K21,J31,K31)</f>
        <v>0.27521573080925343</v>
      </c>
    </row>
    <row r="32" spans="2:16" x14ac:dyDescent="0.25">
      <c r="I32" t="s">
        <v>24</v>
      </c>
      <c r="J32">
        <f>N5/N6</f>
        <v>9.8387627786829199</v>
      </c>
      <c r="K32">
        <f>K5/K6</f>
        <v>4.9368209711091211</v>
      </c>
      <c r="M32">
        <f>AVERAGE(K22,K32)</f>
        <v>7.6861787903478378</v>
      </c>
    </row>
    <row r="34" spans="9:10" x14ac:dyDescent="0.25">
      <c r="I34" t="s">
        <v>29</v>
      </c>
      <c r="J34">
        <f>((1241/633)^4)*K30</f>
        <v>43.768244814915811</v>
      </c>
    </row>
    <row r="36" spans="9:10" x14ac:dyDescent="0.25">
      <c r="I36" t="s">
        <v>31</v>
      </c>
      <c r="J36">
        <f>J30*((1241/633)/2.41)</f>
        <v>2.163567051854332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opLeftCell="A10" workbookViewId="0">
      <selection activeCell="C22" sqref="C22"/>
    </sheetView>
  </sheetViews>
  <sheetFormatPr defaultRowHeight="15" x14ac:dyDescent="0.25"/>
  <cols>
    <col min="4" max="4" width="20.140625" customWidth="1"/>
    <col min="9" max="9" width="11.7109375" customWidth="1"/>
  </cols>
  <sheetData>
    <row r="1" spans="1:14" x14ac:dyDescent="0.25">
      <c r="A1" t="s">
        <v>35</v>
      </c>
    </row>
    <row r="2" spans="1:14" x14ac:dyDescent="0.25">
      <c r="B2" t="s">
        <v>5</v>
      </c>
      <c r="C2" t="s">
        <v>6</v>
      </c>
      <c r="D2" t="s">
        <v>7</v>
      </c>
      <c r="I2" t="s">
        <v>8</v>
      </c>
      <c r="J2" t="s">
        <v>9</v>
      </c>
      <c r="K2" t="s">
        <v>7</v>
      </c>
    </row>
    <row r="3" spans="1:14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J3" t="s">
        <v>0</v>
      </c>
      <c r="K3" t="s">
        <v>1</v>
      </c>
      <c r="L3" t="s">
        <v>2</v>
      </c>
      <c r="M3" t="s">
        <v>3</v>
      </c>
      <c r="N3" t="s">
        <v>4</v>
      </c>
    </row>
    <row r="4" spans="1:14" x14ac:dyDescent="0.25">
      <c r="B4">
        <v>1</v>
      </c>
      <c r="C4">
        <v>1585.04</v>
      </c>
      <c r="D4">
        <v>7551.65</v>
      </c>
      <c r="E4">
        <v>0.24138999999999999</v>
      </c>
      <c r="F4">
        <v>22.604099999999999</v>
      </c>
      <c r="G4">
        <v>246617</v>
      </c>
      <c r="I4">
        <v>1</v>
      </c>
      <c r="J4">
        <v>1585.38</v>
      </c>
      <c r="K4">
        <v>2758.24</v>
      </c>
      <c r="L4">
        <v>0.21819</v>
      </c>
      <c r="M4">
        <v>22.911899999999999</v>
      </c>
      <c r="N4">
        <v>91691.6</v>
      </c>
    </row>
    <row r="5" spans="1:14" x14ac:dyDescent="0.25">
      <c r="B5">
        <v>2</v>
      </c>
      <c r="C5">
        <v>1352.87</v>
      </c>
      <c r="D5">
        <v>1365.62</v>
      </c>
      <c r="E5">
        <v>0.197826</v>
      </c>
      <c r="F5">
        <v>33.149500000000003</v>
      </c>
      <c r="G5">
        <v>66292.600000000006</v>
      </c>
      <c r="I5">
        <v>2</v>
      </c>
      <c r="J5">
        <v>1336.34</v>
      </c>
      <c r="K5">
        <v>951.14800000000002</v>
      </c>
      <c r="L5">
        <v>1.8086499999999998E-2</v>
      </c>
      <c r="M5">
        <v>29.267800000000001</v>
      </c>
      <c r="N5">
        <v>43102.5</v>
      </c>
    </row>
    <row r="6" spans="1:14" x14ac:dyDescent="0.25">
      <c r="B6">
        <v>3</v>
      </c>
      <c r="C6">
        <v>2702.95</v>
      </c>
      <c r="D6">
        <v>2735.9</v>
      </c>
      <c r="E6">
        <v>9.90317E-2</v>
      </c>
      <c r="F6">
        <v>43.288800000000002</v>
      </c>
      <c r="G6">
        <v>179010</v>
      </c>
      <c r="I6">
        <v>3</v>
      </c>
      <c r="J6">
        <v>1622.5</v>
      </c>
      <c r="K6">
        <v>243.351</v>
      </c>
      <c r="L6">
        <v>0.51435399999999998</v>
      </c>
      <c r="M6">
        <v>16.4361</v>
      </c>
      <c r="N6">
        <v>5223.8</v>
      </c>
    </row>
    <row r="7" spans="1:14" x14ac:dyDescent="0.25">
      <c r="B7">
        <v>4</v>
      </c>
      <c r="C7">
        <v>1622.15</v>
      </c>
      <c r="D7">
        <v>290.73599999999999</v>
      </c>
      <c r="E7">
        <v>0.390847</v>
      </c>
      <c r="F7">
        <v>17.751000000000001</v>
      </c>
      <c r="G7">
        <v>7072.96</v>
      </c>
      <c r="I7">
        <v>4</v>
      </c>
      <c r="J7">
        <v>1469.6</v>
      </c>
      <c r="K7">
        <v>87.597800000000007</v>
      </c>
      <c r="L7">
        <v>0</v>
      </c>
      <c r="M7">
        <v>150</v>
      </c>
      <c r="N7">
        <v>19680</v>
      </c>
    </row>
    <row r="8" spans="1:14" x14ac:dyDescent="0.25">
      <c r="B8">
        <v>5</v>
      </c>
      <c r="C8">
        <v>1486.82</v>
      </c>
      <c r="D8">
        <v>175.77699999999999</v>
      </c>
      <c r="E8">
        <v>0</v>
      </c>
      <c r="F8">
        <v>150</v>
      </c>
      <c r="G8">
        <v>40518.1</v>
      </c>
      <c r="I8">
        <v>5</v>
      </c>
      <c r="J8">
        <v>1169.05</v>
      </c>
      <c r="K8">
        <v>63.549399999999999</v>
      </c>
      <c r="L8">
        <v>0</v>
      </c>
      <c r="M8">
        <v>150</v>
      </c>
      <c r="N8">
        <v>14326.6</v>
      </c>
    </row>
    <row r="9" spans="1:14" x14ac:dyDescent="0.25">
      <c r="B9">
        <v>6</v>
      </c>
      <c r="C9">
        <v>2465.38</v>
      </c>
      <c r="D9">
        <v>127.221</v>
      </c>
      <c r="E9">
        <v>0</v>
      </c>
      <c r="F9">
        <v>121.28</v>
      </c>
      <c r="G9">
        <v>23818.9</v>
      </c>
    </row>
    <row r="10" spans="1:14" x14ac:dyDescent="0.25">
      <c r="B10">
        <v>7</v>
      </c>
      <c r="C10">
        <v>2938.44</v>
      </c>
      <c r="D10">
        <v>184.16</v>
      </c>
      <c r="E10">
        <v>0</v>
      </c>
      <c r="F10">
        <v>106.459</v>
      </c>
      <c r="G10">
        <v>30265.1</v>
      </c>
    </row>
    <row r="11" spans="1:14" x14ac:dyDescent="0.25">
      <c r="B11">
        <v>8</v>
      </c>
      <c r="C11">
        <v>3181.96</v>
      </c>
      <c r="D11">
        <v>78.771500000000003</v>
      </c>
      <c r="E11">
        <v>0</v>
      </c>
      <c r="F11">
        <v>75.030100000000004</v>
      </c>
      <c r="G11">
        <v>9156.8700000000008</v>
      </c>
    </row>
    <row r="12" spans="1:14" x14ac:dyDescent="0.25">
      <c r="B12">
        <v>9</v>
      </c>
      <c r="C12">
        <v>3248.05</v>
      </c>
      <c r="D12">
        <v>195.24600000000001</v>
      </c>
      <c r="E12">
        <v>0.50845499999999999</v>
      </c>
      <c r="F12">
        <v>25.851199999999999</v>
      </c>
      <c r="G12">
        <v>6609.85</v>
      </c>
    </row>
    <row r="13" spans="1:14" x14ac:dyDescent="0.25">
      <c r="B13">
        <v>10</v>
      </c>
      <c r="C13">
        <v>4287.76</v>
      </c>
      <c r="D13">
        <v>203.07300000000001</v>
      </c>
      <c r="E13">
        <v>0.57323800000000003</v>
      </c>
      <c r="F13">
        <v>66.926900000000003</v>
      </c>
      <c r="G13">
        <v>15762.1</v>
      </c>
    </row>
    <row r="18" spans="2:16" x14ac:dyDescent="0.25">
      <c r="B18" t="s">
        <v>14</v>
      </c>
      <c r="D18" t="s">
        <v>18</v>
      </c>
      <c r="E18" t="s">
        <v>17</v>
      </c>
      <c r="I18">
        <v>532</v>
      </c>
    </row>
    <row r="19" spans="2:16" x14ac:dyDescent="0.25">
      <c r="B19" t="s">
        <v>10</v>
      </c>
      <c r="C19" t="s">
        <v>11</v>
      </c>
      <c r="D19" t="s">
        <v>12</v>
      </c>
      <c r="E19" t="s">
        <v>13</v>
      </c>
      <c r="I19" t="s">
        <v>19</v>
      </c>
      <c r="J19" t="s">
        <v>21</v>
      </c>
      <c r="K19" t="s">
        <v>22</v>
      </c>
      <c r="M19" t="s">
        <v>25</v>
      </c>
      <c r="N19" t="s">
        <v>26</v>
      </c>
      <c r="O19" t="s">
        <v>27</v>
      </c>
      <c r="P19" t="s">
        <v>30</v>
      </c>
    </row>
    <row r="20" spans="2:16" x14ac:dyDescent="0.25">
      <c r="B20">
        <f>1241/633</f>
        <v>1.9605055292259084</v>
      </c>
      <c r="C20">
        <f>J4</f>
        <v>1585.38</v>
      </c>
      <c r="D20">
        <f>J5</f>
        <v>1336.34</v>
      </c>
      <c r="I20" t="s">
        <v>20</v>
      </c>
      <c r="J20">
        <f>G5/G4</f>
        <v>0.26880790861943826</v>
      </c>
      <c r="K20">
        <f>D5/D4</f>
        <v>0.18083730045751589</v>
      </c>
      <c r="M20">
        <v>633</v>
      </c>
      <c r="N20">
        <f>M5</f>
        <v>29.267800000000001</v>
      </c>
      <c r="P20">
        <f>M4</f>
        <v>22.911899999999999</v>
      </c>
    </row>
    <row r="21" spans="2:16" x14ac:dyDescent="0.25">
      <c r="B21">
        <f>1241/532</f>
        <v>2.3327067669172932</v>
      </c>
      <c r="C21">
        <f>C4</f>
        <v>1585.04</v>
      </c>
      <c r="D21">
        <f>C5</f>
        <v>1352.87</v>
      </c>
      <c r="E21">
        <f>C6</f>
        <v>2702.95</v>
      </c>
      <c r="I21" t="s">
        <v>23</v>
      </c>
      <c r="J21">
        <f>G7/G4</f>
        <v>2.8679936906214901E-2</v>
      </c>
      <c r="K21">
        <f>D7/D4</f>
        <v>3.8499665635986835E-2</v>
      </c>
      <c r="M21">
        <v>532</v>
      </c>
      <c r="N21">
        <f>F5</f>
        <v>33.149500000000003</v>
      </c>
      <c r="P21">
        <f>F4</f>
        <v>22.604099999999999</v>
      </c>
    </row>
    <row r="22" spans="2:16" x14ac:dyDescent="0.25">
      <c r="B22" t="s">
        <v>14</v>
      </c>
      <c r="C22">
        <v>0.3</v>
      </c>
      <c r="D22">
        <f t="shared" ref="D22:E22" si="0">(D21-D20)/($B21-$B20)</f>
        <v>44.411458979902761</v>
      </c>
      <c r="E22">
        <f t="shared" si="0"/>
        <v>7262.0661252104264</v>
      </c>
      <c r="I22" t="s">
        <v>24</v>
      </c>
      <c r="J22">
        <f>G5/G7</f>
        <v>9.3726813102293818</v>
      </c>
      <c r="K22">
        <f>D5/D7</f>
        <v>4.6971135325518683</v>
      </c>
      <c r="M22" t="s">
        <v>28</v>
      </c>
      <c r="N22">
        <f>N20-N21</f>
        <v>-3.8817000000000021</v>
      </c>
      <c r="O22">
        <f>O20-O21</f>
        <v>0</v>
      </c>
    </row>
    <row r="24" spans="2:16" x14ac:dyDescent="0.25">
      <c r="B24" t="s">
        <v>16</v>
      </c>
      <c r="D24">
        <f>(ABS(D22-50)/50)*100</f>
        <v>11.177082040194477</v>
      </c>
      <c r="E24">
        <f>(1-((E22/D22)/2))*100</f>
        <v>-8075.8923169994077</v>
      </c>
      <c r="I24" t="s">
        <v>29</v>
      </c>
      <c r="J24">
        <f>((1241/532)^4)*K20</f>
        <v>5.3546194609274469</v>
      </c>
    </row>
    <row r="26" spans="2:16" x14ac:dyDescent="0.25">
      <c r="I26" t="s">
        <v>31</v>
      </c>
      <c r="J26">
        <f>J20*((1241/532)/2.41)</f>
        <v>0.26018673337653486</v>
      </c>
    </row>
    <row r="28" spans="2:16" x14ac:dyDescent="0.25">
      <c r="I28">
        <v>633</v>
      </c>
      <c r="M28" t="s">
        <v>32</v>
      </c>
    </row>
    <row r="29" spans="2:16" x14ac:dyDescent="0.25">
      <c r="I29" t="s">
        <v>19</v>
      </c>
      <c r="J29" t="s">
        <v>21</v>
      </c>
      <c r="K29" t="s">
        <v>22</v>
      </c>
    </row>
    <row r="30" spans="2:16" x14ac:dyDescent="0.25">
      <c r="I30" t="s">
        <v>20</v>
      </c>
      <c r="J30">
        <f>N5/N4</f>
        <v>0.47008122881485326</v>
      </c>
      <c r="K30">
        <f>K5/K4</f>
        <v>0.34483873774580898</v>
      </c>
      <c r="M30">
        <f>AVERAGE(J20,K20,J30,K30)</f>
        <v>0.3161412939094041</v>
      </c>
    </row>
    <row r="31" spans="2:16" x14ac:dyDescent="0.25">
      <c r="I31" t="s">
        <v>23</v>
      </c>
      <c r="J31">
        <f>N6/N4</f>
        <v>5.6971412866609374E-2</v>
      </c>
      <c r="K31">
        <f>K6/K4</f>
        <v>8.8226912813968328E-2</v>
      </c>
      <c r="M31">
        <f>AVERAGE(J21,K21,J31,K31)</f>
        <v>5.3094482055694857E-2</v>
      </c>
    </row>
    <row r="32" spans="2:16" x14ac:dyDescent="0.25">
      <c r="I32" t="s">
        <v>24</v>
      </c>
      <c r="J32">
        <f>N5/N6</f>
        <v>8.2511773038784018</v>
      </c>
      <c r="K32">
        <f>K5/K6</f>
        <v>3.9085436262846671</v>
      </c>
      <c r="M32">
        <f>AVERAGE(J22,K22,J32,K32)</f>
        <v>6.5573789432360794</v>
      </c>
    </row>
    <row r="34" spans="9:10" x14ac:dyDescent="0.25">
      <c r="I34" t="s">
        <v>29</v>
      </c>
      <c r="J34">
        <f>((1241/633)^4)*K30</f>
        <v>5.0943447615234314</v>
      </c>
    </row>
    <row r="36" spans="9:10" x14ac:dyDescent="0.25">
      <c r="I36" t="s">
        <v>31</v>
      </c>
      <c r="J36">
        <f>J30*((1241/633)/2.41)</f>
        <v>0.38240533123519882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D374E-A4C5-4A55-949A-715D84630B65}">
  <dimension ref="A1:P36"/>
  <sheetViews>
    <sheetView topLeftCell="A3" workbookViewId="0">
      <selection activeCell="R30" sqref="R30"/>
    </sheetView>
  </sheetViews>
  <sheetFormatPr defaultRowHeight="15" x14ac:dyDescent="0.25"/>
  <cols>
    <col min="4" max="4" width="20.140625" customWidth="1"/>
    <col min="9" max="9" width="11.7109375" customWidth="1"/>
  </cols>
  <sheetData>
    <row r="1" spans="1:14" x14ac:dyDescent="0.25">
      <c r="A1" t="s">
        <v>33</v>
      </c>
    </row>
    <row r="2" spans="1:14" x14ac:dyDescent="0.25">
      <c r="B2" t="s">
        <v>5</v>
      </c>
      <c r="C2" t="s">
        <v>6</v>
      </c>
      <c r="D2" t="s">
        <v>7</v>
      </c>
      <c r="I2" t="s">
        <v>8</v>
      </c>
      <c r="J2" t="s">
        <v>9</v>
      </c>
      <c r="K2" t="s">
        <v>7</v>
      </c>
    </row>
    <row r="3" spans="1:14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J3" t="s">
        <v>0</v>
      </c>
      <c r="K3" t="s">
        <v>1</v>
      </c>
      <c r="L3" t="s">
        <v>2</v>
      </c>
      <c r="M3" t="s">
        <v>3</v>
      </c>
      <c r="N3" t="s">
        <v>4</v>
      </c>
    </row>
    <row r="4" spans="1:14" x14ac:dyDescent="0.25">
      <c r="B4">
        <v>1</v>
      </c>
      <c r="C4">
        <v>1585.44</v>
      </c>
      <c r="D4">
        <v>3552.73</v>
      </c>
      <c r="E4">
        <v>0.15557199999999999</v>
      </c>
      <c r="F4">
        <v>23.2926</v>
      </c>
      <c r="G4">
        <v>123105</v>
      </c>
      <c r="I4">
        <v>1</v>
      </c>
      <c r="J4">
        <v>1586.18</v>
      </c>
      <c r="K4">
        <v>1298.51</v>
      </c>
      <c r="L4">
        <v>0.24911</v>
      </c>
      <c r="M4">
        <v>24.226099999999999</v>
      </c>
      <c r="N4">
        <v>45144.800000000003</v>
      </c>
    </row>
    <row r="5" spans="1:14" x14ac:dyDescent="0.25">
      <c r="B5">
        <v>2</v>
      </c>
      <c r="C5">
        <v>1353.82</v>
      </c>
      <c r="D5">
        <v>1731.59</v>
      </c>
      <c r="E5">
        <v>0</v>
      </c>
      <c r="F5">
        <v>30.650700000000001</v>
      </c>
      <c r="G5">
        <v>82987.5</v>
      </c>
      <c r="I5">
        <v>2</v>
      </c>
      <c r="J5">
        <v>1337.25</v>
      </c>
      <c r="K5">
        <v>1489.92</v>
      </c>
      <c r="L5">
        <v>8.8155999999999998E-2</v>
      </c>
      <c r="M5">
        <v>26.741</v>
      </c>
      <c r="N5">
        <v>60355.1</v>
      </c>
    </row>
    <row r="6" spans="1:14" x14ac:dyDescent="0.25">
      <c r="B6">
        <v>3</v>
      </c>
      <c r="C6">
        <v>2702.57</v>
      </c>
      <c r="D6">
        <v>1551.92</v>
      </c>
      <c r="E6">
        <v>0</v>
      </c>
      <c r="F6">
        <v>42.7029</v>
      </c>
      <c r="G6">
        <v>103433</v>
      </c>
      <c r="I6">
        <v>3</v>
      </c>
      <c r="J6">
        <v>1621.64</v>
      </c>
      <c r="K6">
        <v>299.154</v>
      </c>
      <c r="L6">
        <v>0.66457599999999994</v>
      </c>
      <c r="M6">
        <v>18.1858</v>
      </c>
      <c r="N6">
        <v>6697.05</v>
      </c>
    </row>
    <row r="7" spans="1:14" x14ac:dyDescent="0.25">
      <c r="B7">
        <v>4</v>
      </c>
      <c r="C7">
        <v>1623.76</v>
      </c>
      <c r="D7">
        <v>346.529</v>
      </c>
      <c r="E7">
        <v>0.37534899999999999</v>
      </c>
      <c r="F7">
        <v>16.6675</v>
      </c>
      <c r="G7">
        <v>7961.54</v>
      </c>
      <c r="I7">
        <v>4</v>
      </c>
      <c r="J7">
        <v>1486.67</v>
      </c>
      <c r="K7">
        <v>53.575899999999997</v>
      </c>
      <c r="L7">
        <v>0</v>
      </c>
      <c r="M7">
        <v>150</v>
      </c>
      <c r="N7">
        <v>12031.1</v>
      </c>
    </row>
    <row r="8" spans="1:14" x14ac:dyDescent="0.25">
      <c r="B8">
        <v>5</v>
      </c>
      <c r="C8">
        <v>1483.53</v>
      </c>
      <c r="D8">
        <v>134.87700000000001</v>
      </c>
      <c r="E8">
        <v>0.47196100000000002</v>
      </c>
      <c r="F8">
        <v>55.312100000000001</v>
      </c>
      <c r="G8">
        <v>9886.31</v>
      </c>
      <c r="I8">
        <v>5</v>
      </c>
      <c r="J8">
        <v>1286.18</v>
      </c>
      <c r="K8">
        <v>42.688800000000001</v>
      </c>
      <c r="L8">
        <v>1</v>
      </c>
      <c r="M8">
        <v>110.599</v>
      </c>
      <c r="N8">
        <v>5025.72</v>
      </c>
    </row>
    <row r="9" spans="1:14" x14ac:dyDescent="0.25">
      <c r="B9">
        <v>6</v>
      </c>
      <c r="C9">
        <v>2475.1</v>
      </c>
      <c r="D9">
        <v>69.0779</v>
      </c>
      <c r="E9">
        <v>0</v>
      </c>
      <c r="F9">
        <v>127.105</v>
      </c>
      <c r="G9">
        <v>13542.5</v>
      </c>
      <c r="I9">
        <v>6</v>
      </c>
      <c r="J9">
        <v>1147.24</v>
      </c>
      <c r="K9">
        <v>38.113100000000003</v>
      </c>
      <c r="L9">
        <v>0</v>
      </c>
      <c r="M9">
        <v>150</v>
      </c>
      <c r="N9">
        <v>8592.01</v>
      </c>
    </row>
    <row r="10" spans="1:14" x14ac:dyDescent="0.25">
      <c r="B10">
        <v>7</v>
      </c>
      <c r="C10">
        <v>2943.66</v>
      </c>
      <c r="D10">
        <v>185.245</v>
      </c>
      <c r="E10">
        <v>0</v>
      </c>
      <c r="F10">
        <v>84.110399999999998</v>
      </c>
      <c r="G10">
        <v>24140.3</v>
      </c>
    </row>
    <row r="11" spans="1:14" x14ac:dyDescent="0.25">
      <c r="B11">
        <v>8</v>
      </c>
      <c r="C11">
        <v>3197.15</v>
      </c>
      <c r="D11">
        <v>38.969799999999999</v>
      </c>
      <c r="E11">
        <v>1</v>
      </c>
      <c r="F11">
        <v>113.267</v>
      </c>
      <c r="G11">
        <v>4698.54</v>
      </c>
    </row>
    <row r="12" spans="1:14" x14ac:dyDescent="0.25">
      <c r="B12">
        <v>9</v>
      </c>
      <c r="C12">
        <v>3248.74</v>
      </c>
      <c r="D12">
        <v>99.668400000000005</v>
      </c>
      <c r="E12">
        <v>0.93758799999999998</v>
      </c>
      <c r="F12">
        <v>23.0183</v>
      </c>
      <c r="G12">
        <v>2513.61</v>
      </c>
    </row>
    <row r="13" spans="1:14" x14ac:dyDescent="0.25">
      <c r="B13">
        <v>10</v>
      </c>
      <c r="C13">
        <v>4287.82</v>
      </c>
      <c r="D13">
        <v>114.35</v>
      </c>
      <c r="E13">
        <v>0.12781000000000001</v>
      </c>
      <c r="F13">
        <v>69.447299999999998</v>
      </c>
      <c r="G13">
        <v>10092</v>
      </c>
    </row>
    <row r="18" spans="2:16" x14ac:dyDescent="0.25">
      <c r="B18" t="s">
        <v>14</v>
      </c>
      <c r="D18" t="s">
        <v>18</v>
      </c>
      <c r="E18" t="s">
        <v>17</v>
      </c>
      <c r="I18">
        <v>532</v>
      </c>
    </row>
    <row r="19" spans="2:16" x14ac:dyDescent="0.25">
      <c r="B19" t="s">
        <v>10</v>
      </c>
      <c r="C19" t="s">
        <v>11</v>
      </c>
      <c r="D19" t="s">
        <v>12</v>
      </c>
      <c r="E19" t="s">
        <v>13</v>
      </c>
      <c r="I19" t="s">
        <v>19</v>
      </c>
      <c r="J19" t="s">
        <v>21</v>
      </c>
      <c r="K19" t="s">
        <v>22</v>
      </c>
      <c r="M19" t="s">
        <v>25</v>
      </c>
      <c r="N19" t="s">
        <v>26</v>
      </c>
      <c r="O19" t="s">
        <v>27</v>
      </c>
      <c r="P19" t="s">
        <v>30</v>
      </c>
    </row>
    <row r="20" spans="2:16" x14ac:dyDescent="0.25">
      <c r="B20">
        <f>1241/633</f>
        <v>1.9605055292259084</v>
      </c>
      <c r="C20">
        <f>J4</f>
        <v>1586.18</v>
      </c>
      <c r="D20">
        <f>J5</f>
        <v>1337.25</v>
      </c>
      <c r="I20" t="s">
        <v>20</v>
      </c>
      <c r="J20">
        <f>G5/G4</f>
        <v>0.6741196539539418</v>
      </c>
      <c r="K20">
        <f>D5/D4</f>
        <v>0.48739701581600625</v>
      </c>
      <c r="M20">
        <v>633</v>
      </c>
      <c r="N20">
        <f>M5</f>
        <v>26.741</v>
      </c>
      <c r="P20">
        <f>M4</f>
        <v>24.226099999999999</v>
      </c>
    </row>
    <row r="21" spans="2:16" x14ac:dyDescent="0.25">
      <c r="B21">
        <f>1241/532</f>
        <v>2.3327067669172932</v>
      </c>
      <c r="C21">
        <f>C4</f>
        <v>1585.44</v>
      </c>
      <c r="D21">
        <f>C5</f>
        <v>1353.82</v>
      </c>
      <c r="E21">
        <f>C6</f>
        <v>2702.57</v>
      </c>
      <c r="I21" t="s">
        <v>23</v>
      </c>
      <c r="J21">
        <f>G7/G4</f>
        <v>6.4672759026847007E-2</v>
      </c>
      <c r="K21">
        <f>D7/D4</f>
        <v>9.7538794110444638E-2</v>
      </c>
      <c r="M21">
        <v>532</v>
      </c>
      <c r="N21">
        <f>F5</f>
        <v>30.650700000000001</v>
      </c>
      <c r="P21">
        <f>F4</f>
        <v>23.2926</v>
      </c>
    </row>
    <row r="22" spans="2:16" x14ac:dyDescent="0.25">
      <c r="B22" t="s">
        <v>14</v>
      </c>
      <c r="C22">
        <f>(C21-C20)/($B21-$B20)</f>
        <v>-1.9881717873640956</v>
      </c>
      <c r="D22">
        <f t="shared" ref="D22:E22" si="0">(D21-D20)/($B21-$B20)</f>
        <v>44.518927725165582</v>
      </c>
      <c r="E22">
        <f t="shared" si="0"/>
        <v>7261.0451721304298</v>
      </c>
      <c r="I22" t="s">
        <v>24</v>
      </c>
      <c r="J22">
        <f>G5/G7</f>
        <v>10.42354871042537</v>
      </c>
      <c r="K22">
        <f>D5/D7</f>
        <v>4.996955521760083</v>
      </c>
      <c r="M22" t="s">
        <v>28</v>
      </c>
      <c r="N22">
        <f>N20-N21</f>
        <v>-3.9097000000000008</v>
      </c>
      <c r="O22">
        <f>O20-O21</f>
        <v>0</v>
      </c>
    </row>
    <row r="24" spans="2:16" x14ac:dyDescent="0.25">
      <c r="B24" t="s">
        <v>16</v>
      </c>
      <c r="D24">
        <f>(ABS(D22-50)/50)*100</f>
        <v>10.962144549668835</v>
      </c>
      <c r="E24">
        <f>(1-((E22/D22)/2))*100</f>
        <v>-8055.0090525045589</v>
      </c>
      <c r="I24" t="s">
        <v>29</v>
      </c>
      <c r="J24">
        <f>((1241/532)^4)*K20</f>
        <v>14.431898394211409</v>
      </c>
    </row>
    <row r="26" spans="2:16" x14ac:dyDescent="0.25">
      <c r="I26" t="s">
        <v>31</v>
      </c>
      <c r="J26">
        <f>J20*((1241/532)/2.41)</f>
        <v>0.65249936866817593</v>
      </c>
    </row>
    <row r="28" spans="2:16" x14ac:dyDescent="0.25">
      <c r="I28">
        <v>633</v>
      </c>
      <c r="M28" t="s">
        <v>32</v>
      </c>
    </row>
    <row r="29" spans="2:16" x14ac:dyDescent="0.25">
      <c r="I29" t="s">
        <v>19</v>
      </c>
      <c r="J29" t="s">
        <v>21</v>
      </c>
      <c r="K29" t="s">
        <v>22</v>
      </c>
    </row>
    <row r="30" spans="2:16" x14ac:dyDescent="0.25">
      <c r="I30" t="s">
        <v>20</v>
      </c>
      <c r="J30">
        <f>N5/N4</f>
        <v>1.3369225248533607</v>
      </c>
      <c r="K30">
        <f>K5/K4</f>
        <v>1.1474074131119514</v>
      </c>
      <c r="M30">
        <f>AVERAGE(J20,K20,J30,K30)</f>
        <v>0.91146165193381501</v>
      </c>
    </row>
    <row r="31" spans="2:16" x14ac:dyDescent="0.25">
      <c r="I31" t="s">
        <v>23</v>
      </c>
      <c r="J31">
        <f>N6/N4</f>
        <v>0.14834598890680653</v>
      </c>
      <c r="K31">
        <f>K6/K4</f>
        <v>0.23038251534451024</v>
      </c>
      <c r="M31">
        <f>AVERAGE(J21,K21,J31,K31)</f>
        <v>0.1352350143471521</v>
      </c>
    </row>
    <row r="32" spans="2:16" x14ac:dyDescent="0.25">
      <c r="I32" t="s">
        <v>24</v>
      </c>
      <c r="J32">
        <f>N5/N6</f>
        <v>9.0121919352550748</v>
      </c>
      <c r="K32">
        <f>K5/K6</f>
        <v>4.9804448544896616</v>
      </c>
      <c r="M32">
        <f>AVERAGE(J22,K22,J32,K32)</f>
        <v>7.3532852554825476</v>
      </c>
    </row>
    <row r="34" spans="9:10" x14ac:dyDescent="0.25">
      <c r="I34" t="s">
        <v>29</v>
      </c>
      <c r="J34">
        <f>((1241/633)^4)*K30</f>
        <v>16.950789759092437</v>
      </c>
    </row>
    <row r="36" spans="9:10" x14ac:dyDescent="0.25">
      <c r="I36" t="s">
        <v>31</v>
      </c>
      <c r="J36">
        <f>J30*((1241/633)/2.41)</f>
        <v>1.087570125361691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GC</vt:lpstr>
      <vt:lpstr>PC-BASAL</vt:lpstr>
      <vt:lpstr>PC-EDGE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mtw5027</dc:creator>
  <cp:lastModifiedBy>DELL</cp:lastModifiedBy>
  <dcterms:created xsi:type="dcterms:W3CDTF">2020-10-25T15:54:50Z</dcterms:created>
  <dcterms:modified xsi:type="dcterms:W3CDTF">2023-02-16T18:41:31Z</dcterms:modified>
</cp:coreProperties>
</file>