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D\3rd Sem\CVL100\"/>
    </mc:Choice>
  </mc:AlternateContent>
  <xr:revisionPtr revIDLastSave="0" documentId="13_ncr:1_{660CAFED-03F4-48C1-A683-C1E16B0C7DB4}" xr6:coauthVersionLast="47" xr6:coauthVersionMax="47" xr10:uidLastSave="{00000000-0000-0000-0000-000000000000}"/>
  <bookViews>
    <workbookView xWindow="-108" yWindow="-108" windowWidth="23256" windowHeight="12456" activeTab="3" xr2:uid="{CB052487-D3BF-4877-ABD5-68B348A018DB}"/>
  </bookViews>
  <sheets>
    <sheet name="plume" sheetId="1" r:id="rId1"/>
    <sheet name="risk" sheetId="2" r:id="rId2"/>
    <sheet name="aqi" sheetId="3" r:id="rId3"/>
    <sheet name="oxygen was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5" i="4" s="1"/>
  <c r="D3" i="4" l="1"/>
  <c r="B15" i="4" s="1"/>
  <c r="D4" i="4"/>
  <c r="B13" i="4" s="1"/>
  <c r="B14" i="4" l="1"/>
  <c r="B12" i="4" l="1"/>
  <c r="B17" i="4" s="1"/>
  <c r="B18" i="4" s="1"/>
  <c r="E21" i="2"/>
  <c r="E15" i="2"/>
  <c r="E22" i="2" s="1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H21" i="2"/>
  <c r="B24" i="2"/>
  <c r="K9" i="2"/>
  <c r="H10" i="2"/>
  <c r="E9" i="2"/>
  <c r="B8" i="2"/>
  <c r="B12" i="1"/>
  <c r="B11" i="1"/>
  <c r="B10" i="1"/>
  <c r="B9" i="1"/>
  <c r="B14" i="1" s="1"/>
  <c r="D11" i="3" l="1"/>
  <c r="B20" i="4"/>
  <c r="B21" i="4" s="1"/>
  <c r="B22" i="4" s="1"/>
  <c r="B15" i="1"/>
  <c r="B17" i="1" s="1"/>
</calcChain>
</file>

<file path=xl/sharedStrings.xml><?xml version="1.0" encoding="utf-8"?>
<sst xmlns="http://schemas.openxmlformats.org/spreadsheetml/2006/main" count="127" uniqueCount="96">
  <si>
    <t>x(km)</t>
  </si>
  <si>
    <t>y(m)</t>
  </si>
  <si>
    <t>cat</t>
  </si>
  <si>
    <t>E(g/s)</t>
  </si>
  <si>
    <t>U(m/s)</t>
  </si>
  <si>
    <t>He(m)</t>
  </si>
  <si>
    <t>C(g/m3)</t>
  </si>
  <si>
    <t>a</t>
  </si>
  <si>
    <t>b</t>
  </si>
  <si>
    <t>c</t>
  </si>
  <si>
    <t>d</t>
  </si>
  <si>
    <t>f</t>
  </si>
  <si>
    <t>Sy(m)</t>
  </si>
  <si>
    <t>Sz(m)</t>
  </si>
  <si>
    <t>conc in H20(mg/L)</t>
  </si>
  <si>
    <t>ingetion Rate(L/day)</t>
  </si>
  <si>
    <t>Exposure Frequency(days/year)</t>
  </si>
  <si>
    <t>Exposure Duration(years)</t>
  </si>
  <si>
    <t>body weight(kg)</t>
  </si>
  <si>
    <t>averaging time(days)</t>
  </si>
  <si>
    <t>Ingetion In Drinking Water</t>
  </si>
  <si>
    <t>contact rate(L/h)</t>
  </si>
  <si>
    <t>exposure time(h/day)</t>
  </si>
  <si>
    <t>Expoure Frequency(days/year</t>
  </si>
  <si>
    <t>CDI(mg/(kg day)</t>
  </si>
  <si>
    <t>Ingetion While Swimming</t>
  </si>
  <si>
    <t>surface Area(cm2)</t>
  </si>
  <si>
    <t>permeability factor(cm/h)</t>
  </si>
  <si>
    <t>Dermal Contact with Water</t>
  </si>
  <si>
    <t>Adsorbed Dose(mg/(kg day)</t>
  </si>
  <si>
    <t>conc in soil(mg/kg)</t>
  </si>
  <si>
    <t>ingetion rate(mg/day)</t>
  </si>
  <si>
    <t>fraction ingested</t>
  </si>
  <si>
    <t>Ingetion Of chemicals in soil</t>
  </si>
  <si>
    <t>adherence factor(mg/cm2)</t>
  </si>
  <si>
    <t>absorption factor</t>
  </si>
  <si>
    <t>Expoure Frequency(days/year)</t>
  </si>
  <si>
    <t>Ingetion rate(mg/day)</t>
  </si>
  <si>
    <t>Dermal Contact with soil</t>
  </si>
  <si>
    <t>conc in air(mg/m3)</t>
  </si>
  <si>
    <t>inhalation rate(m3/h)</t>
  </si>
  <si>
    <t>exposure frequency(days/year)</t>
  </si>
  <si>
    <t>exposure duration(years)</t>
  </si>
  <si>
    <t>Inhalation of airborne chemicals</t>
  </si>
  <si>
    <t>Ingetion rate(kg/meal)</t>
  </si>
  <si>
    <t>Expoure Frequency(meals/year)</t>
  </si>
  <si>
    <t>Ingetion of contaminated food</t>
  </si>
  <si>
    <t>pm10(µg/m3)</t>
  </si>
  <si>
    <t>pm2.5(µg/m3)</t>
  </si>
  <si>
    <t>NO2(µg/m3)</t>
  </si>
  <si>
    <t>O3(µg/m3)</t>
  </si>
  <si>
    <t>SO2(µg/m3)</t>
  </si>
  <si>
    <t>NH3(µg/m3)</t>
  </si>
  <si>
    <t>Pb(µg/m3)</t>
  </si>
  <si>
    <t>CO(mg/m3)</t>
  </si>
  <si>
    <t>GOOD</t>
  </si>
  <si>
    <t>SATISFACTORY</t>
  </si>
  <si>
    <t>MODERATE</t>
  </si>
  <si>
    <t>POOR</t>
  </si>
  <si>
    <t>VERY POOR</t>
  </si>
  <si>
    <t>SEVERE</t>
  </si>
  <si>
    <t>430+</t>
  </si>
  <si>
    <t>250+</t>
  </si>
  <si>
    <t>400+</t>
  </si>
  <si>
    <t>748+</t>
  </si>
  <si>
    <t>34+</t>
  </si>
  <si>
    <t>1600+</t>
  </si>
  <si>
    <t>1800+</t>
  </si>
  <si>
    <t>3.5+</t>
  </si>
  <si>
    <t>Conc</t>
  </si>
  <si>
    <t>AQI</t>
  </si>
  <si>
    <t>Category</t>
  </si>
  <si>
    <t>Max aq1</t>
  </si>
  <si>
    <t>waste water</t>
  </si>
  <si>
    <t>stream</t>
  </si>
  <si>
    <t>Mixed</t>
  </si>
  <si>
    <t>flow(m3/s)</t>
  </si>
  <si>
    <t>Dissolved oxygen(mg/L)</t>
  </si>
  <si>
    <t>Temperature(°C)</t>
  </si>
  <si>
    <t>Theta</t>
  </si>
  <si>
    <t>time(days)</t>
  </si>
  <si>
    <t>kd</t>
  </si>
  <si>
    <t>kr</t>
  </si>
  <si>
    <t>Da</t>
  </si>
  <si>
    <t>L0</t>
  </si>
  <si>
    <t>BOD5 at 20°C</t>
  </si>
  <si>
    <t>tc(days)</t>
  </si>
  <si>
    <t>Dc(mg/L)</t>
  </si>
  <si>
    <t>DOc(mg/L)</t>
  </si>
  <si>
    <t>Dos (Saturated dissolved oxygen)</t>
  </si>
  <si>
    <t>D(t)(mg/L)</t>
  </si>
  <si>
    <t>DO(t)(mg/L)</t>
  </si>
  <si>
    <t>O2 consumption rate(1/day) kd,20</t>
  </si>
  <si>
    <t>O2 re aeration rate(1/day) kr,20</t>
  </si>
  <si>
    <t>(Got in another problem, so not sure about value)</t>
  </si>
  <si>
    <t>Phi(Theta for kd)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</si>
</sst>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0" xfId="0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0" xfId="0" applyFill="1" applyBorder="1"/>
    <xf numFmtId="0" fontId="0" fillId="2" borderId="0" xfId="0" applyFill="1"/>
    <xf numFmtId="0" fontId="0" fillId="2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6495</xdr:colOff>
      <xdr:row>4</xdr:row>
      <xdr:rowOff>0</xdr:rowOff>
    </xdr:from>
    <xdr:to>
      <xdr:col>13</xdr:col>
      <xdr:colOff>262385</xdr:colOff>
      <xdr:row>16</xdr:row>
      <xdr:rowOff>133863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D4CDBE-F87F-441D-ACBA-97BBAE7C4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6375" y="731520"/>
          <a:ext cx="6351890" cy="2328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365760</xdr:colOff>
      <xdr:row>10</xdr:row>
      <xdr:rowOff>91440</xdr:rowOff>
    </xdr:from>
    <xdr:to>
      <xdr:col>11</xdr:col>
      <xdr:colOff>69500</xdr:colOff>
      <xdr:row>23</xdr:row>
      <xdr:rowOff>114635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3C1E7-0C15-4418-B26C-1806DFC08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1180" y="1920240"/>
          <a:ext cx="6592220" cy="24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F5AB-A47D-4455-AF94-3543A87BE42A}">
  <dimension ref="A1:B17"/>
  <sheetViews>
    <sheetView topLeftCell="A3" workbookViewId="0">
      <selection activeCell="D23" sqref="D23"/>
    </sheetView>
  </sheetViews>
  <sheetFormatPr defaultRowHeight="14.4" x14ac:dyDescent="0.3"/>
  <cols>
    <col min="2" max="2" width="23.77734375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2</v>
      </c>
      <c r="B6" t="s">
        <v>8</v>
      </c>
    </row>
    <row r="9" spans="1:2" x14ac:dyDescent="0.3">
      <c r="A9" t="s">
        <v>7</v>
      </c>
      <c r="B9">
        <f>IF(B6="A",213,IF(B6="B",156,IF(B6="C",104,IF(B6="D",68,IF(B6="E",50.5,34)))))</f>
        <v>156</v>
      </c>
    </row>
    <row r="10" spans="1:2" x14ac:dyDescent="0.3">
      <c r="A10" t="s">
        <v>9</v>
      </c>
      <c r="B10">
        <f>IF(B1&lt;1,IF(B6="A",440.8,IF(B6="B",106.6,IF(B6="C",61,IF(B6="D",33.2,IF(B6="E",22.8,14.35))))),IF(B6="A",459.7,IF(B6="B",108.2,IF(B6="C",61,IF(B6="D",44.5,IF(B6="E",55.4,62.6))))))</f>
        <v>108.2</v>
      </c>
    </row>
    <row r="11" spans="1:2" x14ac:dyDescent="0.3">
      <c r="A11" t="s">
        <v>10</v>
      </c>
      <c r="B11">
        <f>IF(B1&lt;1,IF(B6="A",1.941,IF(B6="B",1.149,IF(B6="C",0.911,IF(B6="D",0.725,IF(B6="E",0.678,0.74))))),IF(B6="A",2.094,IF(B6="B",1.098,IF(B6="C",0.911,IF(B6="D",0.516,IF(B6="E",0.305,0.18))))))</f>
        <v>1.0980000000000001</v>
      </c>
    </row>
    <row r="12" spans="1:2" x14ac:dyDescent="0.3">
      <c r="A12" t="s">
        <v>11</v>
      </c>
      <c r="B12">
        <f>IF(B1&lt;1,IF(B6="A",9.27,IF(B6="B",3.3,IF(B6="C",0,IF(B6="D",-1.7,IF(B6="E",-1.3,-0.35))))),IF(B6="A",-9.6,IF(B6="B",2,IF(B6="C",0,IF(B6="D",-13,IF(B6="E",-34,-48.6))))))</f>
        <v>2</v>
      </c>
    </row>
    <row r="14" spans="1:2" x14ac:dyDescent="0.3">
      <c r="A14" t="s">
        <v>12</v>
      </c>
      <c r="B14">
        <f>B9*POWER(B1,0.894)</f>
        <v>156</v>
      </c>
    </row>
    <row r="15" spans="1:2" x14ac:dyDescent="0.3">
      <c r="A15" t="s">
        <v>13</v>
      </c>
      <c r="B15">
        <f>B10*POWER(B1,B11)+B12</f>
        <v>110.2</v>
      </c>
    </row>
    <row r="17" spans="1:2" x14ac:dyDescent="0.3">
      <c r="A17" t="s">
        <v>6</v>
      </c>
      <c r="B17">
        <f>(B3/(PI()*B14*B15*B4))*EXP(-B2*B2/(2*B14*B14))*EXP(-B5*B5/(2*B15*B15))</f>
        <v>1.8514719233770468E-5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6291-1D40-4928-AB06-F862196C4BB1}">
  <dimension ref="A1:K24"/>
  <sheetViews>
    <sheetView zoomScaleNormal="100" workbookViewId="0">
      <selection activeCell="D10" sqref="D10"/>
    </sheetView>
  </sheetViews>
  <sheetFormatPr defaultRowHeight="14.4" x14ac:dyDescent="0.3"/>
  <cols>
    <col min="1" max="1" width="27.77734375" customWidth="1"/>
    <col min="4" max="4" width="27" customWidth="1"/>
    <col min="7" max="7" width="26.5546875" customWidth="1"/>
    <col min="10" max="10" width="26.6640625" customWidth="1"/>
  </cols>
  <sheetData>
    <row r="1" spans="1:11" ht="15" thickBot="1" x14ac:dyDescent="0.35">
      <c r="A1" s="17" t="s">
        <v>20</v>
      </c>
      <c r="B1" s="18"/>
      <c r="D1" s="17" t="s">
        <v>25</v>
      </c>
      <c r="E1" s="18"/>
      <c r="G1" s="17" t="s">
        <v>28</v>
      </c>
      <c r="H1" s="18"/>
      <c r="J1" s="17" t="s">
        <v>33</v>
      </c>
      <c r="K1" s="18"/>
    </row>
    <row r="2" spans="1:11" x14ac:dyDescent="0.3">
      <c r="A2" s="1" t="s">
        <v>14</v>
      </c>
      <c r="B2" s="2"/>
      <c r="D2" s="1" t="s">
        <v>14</v>
      </c>
      <c r="E2" s="2"/>
      <c r="G2" s="1" t="s">
        <v>14</v>
      </c>
      <c r="H2" s="2">
        <v>1</v>
      </c>
      <c r="J2" s="1" t="s">
        <v>30</v>
      </c>
      <c r="K2" s="2"/>
    </row>
    <row r="3" spans="1:11" x14ac:dyDescent="0.3">
      <c r="A3" s="1" t="s">
        <v>15</v>
      </c>
      <c r="B3" s="2"/>
      <c r="D3" s="1" t="s">
        <v>21</v>
      </c>
      <c r="E3" s="2"/>
      <c r="G3" s="1" t="s">
        <v>26</v>
      </c>
      <c r="H3" s="2">
        <v>1</v>
      </c>
      <c r="J3" s="1" t="s">
        <v>31</v>
      </c>
      <c r="K3" s="2"/>
    </row>
    <row r="4" spans="1:11" x14ac:dyDescent="0.3">
      <c r="A4" s="1" t="s">
        <v>16</v>
      </c>
      <c r="B4" s="2"/>
      <c r="D4" s="1" t="s">
        <v>22</v>
      </c>
      <c r="E4" s="2"/>
      <c r="G4" s="1" t="s">
        <v>27</v>
      </c>
      <c r="H4" s="2">
        <v>1</v>
      </c>
      <c r="J4" s="1" t="s">
        <v>32</v>
      </c>
      <c r="K4" s="2"/>
    </row>
    <row r="5" spans="1:11" x14ac:dyDescent="0.3">
      <c r="A5" s="1" t="s">
        <v>17</v>
      </c>
      <c r="B5" s="2"/>
      <c r="D5" s="1" t="s">
        <v>23</v>
      </c>
      <c r="E5" s="2"/>
      <c r="G5" s="1" t="s">
        <v>22</v>
      </c>
      <c r="H5" s="2">
        <v>1</v>
      </c>
      <c r="J5" s="1" t="s">
        <v>16</v>
      </c>
      <c r="K5" s="2"/>
    </row>
    <row r="6" spans="1:11" x14ac:dyDescent="0.3">
      <c r="A6" s="1" t="s">
        <v>18</v>
      </c>
      <c r="B6" s="2">
        <v>1</v>
      </c>
      <c r="D6" s="1" t="s">
        <v>17</v>
      </c>
      <c r="E6" s="2"/>
      <c r="G6" s="1" t="s">
        <v>23</v>
      </c>
      <c r="H6" s="2">
        <v>1</v>
      </c>
      <c r="J6" s="1" t="s">
        <v>17</v>
      </c>
      <c r="K6" s="2"/>
    </row>
    <row r="7" spans="1:11" x14ac:dyDescent="0.3">
      <c r="A7" s="1" t="s">
        <v>19</v>
      </c>
      <c r="B7" s="2">
        <v>1</v>
      </c>
      <c r="D7" s="1" t="s">
        <v>18</v>
      </c>
      <c r="E7" s="2">
        <v>1</v>
      </c>
      <c r="G7" s="1" t="s">
        <v>17</v>
      </c>
      <c r="H7" s="2">
        <v>1</v>
      </c>
      <c r="J7" s="1" t="s">
        <v>18</v>
      </c>
      <c r="K7" s="2">
        <v>1</v>
      </c>
    </row>
    <row r="8" spans="1:11" ht="15" thickBot="1" x14ac:dyDescent="0.35">
      <c r="A8" s="3" t="s">
        <v>24</v>
      </c>
      <c r="B8" s="4">
        <f>B2*B3*B4*B5/(B6*B7)</f>
        <v>0</v>
      </c>
      <c r="D8" s="1" t="s">
        <v>19</v>
      </c>
      <c r="E8" s="2">
        <v>1</v>
      </c>
      <c r="G8" s="1" t="s">
        <v>18</v>
      </c>
      <c r="H8" s="2">
        <v>1</v>
      </c>
      <c r="J8" s="1" t="s">
        <v>19</v>
      </c>
      <c r="K8" s="2">
        <v>1</v>
      </c>
    </row>
    <row r="9" spans="1:11" ht="15" thickBot="1" x14ac:dyDescent="0.35">
      <c r="D9" s="3" t="s">
        <v>24</v>
      </c>
      <c r="E9" s="4">
        <f>E2*E3*E4*E5*E6/(E7*E8)</f>
        <v>0</v>
      </c>
      <c r="G9" s="1" t="s">
        <v>19</v>
      </c>
      <c r="H9" s="2">
        <v>1</v>
      </c>
      <c r="J9" s="3" t="s">
        <v>24</v>
      </c>
      <c r="K9" s="4">
        <f>0.000001*K2*K3*K4*K5*K6/(K7*K8)</f>
        <v>0</v>
      </c>
    </row>
    <row r="10" spans="1:11" ht="15" thickBot="1" x14ac:dyDescent="0.35">
      <c r="G10" s="3" t="s">
        <v>29</v>
      </c>
      <c r="H10" s="4">
        <f>0.001*H2*H3*H4*H5*H6*H7/(H8*H9)</f>
        <v>1E-3</v>
      </c>
    </row>
    <row r="13" spans="1:11" ht="15" thickBot="1" x14ac:dyDescent="0.35"/>
    <row r="14" spans="1:11" ht="15" thickBot="1" x14ac:dyDescent="0.35">
      <c r="A14" s="17" t="s">
        <v>38</v>
      </c>
      <c r="B14" s="18"/>
      <c r="D14" s="17" t="s">
        <v>43</v>
      </c>
      <c r="E14" s="18"/>
      <c r="G14" s="17" t="s">
        <v>46</v>
      </c>
      <c r="H14" s="18"/>
    </row>
    <row r="15" spans="1:11" x14ac:dyDescent="0.3">
      <c r="A15" s="1" t="s">
        <v>30</v>
      </c>
      <c r="B15" s="2">
        <v>1</v>
      </c>
      <c r="D15" s="1" t="s">
        <v>39</v>
      </c>
      <c r="E15" s="2">
        <f>10*0.001</f>
        <v>0.01</v>
      </c>
      <c r="G15" s="1" t="s">
        <v>44</v>
      </c>
      <c r="H15" s="2"/>
    </row>
    <row r="16" spans="1:11" x14ac:dyDescent="0.3">
      <c r="A16" s="1" t="s">
        <v>26</v>
      </c>
      <c r="B16" s="2">
        <v>1</v>
      </c>
      <c r="D16" s="1" t="s">
        <v>40</v>
      </c>
      <c r="E16" s="2">
        <v>0.63300000000000001</v>
      </c>
      <c r="G16" s="1" t="s">
        <v>32</v>
      </c>
      <c r="H16" s="2"/>
    </row>
    <row r="17" spans="1:8" x14ac:dyDescent="0.3">
      <c r="A17" s="1" t="s">
        <v>34</v>
      </c>
      <c r="B17" s="2">
        <v>1</v>
      </c>
      <c r="D17" s="1" t="s">
        <v>22</v>
      </c>
      <c r="E17" s="2">
        <v>24</v>
      </c>
      <c r="G17" s="1" t="s">
        <v>45</v>
      </c>
      <c r="H17" s="2"/>
    </row>
    <row r="18" spans="1:8" x14ac:dyDescent="0.3">
      <c r="A18" s="5" t="s">
        <v>35</v>
      </c>
      <c r="B18" s="2">
        <v>1</v>
      </c>
      <c r="D18" s="1" t="s">
        <v>41</v>
      </c>
      <c r="E18" s="2">
        <v>365</v>
      </c>
      <c r="G18" s="1" t="s">
        <v>17</v>
      </c>
      <c r="H18" s="2"/>
    </row>
    <row r="19" spans="1:8" x14ac:dyDescent="0.3">
      <c r="A19" s="5" t="s">
        <v>37</v>
      </c>
      <c r="B19" s="2">
        <v>1</v>
      </c>
      <c r="D19" s="1" t="s">
        <v>42</v>
      </c>
      <c r="E19" s="2">
        <v>60</v>
      </c>
      <c r="G19" s="1" t="s">
        <v>18</v>
      </c>
      <c r="H19" s="2">
        <v>1</v>
      </c>
    </row>
    <row r="20" spans="1:8" x14ac:dyDescent="0.3">
      <c r="A20" s="1" t="s">
        <v>36</v>
      </c>
      <c r="B20" s="2">
        <v>1</v>
      </c>
      <c r="D20" s="1" t="s">
        <v>18</v>
      </c>
      <c r="E20" s="2">
        <v>78</v>
      </c>
      <c r="G20" s="1" t="s">
        <v>19</v>
      </c>
      <c r="H20" s="2">
        <v>1</v>
      </c>
    </row>
    <row r="21" spans="1:8" ht="15" thickBot="1" x14ac:dyDescent="0.35">
      <c r="A21" s="1" t="s">
        <v>17</v>
      </c>
      <c r="B21" s="2">
        <v>1</v>
      </c>
      <c r="D21" s="1" t="s">
        <v>19</v>
      </c>
      <c r="E21" s="2">
        <f>75*365</f>
        <v>27375</v>
      </c>
      <c r="G21" s="3" t="s">
        <v>24</v>
      </c>
      <c r="H21" s="4">
        <f>0.000001*H15*H16*H17*H18/(H19*H20)</f>
        <v>0</v>
      </c>
    </row>
    <row r="22" spans="1:8" ht="15" thickBot="1" x14ac:dyDescent="0.35">
      <c r="A22" s="1" t="s">
        <v>18</v>
      </c>
      <c r="B22" s="2">
        <v>1</v>
      </c>
      <c r="D22" s="3" t="s">
        <v>24</v>
      </c>
      <c r="E22" s="4">
        <f>E15*E16*E17*E18*E19/(E20*E21)</f>
        <v>1.5581538461538463E-3</v>
      </c>
    </row>
    <row r="23" spans="1:8" x14ac:dyDescent="0.3">
      <c r="A23" s="1" t="s">
        <v>19</v>
      </c>
      <c r="B23" s="2">
        <v>1</v>
      </c>
    </row>
    <row r="24" spans="1:8" ht="15" thickBot="1" x14ac:dyDescent="0.35">
      <c r="A24" s="3" t="s">
        <v>29</v>
      </c>
      <c r="B24" s="4">
        <f>0.000001*B15*B16*B17*B18*B19*B20*B21/(B22*B23)</f>
        <v>9.9999999999999995E-7</v>
      </c>
    </row>
  </sheetData>
  <mergeCells count="7">
    <mergeCell ref="A1:B1"/>
    <mergeCell ref="D1:E1"/>
    <mergeCell ref="G1:H1"/>
    <mergeCell ref="J1:K1"/>
    <mergeCell ref="A14:B14"/>
    <mergeCell ref="D14:E14"/>
    <mergeCell ref="G14:H1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62B-90A9-4743-B25E-BF176907FED4}">
  <dimension ref="A1:R11"/>
  <sheetViews>
    <sheetView workbookViewId="0">
      <selection activeCell="D12" sqref="D12"/>
    </sheetView>
  </sheetViews>
  <sheetFormatPr defaultRowHeight="14.4" x14ac:dyDescent="0.3"/>
  <cols>
    <col min="1" max="1" width="15" customWidth="1"/>
    <col min="3" max="3" width="15.77734375" customWidth="1"/>
    <col min="4" max="4" width="18.33203125" customWidth="1"/>
  </cols>
  <sheetData>
    <row r="1" spans="1:18" x14ac:dyDescent="0.3">
      <c r="B1" t="s">
        <v>69</v>
      </c>
      <c r="C1" t="s">
        <v>71</v>
      </c>
      <c r="D1" t="s">
        <v>70</v>
      </c>
      <c r="H1" s="19" t="s">
        <v>55</v>
      </c>
      <c r="I1" s="19"/>
      <c r="J1" s="19" t="s">
        <v>56</v>
      </c>
      <c r="K1" s="19"/>
      <c r="L1" s="19" t="s">
        <v>57</v>
      </c>
      <c r="M1" s="19"/>
      <c r="N1" s="19" t="s">
        <v>58</v>
      </c>
      <c r="O1" s="19"/>
      <c r="P1" s="19" t="s">
        <v>59</v>
      </c>
      <c r="Q1" s="19"/>
      <c r="R1" t="s">
        <v>60</v>
      </c>
    </row>
    <row r="2" spans="1:18" x14ac:dyDescent="0.3">
      <c r="A2" t="s">
        <v>47</v>
      </c>
      <c r="B2">
        <v>294</v>
      </c>
      <c r="C2" t="str">
        <f>IF(B2&lt;=I2,"Good",IF(B2&lt;=K2,"Satisfactory",IF(B2&lt;=M2,"Moderate",IF(B2&lt;=O2,"Poor", IF(B2&lt;=Q2,"Very Poor","Severe")))))</f>
        <v>Poor</v>
      </c>
      <c r="D2">
        <f>IF(C2="Good",(50-0)*(B2-H2)/(I2-H2)+0, IF(C2="Satisfactory",(100-51)*(B2-J2)/(K2-J2)+51, IF(C2="Moderate",(200-101)*(B2-L2)/(M2-L2)+101,  IF(C2="Poor",(300-201)*(B2-N2)/(O2-N2)+201,  IF(C2="Very Poor",(400-301)*(B2-P2)/(Q2-P2)+301,"Severe, cant calculate")))))</f>
        <v>244</v>
      </c>
      <c r="H2">
        <v>0</v>
      </c>
      <c r="I2">
        <v>50</v>
      </c>
      <c r="J2">
        <v>51</v>
      </c>
      <c r="K2">
        <v>100</v>
      </c>
      <c r="L2">
        <v>101</v>
      </c>
      <c r="M2">
        <v>250</v>
      </c>
      <c r="N2">
        <v>251</v>
      </c>
      <c r="O2">
        <v>350</v>
      </c>
      <c r="P2" s="6">
        <v>351</v>
      </c>
      <c r="Q2" s="6">
        <v>430</v>
      </c>
      <c r="R2" s="6" t="s">
        <v>61</v>
      </c>
    </row>
    <row r="3" spans="1:18" x14ac:dyDescent="0.3">
      <c r="A3" t="s">
        <v>48</v>
      </c>
      <c r="B3">
        <v>135</v>
      </c>
      <c r="C3" t="str">
        <f t="shared" ref="C3:C9" si="0">IF(B3&lt;=I3,"Good",IF(B3&lt;=K3,"Satisfactory",IF(B3&lt;=M3,"Moderate",IF(B3&lt;=O3,"Poor", IF(B3&lt;=Q3,"Very Poor","Severe")))))</f>
        <v>Very Poor</v>
      </c>
      <c r="D3">
        <f>IF(C3="Good",(50-0)*(B3-H3)/(I3-H3)+0, IF(C3="Satisfactory",(100-51)*(B3-J3)/(K3-J3)+51, IF(C3="Moderate",(200-101)*(B3-L3)/(M3-L3)+101,  IF(C3="Poor",(300-201)*(B3-N3)/(O3-N3)+201,  IF(C3="Very Poor",(400-301)*(B3-P3)/(Q3-P3)+301,"Severe, cant calculate")))))</f>
        <v>311.74418604651163</v>
      </c>
      <c r="H3">
        <v>0</v>
      </c>
      <c r="I3">
        <v>30</v>
      </c>
      <c r="J3">
        <v>31</v>
      </c>
      <c r="K3">
        <v>60</v>
      </c>
      <c r="L3">
        <v>61</v>
      </c>
      <c r="M3">
        <v>90</v>
      </c>
      <c r="N3">
        <v>91</v>
      </c>
      <c r="O3">
        <v>120</v>
      </c>
      <c r="P3" s="6">
        <v>121</v>
      </c>
      <c r="Q3" s="6">
        <v>250</v>
      </c>
      <c r="R3" s="6" t="s">
        <v>62</v>
      </c>
    </row>
    <row r="4" spans="1:18" x14ac:dyDescent="0.3">
      <c r="A4" t="s">
        <v>49</v>
      </c>
      <c r="B4">
        <v>45</v>
      </c>
      <c r="C4" t="str">
        <f t="shared" si="0"/>
        <v>Satisfactory</v>
      </c>
      <c r="D4">
        <f t="shared" ref="D4:D9" si="1">IF(C4="Good",(50-0)*(B4-H4)/(I4-H4)+0, IF(C4="Satisfactory",(100-51)*(B4-J4)/(K4-J4)+51, IF(C4="Moderate",(200-101)*(B4-L4)/(M4-L4)+101,  IF(C4="Poor",(300-201)*(B4-N4)/(O4-N4)+201,  IF(C4="Very Poor",(400-301)*(B4-P4)/(Q4-P4)+301,"Severe, cant calculate")))))</f>
        <v>56.025641025641022</v>
      </c>
      <c r="H4">
        <v>0</v>
      </c>
      <c r="I4">
        <v>40</v>
      </c>
      <c r="J4">
        <v>41</v>
      </c>
      <c r="K4">
        <v>80</v>
      </c>
      <c r="L4">
        <v>81</v>
      </c>
      <c r="M4">
        <v>180</v>
      </c>
      <c r="N4">
        <v>181</v>
      </c>
      <c r="O4">
        <v>280</v>
      </c>
      <c r="P4" s="6">
        <v>280</v>
      </c>
      <c r="Q4" s="6">
        <v>400</v>
      </c>
      <c r="R4" s="6" t="s">
        <v>63</v>
      </c>
    </row>
    <row r="5" spans="1:18" x14ac:dyDescent="0.3">
      <c r="A5" t="s">
        <v>50</v>
      </c>
      <c r="C5" t="str">
        <f t="shared" si="0"/>
        <v>Good</v>
      </c>
      <c r="D5">
        <f t="shared" si="1"/>
        <v>0</v>
      </c>
      <c r="H5">
        <v>0</v>
      </c>
      <c r="I5">
        <v>50</v>
      </c>
      <c r="J5">
        <v>51</v>
      </c>
      <c r="K5">
        <v>100</v>
      </c>
      <c r="L5">
        <v>101</v>
      </c>
      <c r="M5">
        <v>168</v>
      </c>
      <c r="N5">
        <v>169</v>
      </c>
      <c r="O5">
        <v>208</v>
      </c>
      <c r="P5" s="6">
        <v>209</v>
      </c>
      <c r="Q5" s="6">
        <v>748</v>
      </c>
      <c r="R5" s="6" t="s">
        <v>64</v>
      </c>
    </row>
    <row r="6" spans="1:18" x14ac:dyDescent="0.3">
      <c r="A6" t="s">
        <v>54</v>
      </c>
      <c r="C6" t="str">
        <f t="shared" si="0"/>
        <v>Good</v>
      </c>
      <c r="D6">
        <f t="shared" si="1"/>
        <v>0</v>
      </c>
      <c r="H6">
        <v>0</v>
      </c>
      <c r="I6">
        <v>1</v>
      </c>
      <c r="J6">
        <v>1.1000000000000001</v>
      </c>
      <c r="K6">
        <v>2</v>
      </c>
      <c r="L6">
        <v>2.1</v>
      </c>
      <c r="M6">
        <v>10</v>
      </c>
      <c r="N6">
        <v>10.1</v>
      </c>
      <c r="O6">
        <v>17</v>
      </c>
      <c r="P6" s="6">
        <v>17.100000000000001</v>
      </c>
      <c r="Q6" s="6">
        <v>34</v>
      </c>
      <c r="R6" s="6" t="s">
        <v>65</v>
      </c>
    </row>
    <row r="7" spans="1:18" x14ac:dyDescent="0.3">
      <c r="A7" t="s">
        <v>51</v>
      </c>
      <c r="B7">
        <v>20</v>
      </c>
      <c r="C7" t="str">
        <f t="shared" si="0"/>
        <v>Good</v>
      </c>
      <c r="D7">
        <f t="shared" si="1"/>
        <v>25</v>
      </c>
      <c r="H7">
        <v>0</v>
      </c>
      <c r="I7">
        <v>40</v>
      </c>
      <c r="J7">
        <v>41</v>
      </c>
      <c r="K7">
        <v>80</v>
      </c>
      <c r="L7">
        <v>81</v>
      </c>
      <c r="M7">
        <v>380</v>
      </c>
      <c r="N7">
        <v>381</v>
      </c>
      <c r="O7">
        <v>800</v>
      </c>
      <c r="P7" s="6">
        <v>801</v>
      </c>
      <c r="Q7" s="6">
        <v>1600</v>
      </c>
      <c r="R7" s="6" t="s">
        <v>66</v>
      </c>
    </row>
    <row r="8" spans="1:18" x14ac:dyDescent="0.3">
      <c r="A8" t="s">
        <v>52</v>
      </c>
      <c r="C8" t="str">
        <f t="shared" si="0"/>
        <v>Good</v>
      </c>
      <c r="D8">
        <f t="shared" si="1"/>
        <v>0</v>
      </c>
      <c r="H8">
        <v>0</v>
      </c>
      <c r="I8">
        <v>200</v>
      </c>
      <c r="J8">
        <v>201</v>
      </c>
      <c r="K8">
        <v>400</v>
      </c>
      <c r="L8">
        <v>401</v>
      </c>
      <c r="M8">
        <v>800</v>
      </c>
      <c r="N8">
        <v>801</v>
      </c>
      <c r="O8">
        <v>1200</v>
      </c>
      <c r="P8" s="6">
        <v>1201</v>
      </c>
      <c r="Q8" s="6">
        <v>1800</v>
      </c>
      <c r="R8" s="6" t="s">
        <v>67</v>
      </c>
    </row>
    <row r="9" spans="1:18" x14ac:dyDescent="0.3">
      <c r="A9" t="s">
        <v>53</v>
      </c>
      <c r="C9" t="str">
        <f t="shared" si="0"/>
        <v>Good</v>
      </c>
      <c r="D9">
        <f t="shared" si="1"/>
        <v>0</v>
      </c>
      <c r="H9">
        <v>0</v>
      </c>
      <c r="I9">
        <v>0.5</v>
      </c>
      <c r="J9">
        <v>0.6</v>
      </c>
      <c r="K9">
        <v>1</v>
      </c>
      <c r="L9">
        <v>1.1000000000000001</v>
      </c>
      <c r="M9">
        <v>2</v>
      </c>
      <c r="N9">
        <v>2.1</v>
      </c>
      <c r="O9">
        <v>3</v>
      </c>
      <c r="P9" s="6">
        <v>3.1</v>
      </c>
      <c r="Q9" s="6">
        <v>3.5</v>
      </c>
      <c r="R9" s="6" t="s">
        <v>68</v>
      </c>
    </row>
    <row r="11" spans="1:18" x14ac:dyDescent="0.3">
      <c r="C11" t="s">
        <v>72</v>
      </c>
      <c r="D11">
        <f>MAX(D2:D9)</f>
        <v>311.74418604651163</v>
      </c>
    </row>
  </sheetData>
  <mergeCells count="5">
    <mergeCell ref="N1:O1"/>
    <mergeCell ref="P1:Q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248C-F952-481B-9684-2D542004C85F}">
  <dimension ref="A1:I22"/>
  <sheetViews>
    <sheetView tabSelected="1" workbookViewId="0">
      <selection activeCell="B12" sqref="B12"/>
    </sheetView>
  </sheetViews>
  <sheetFormatPr defaultRowHeight="14.4" x14ac:dyDescent="0.3"/>
  <cols>
    <col min="1" max="1" width="32.109375" customWidth="1"/>
    <col min="2" max="2" width="18" customWidth="1"/>
    <col min="4" max="4" width="17.77734375" customWidth="1"/>
    <col min="7" max="7" width="14.44140625" customWidth="1"/>
    <col min="9" max="9" width="41.5546875" customWidth="1"/>
  </cols>
  <sheetData>
    <row r="1" spans="1:9" x14ac:dyDescent="0.3">
      <c r="A1" s="7"/>
      <c r="B1" s="8" t="s">
        <v>73</v>
      </c>
      <c r="C1" s="9" t="s">
        <v>74</v>
      </c>
      <c r="D1" t="s">
        <v>75</v>
      </c>
    </row>
    <row r="2" spans="1:9" x14ac:dyDescent="0.3">
      <c r="A2" s="10" t="s">
        <v>76</v>
      </c>
      <c r="B2" s="13">
        <v>0.7</v>
      </c>
      <c r="C2" s="14">
        <v>3.8</v>
      </c>
      <c r="D2">
        <f>B2+C2</f>
        <v>4.5</v>
      </c>
    </row>
    <row r="3" spans="1:9" x14ac:dyDescent="0.3">
      <c r="A3" s="10" t="s">
        <v>77</v>
      </c>
      <c r="B3" s="13">
        <v>1</v>
      </c>
      <c r="C3" s="14">
        <v>8</v>
      </c>
      <c r="D3">
        <f>(B3*$B$2+C3*$C$2)/$D$2</f>
        <v>6.9111111111111105</v>
      </c>
    </row>
    <row r="4" spans="1:9" x14ac:dyDescent="0.3">
      <c r="A4" s="10" t="s">
        <v>78</v>
      </c>
      <c r="B4" s="13">
        <v>20</v>
      </c>
      <c r="C4" s="14">
        <v>20</v>
      </c>
      <c r="D4">
        <f>(B4*$B$2+C4*$C$2)/$D$2</f>
        <v>20</v>
      </c>
    </row>
    <row r="5" spans="1:9" x14ac:dyDescent="0.3">
      <c r="A5" s="11" t="s">
        <v>85</v>
      </c>
      <c r="B5" s="15">
        <v>171</v>
      </c>
      <c r="C5" s="16">
        <v>2.2000000000000002</v>
      </c>
      <c r="D5">
        <f>(B5*$B$2+C5*$C$2)/$D$2</f>
        <v>28.457777777777778</v>
      </c>
    </row>
    <row r="6" spans="1:9" x14ac:dyDescent="0.3">
      <c r="A6" s="12"/>
      <c r="G6" t="s">
        <v>79</v>
      </c>
      <c r="H6">
        <v>1.024</v>
      </c>
    </row>
    <row r="7" spans="1:9" x14ac:dyDescent="0.3">
      <c r="A7" t="s">
        <v>92</v>
      </c>
      <c r="B7" s="13">
        <v>0.2</v>
      </c>
      <c r="G7" t="s">
        <v>95</v>
      </c>
      <c r="H7">
        <v>1.135</v>
      </c>
      <c r="I7" t="s">
        <v>94</v>
      </c>
    </row>
    <row r="8" spans="1:9" x14ac:dyDescent="0.3">
      <c r="A8" t="s">
        <v>93</v>
      </c>
      <c r="B8" s="13">
        <v>0</v>
      </c>
    </row>
    <row r="9" spans="1:9" x14ac:dyDescent="0.3">
      <c r="A9" t="s">
        <v>80</v>
      </c>
      <c r="B9" s="13">
        <v>2</v>
      </c>
    </row>
    <row r="10" spans="1:9" x14ac:dyDescent="0.3">
      <c r="A10" t="s">
        <v>89</v>
      </c>
      <c r="B10" s="13">
        <v>9.17</v>
      </c>
    </row>
    <row r="12" spans="1:9" x14ac:dyDescent="0.3">
      <c r="A12" t="s">
        <v>84</v>
      </c>
      <c r="B12">
        <f>D5/(1-EXP(-B13*5))</f>
        <v>45.01954157370799</v>
      </c>
    </row>
    <row r="13" spans="1:9" x14ac:dyDescent="0.3">
      <c r="A13" t="s">
        <v>81</v>
      </c>
      <c r="B13">
        <f>B7*$H$7^($D$4-20)</f>
        <v>0.2</v>
      </c>
    </row>
    <row r="14" spans="1:9" x14ac:dyDescent="0.3">
      <c r="A14" t="s">
        <v>82</v>
      </c>
      <c r="B14">
        <f>B8*$H$6^($D$4-20)</f>
        <v>0</v>
      </c>
    </row>
    <row r="15" spans="1:9" x14ac:dyDescent="0.3">
      <c r="A15" t="s">
        <v>83</v>
      </c>
      <c r="B15">
        <f>B10-D3</f>
        <v>2.2588888888888894</v>
      </c>
    </row>
    <row r="17" spans="1:2" x14ac:dyDescent="0.3">
      <c r="A17" t="s">
        <v>90</v>
      </c>
      <c r="B17">
        <f>((B13*B12)/(B14-B13))*(EXP(-B13*B9)-EXP(-B14*B9))+B15*EXP(-B14*B9)</f>
        <v>17.100929282405559</v>
      </c>
    </row>
    <row r="18" spans="1:2" x14ac:dyDescent="0.3">
      <c r="A18" t="s">
        <v>91</v>
      </c>
      <c r="B18">
        <f>B10-B17</f>
        <v>-7.9309292824055593</v>
      </c>
    </row>
    <row r="20" spans="1:2" x14ac:dyDescent="0.3">
      <c r="A20" t="s">
        <v>86</v>
      </c>
      <c r="B20" t="e">
        <f>(1/(B14-B13))*LOG((B14/B13)*(1-B15*(B14-B13)/(B13*B12)),EXP(1))</f>
        <v>#NUM!</v>
      </c>
    </row>
    <row r="21" spans="1:2" x14ac:dyDescent="0.3">
      <c r="A21" t="s">
        <v>87</v>
      </c>
      <c r="B21" t="e">
        <f>((B13*B12)/(B14-B13))*(EXP(-B13*B20)-EXP(-B14*B20))+B15*EXP(-B14*B20)</f>
        <v>#NUM!</v>
      </c>
    </row>
    <row r="22" spans="1:2" x14ac:dyDescent="0.3">
      <c r="A22" t="s">
        <v>88</v>
      </c>
      <c r="B22" t="e">
        <f>B10-B21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plume</vt:lpstr>
      <vt:lpstr>risk</vt:lpstr>
      <vt:lpstr>aqi</vt:lpstr>
      <vt:lpstr>oxygen 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Harshit Mawandia</cp:lastModifiedBy>
  <dcterms:created xsi:type="dcterms:W3CDTF">2021-09-20T14:08:42Z</dcterms:created>
  <dcterms:modified xsi:type="dcterms:W3CDTF">2021-11-21T06:07:16Z</dcterms:modified>
</cp:coreProperties>
</file>