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forces\"/>
    </mc:Choice>
  </mc:AlternateContent>
  <xr:revisionPtr revIDLastSave="0" documentId="13_ncr:1_{186593C7-D578-49E1-BB57-432D1D4A872B}" xr6:coauthVersionLast="47" xr6:coauthVersionMax="47" xr10:uidLastSave="{00000000-0000-0000-0000-000000000000}"/>
  <bookViews>
    <workbookView xWindow="-110" yWindow="-110" windowWidth="19420" windowHeight="10300" xr2:uid="{6C54927D-AA71-406E-B84E-E8CF532E1A5D}"/>
  </bookViews>
  <sheets>
    <sheet name="Questions" sheetId="1" r:id="rId1"/>
    <sheet name="Performanc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" i="2" l="1"/>
  <c r="B2" i="2"/>
  <c r="F146" i="1"/>
  <c r="G130" i="1"/>
  <c r="G129" i="1"/>
  <c r="G128" i="1"/>
  <c r="G127" i="1"/>
  <c r="G126" i="1"/>
  <c r="G125" i="1"/>
  <c r="G124" i="1"/>
  <c r="G123" i="1"/>
  <c r="G122" i="1"/>
  <c r="G121" i="1"/>
  <c r="G120" i="1"/>
  <c r="F142" i="1"/>
  <c r="F141" i="1"/>
  <c r="G118" i="1"/>
  <c r="G117" i="1"/>
  <c r="G116" i="1"/>
  <c r="G115" i="1"/>
  <c r="G114" i="1"/>
  <c r="G113" i="1"/>
  <c r="F131" i="1"/>
  <c r="G111" i="1"/>
  <c r="G110" i="1"/>
  <c r="G109" i="1"/>
  <c r="G108" i="1"/>
  <c r="G107" i="1"/>
  <c r="G106" i="1"/>
  <c r="F123" i="1"/>
  <c r="G104" i="1"/>
  <c r="G103" i="1"/>
  <c r="G102" i="1"/>
  <c r="G101" i="1"/>
  <c r="G100" i="1"/>
  <c r="G99" i="1"/>
  <c r="F116" i="1"/>
  <c r="G98" i="1"/>
  <c r="F111" i="1"/>
  <c r="G95" i="1"/>
  <c r="G93" i="1"/>
  <c r="G91" i="1"/>
  <c r="G90" i="1"/>
  <c r="G89" i="1"/>
  <c r="G88" i="1"/>
  <c r="G86" i="1"/>
  <c r="G85" i="1"/>
  <c r="G84" i="1"/>
  <c r="G83" i="1"/>
  <c r="G82" i="1"/>
  <c r="G81" i="1"/>
  <c r="G80" i="1"/>
  <c r="F93" i="1"/>
  <c r="F92" i="1"/>
  <c r="G79" i="1"/>
  <c r="G78" i="1"/>
  <c r="G77" i="1"/>
  <c r="G76" i="1"/>
  <c r="G75" i="1"/>
  <c r="G74" i="1"/>
  <c r="G73" i="1"/>
  <c r="G72" i="1"/>
  <c r="G71" i="1"/>
  <c r="G69" i="1"/>
  <c r="F76" i="1"/>
  <c r="G65" i="1"/>
  <c r="G64" i="1"/>
  <c r="G63" i="1"/>
  <c r="G62" i="1"/>
  <c r="G61" i="1"/>
  <c r="G60" i="1"/>
  <c r="G59" i="1"/>
  <c r="F68" i="1"/>
  <c r="G57" i="1"/>
  <c r="G56" i="1"/>
  <c r="G54" i="1"/>
  <c r="G53" i="1"/>
  <c r="G52" i="1"/>
  <c r="G51" i="1"/>
  <c r="F57" i="1"/>
  <c r="G49" i="1"/>
  <c r="G48" i="1"/>
  <c r="G47" i="1"/>
  <c r="G46" i="1"/>
  <c r="G45" i="1"/>
  <c r="G44" i="1"/>
  <c r="G41" i="1"/>
  <c r="F46" i="1"/>
  <c r="G36" i="1"/>
  <c r="G34" i="1"/>
  <c r="G33" i="1"/>
  <c r="G32" i="1"/>
  <c r="G31" i="1"/>
  <c r="F34" i="1"/>
  <c r="G30" i="1"/>
  <c r="G29" i="1"/>
  <c r="G28" i="1"/>
  <c r="G27" i="1"/>
  <c r="G26" i="1"/>
  <c r="G25" i="1"/>
  <c r="G24" i="1"/>
  <c r="G23" i="1"/>
  <c r="F25" i="1"/>
  <c r="F24" i="1"/>
  <c r="G22" i="1"/>
  <c r="G21" i="1"/>
  <c r="G20" i="1"/>
  <c r="G19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2" i="1"/>
  <c r="G1" i="1"/>
  <c r="F135" i="1"/>
  <c r="F133" i="1"/>
  <c r="E133" i="1"/>
  <c r="E132" i="1"/>
  <c r="F130" i="1"/>
  <c r="F128" i="1"/>
  <c r="F127" i="1"/>
  <c r="F126" i="1"/>
  <c r="F125" i="1"/>
  <c r="F124" i="1"/>
  <c r="E123" i="1"/>
  <c r="F119" i="1"/>
  <c r="F118" i="1"/>
  <c r="F117" i="1"/>
  <c r="F114" i="1"/>
  <c r="F108" i="1"/>
  <c r="F106" i="1"/>
  <c r="F105" i="1"/>
  <c r="F103" i="1"/>
  <c r="F102" i="1"/>
  <c r="E100" i="1"/>
  <c r="F100" i="1"/>
  <c r="F99" i="1"/>
  <c r="F97" i="1"/>
  <c r="F96" i="1"/>
  <c r="F95" i="1"/>
  <c r="F94" i="1"/>
  <c r="E93" i="1"/>
  <c r="E92" i="1"/>
  <c r="F91" i="1"/>
  <c r="F90" i="1"/>
  <c r="F89" i="1"/>
  <c r="F86" i="1"/>
  <c r="F85" i="1"/>
  <c r="F84" i="1"/>
  <c r="F83" i="1"/>
  <c r="E83" i="1"/>
  <c r="F81" i="1"/>
  <c r="F80" i="1"/>
  <c r="F79" i="1"/>
  <c r="F78" i="1"/>
  <c r="F77" i="1"/>
  <c r="E76" i="1"/>
  <c r="F75" i="1"/>
  <c r="F74" i="1"/>
  <c r="F73" i="1"/>
  <c r="F72" i="1"/>
  <c r="F71" i="1"/>
  <c r="F70" i="1"/>
  <c r="F69" i="1"/>
  <c r="E69" i="1"/>
  <c r="F64" i="1"/>
  <c r="F61" i="1"/>
  <c r="F60" i="1"/>
  <c r="F59" i="1"/>
  <c r="F58" i="1"/>
  <c r="E59" i="1"/>
  <c r="F56" i="1"/>
  <c r="F55" i="1"/>
  <c r="F54" i="1"/>
  <c r="F53" i="1"/>
  <c r="F52" i="1"/>
  <c r="F51" i="1"/>
  <c r="F50" i="1"/>
  <c r="F48" i="1"/>
  <c r="F47" i="1"/>
  <c r="E48" i="1"/>
  <c r="F45" i="1"/>
  <c r="E45" i="1"/>
  <c r="E44" i="1"/>
  <c r="F41" i="1"/>
  <c r="F39" i="1"/>
  <c r="F38" i="1"/>
  <c r="F37" i="1"/>
  <c r="F36" i="1"/>
  <c r="F35" i="1"/>
  <c r="E35" i="1"/>
  <c r="F33" i="1"/>
  <c r="F32" i="1"/>
  <c r="F28" i="1"/>
  <c r="F27" i="1"/>
  <c r="F26" i="1"/>
  <c r="E25" i="1"/>
  <c r="E24" i="1"/>
  <c r="F23" i="1"/>
  <c r="F22" i="1"/>
  <c r="F21" i="1"/>
  <c r="F20" i="1"/>
  <c r="F19" i="1"/>
  <c r="F18" i="1"/>
  <c r="F15" i="1"/>
  <c r="F14" i="1"/>
  <c r="F11" i="1"/>
  <c r="F10" i="1"/>
  <c r="F9" i="1"/>
  <c r="E8" i="1"/>
  <c r="F7" i="1"/>
  <c r="F6" i="1"/>
  <c r="F5" i="1"/>
  <c r="F4" i="1"/>
  <c r="F3" i="1"/>
  <c r="F2" i="1"/>
  <c r="F1" i="1"/>
  <c r="E147" i="1"/>
  <c r="E146" i="1"/>
  <c r="E145" i="1"/>
  <c r="E144" i="1"/>
  <c r="E143" i="1"/>
  <c r="E142" i="1"/>
  <c r="D152" i="1"/>
  <c r="D151" i="1"/>
  <c r="D150" i="1"/>
  <c r="E138" i="1"/>
  <c r="E137" i="1"/>
  <c r="E136" i="1"/>
  <c r="E135" i="1"/>
  <c r="E134" i="1"/>
  <c r="D142" i="1"/>
  <c r="D141" i="1"/>
  <c r="E131" i="1"/>
  <c r="E130" i="1"/>
  <c r="E129" i="1"/>
  <c r="E128" i="1"/>
  <c r="E127" i="1"/>
  <c r="E126" i="1"/>
  <c r="E125" i="1"/>
  <c r="E124" i="1"/>
  <c r="E122" i="1"/>
  <c r="E121" i="1"/>
  <c r="E120" i="1"/>
  <c r="E119" i="1"/>
  <c r="E118" i="1"/>
  <c r="E117" i="1"/>
  <c r="E116" i="1"/>
  <c r="D124" i="1"/>
  <c r="E113" i="1"/>
  <c r="D120" i="1"/>
  <c r="D119" i="1"/>
  <c r="D118" i="1"/>
  <c r="E109" i="1"/>
  <c r="E108" i="1"/>
  <c r="E107" i="1"/>
  <c r="E106" i="1"/>
  <c r="E105" i="1"/>
  <c r="E104" i="1"/>
  <c r="E103" i="1"/>
  <c r="E102" i="1"/>
  <c r="E101" i="1"/>
  <c r="D107" i="1"/>
  <c r="E99" i="1"/>
  <c r="E97" i="1"/>
  <c r="E95" i="1"/>
  <c r="E94" i="1"/>
  <c r="D99" i="1"/>
  <c r="D98" i="1"/>
  <c r="D97" i="1"/>
  <c r="E91" i="1"/>
  <c r="E90" i="1"/>
  <c r="E89" i="1"/>
  <c r="E88" i="1"/>
  <c r="E86" i="1"/>
  <c r="E85" i="1"/>
  <c r="E84" i="1"/>
  <c r="D87" i="1"/>
  <c r="E81" i="1"/>
  <c r="E80" i="1"/>
  <c r="E79" i="1"/>
  <c r="E78" i="1"/>
  <c r="E77" i="1"/>
  <c r="D80" i="1"/>
  <c r="E75" i="1"/>
  <c r="E74" i="1"/>
  <c r="E73" i="1"/>
  <c r="E72" i="1"/>
  <c r="E71" i="1"/>
  <c r="E68" i="1"/>
  <c r="E65" i="1"/>
  <c r="E64" i="1"/>
  <c r="E63" i="1"/>
  <c r="E62" i="1"/>
  <c r="E61" i="1"/>
  <c r="E60" i="1"/>
  <c r="D61" i="1"/>
  <c r="E58" i="1"/>
  <c r="E57" i="1"/>
  <c r="E56" i="1"/>
  <c r="E55" i="1"/>
  <c r="E51" i="1"/>
  <c r="E50" i="1"/>
  <c r="D49" i="1"/>
  <c r="E47" i="1"/>
  <c r="E46" i="1"/>
  <c r="D46" i="1"/>
  <c r="E42" i="1"/>
  <c r="E41" i="1"/>
  <c r="E40" i="1"/>
  <c r="E39" i="1"/>
  <c r="E36" i="1"/>
  <c r="D36" i="1"/>
  <c r="E32" i="1"/>
  <c r="E31" i="1"/>
  <c r="E30" i="1"/>
  <c r="E29" i="1"/>
  <c r="E28" i="1"/>
  <c r="E27" i="1"/>
  <c r="E26" i="1"/>
  <c r="D26" i="1"/>
  <c r="D25" i="1"/>
  <c r="E23" i="1"/>
  <c r="E22" i="1"/>
  <c r="E21" i="1"/>
  <c r="E20" i="1"/>
  <c r="E19" i="1"/>
  <c r="E17" i="1"/>
  <c r="E16" i="1"/>
  <c r="E14" i="1"/>
  <c r="E13" i="1"/>
  <c r="E12" i="1"/>
  <c r="E11" i="1"/>
  <c r="E10" i="1"/>
  <c r="E9" i="1"/>
  <c r="D8" i="1"/>
  <c r="E7" i="1"/>
  <c r="E6" i="1"/>
  <c r="E5" i="1"/>
  <c r="E4" i="1"/>
  <c r="E3" i="1"/>
  <c r="E2" i="1"/>
  <c r="E1" i="1"/>
  <c r="D196" i="1"/>
  <c r="D195" i="1"/>
  <c r="D194" i="1"/>
  <c r="D193" i="1"/>
  <c r="D192" i="1"/>
  <c r="D191" i="1"/>
  <c r="D190" i="1"/>
  <c r="D188" i="1"/>
  <c r="D187" i="1"/>
  <c r="D186" i="1"/>
  <c r="D185" i="1"/>
  <c r="D184" i="1"/>
  <c r="D183" i="1"/>
  <c r="D182" i="1"/>
  <c r="D181" i="1"/>
  <c r="D180" i="1"/>
  <c r="D179" i="1"/>
  <c r="D178" i="1"/>
  <c r="D176" i="1"/>
  <c r="D175" i="1"/>
  <c r="D174" i="1"/>
  <c r="D173" i="1"/>
  <c r="D172" i="1"/>
  <c r="D171" i="1"/>
  <c r="D170" i="1"/>
  <c r="D169" i="1"/>
  <c r="D168" i="1"/>
  <c r="D167" i="1"/>
  <c r="D166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49" i="1"/>
  <c r="D148" i="1"/>
  <c r="D147" i="1"/>
  <c r="D145" i="1"/>
  <c r="D144" i="1"/>
  <c r="D143" i="1"/>
  <c r="D139" i="1"/>
  <c r="D138" i="1"/>
  <c r="D137" i="1"/>
  <c r="D136" i="1"/>
  <c r="D135" i="1"/>
  <c r="D134" i="1"/>
  <c r="D133" i="1"/>
  <c r="D131" i="1"/>
  <c r="D130" i="1"/>
  <c r="D129" i="1"/>
  <c r="D128" i="1"/>
  <c r="D127" i="1"/>
  <c r="D126" i="1"/>
  <c r="D125" i="1"/>
  <c r="D123" i="1"/>
  <c r="D122" i="1"/>
  <c r="D121" i="1"/>
  <c r="D117" i="1"/>
  <c r="D116" i="1"/>
  <c r="D115" i="1"/>
  <c r="D114" i="1"/>
  <c r="D113" i="1"/>
  <c r="D112" i="1"/>
  <c r="D111" i="1"/>
  <c r="D110" i="1"/>
  <c r="D109" i="1"/>
  <c r="D108" i="1"/>
  <c r="D106" i="1"/>
  <c r="D105" i="1"/>
  <c r="D104" i="1"/>
  <c r="D103" i="1"/>
  <c r="D102" i="1"/>
  <c r="D101" i="1"/>
  <c r="D100" i="1"/>
  <c r="D96" i="1"/>
  <c r="D95" i="1"/>
  <c r="D94" i="1"/>
  <c r="D93" i="1"/>
  <c r="D92" i="1"/>
  <c r="D91" i="1"/>
  <c r="D90" i="1"/>
  <c r="D89" i="1"/>
  <c r="D88" i="1"/>
  <c r="D82" i="1"/>
  <c r="D81" i="1"/>
  <c r="D79" i="1"/>
  <c r="D78" i="1"/>
  <c r="D77" i="1"/>
  <c r="D76" i="1"/>
  <c r="D75" i="1"/>
  <c r="D74" i="1"/>
  <c r="D73" i="1"/>
  <c r="D70" i="1"/>
  <c r="D69" i="1"/>
  <c r="D68" i="1"/>
  <c r="D67" i="1"/>
  <c r="D66" i="1"/>
  <c r="D65" i="1"/>
  <c r="D64" i="1"/>
  <c r="D63" i="1"/>
  <c r="D62" i="1"/>
  <c r="D59" i="1"/>
  <c r="D58" i="1"/>
  <c r="D57" i="1"/>
  <c r="D56" i="1"/>
  <c r="D54" i="1"/>
  <c r="D52" i="1"/>
  <c r="D51" i="1"/>
  <c r="D50" i="1"/>
  <c r="D48" i="1"/>
  <c r="D47" i="1"/>
  <c r="D44" i="1"/>
  <c r="D43" i="1"/>
  <c r="D42" i="1"/>
  <c r="D41" i="1"/>
  <c r="D40" i="1"/>
  <c r="D39" i="1"/>
  <c r="D38" i="1"/>
  <c r="D37" i="1"/>
  <c r="D35" i="1"/>
  <c r="D34" i="1"/>
  <c r="D33" i="1"/>
  <c r="D32" i="1"/>
  <c r="D31" i="1"/>
  <c r="D30" i="1"/>
  <c r="D29" i="1"/>
  <c r="D28" i="1"/>
  <c r="D27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6" i="1"/>
  <c r="D4" i="1"/>
  <c r="D3" i="1"/>
  <c r="D2" i="1"/>
  <c r="D1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6" i="1"/>
  <c r="C55" i="1"/>
  <c r="C52" i="1"/>
  <c r="C51" i="1"/>
  <c r="C50" i="1"/>
  <c r="C49" i="1"/>
  <c r="C48" i="1"/>
  <c r="C47" i="1"/>
  <c r="C46" i="1"/>
  <c r="C45" i="1"/>
  <c r="C44" i="1"/>
  <c r="C43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3" i="1"/>
  <c r="C12" i="1"/>
  <c r="C11" i="1"/>
  <c r="C10" i="1"/>
  <c r="C9" i="1"/>
  <c r="C8" i="1"/>
  <c r="C7" i="1"/>
  <c r="C6" i="1"/>
  <c r="C5" i="1"/>
  <c r="C4" i="1"/>
  <c r="C3" i="1"/>
  <c r="C2" i="1"/>
  <c r="C1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B1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A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8" authorId="0" shapeId="0" xr:uid="{11D59755-2E3C-43B9-9F43-508D7E9FFCAE}">
      <text>
        <r>
          <rPr>
            <sz val="10"/>
            <color rgb="FF000000"/>
            <rFont val="Arial"/>
          </rPr>
          <t>======
ID#AAAAIf1VTMo
    (2021-05-15 07:16:58)
Google first Goldbach's conjecture</t>
        </r>
      </text>
    </comment>
  </commentList>
</comments>
</file>

<file path=xl/sharedStrings.xml><?xml version="1.0" encoding="utf-8"?>
<sst xmlns="http://schemas.openxmlformats.org/spreadsheetml/2006/main" count="123" uniqueCount="120">
  <si>
    <t>TIMUS 1638</t>
  </si>
  <si>
    <t>UVA 10461</t>
  </si>
  <si>
    <t>SPOJ POSTERIN</t>
  </si>
  <si>
    <t>UVA 1174</t>
  </si>
  <si>
    <t>UVA 10843</t>
  </si>
  <si>
    <t>SPOJ FUNPROB</t>
  </si>
  <si>
    <t>SRM149-D1-500</t>
  </si>
  <si>
    <t>SRM536-D2-1000</t>
  </si>
  <si>
    <t>UVA 11628</t>
  </si>
  <si>
    <t>ZOJ 1200</t>
  </si>
  <si>
    <t>UVA 10920</t>
  </si>
  <si>
    <t>SRM274-D1-500</t>
  </si>
  <si>
    <t>UVA 11573</t>
  </si>
  <si>
    <t>SRM458-D2-500</t>
  </si>
  <si>
    <t>SRM381-D2-1000</t>
  </si>
  <si>
    <t>UVA 453</t>
  </si>
  <si>
    <t>SRM436-D2-500</t>
  </si>
  <si>
    <t>UVA 10525</t>
  </si>
  <si>
    <t>SRM354-D2-1000</t>
  </si>
  <si>
    <t>SRM349-D1-500</t>
  </si>
  <si>
    <t>SPOJ TWINSNOW</t>
  </si>
  <si>
    <t>SPOJ FACENEMY</t>
  </si>
  <si>
    <t>SRM321-D1-500</t>
  </si>
  <si>
    <t>SRM577-D1-250</t>
  </si>
  <si>
    <t>SRM569-D2-1000</t>
  </si>
  <si>
    <t>UVA 12869</t>
  </si>
  <si>
    <t>SRM297-D1-500</t>
  </si>
  <si>
    <t>SRM441-D1-250</t>
  </si>
  <si>
    <t>SPOJ KOMPICI</t>
  </si>
  <si>
    <t>SRM428-D2-1000</t>
  </si>
  <si>
    <t>SRM513-D2-1000</t>
  </si>
  <si>
    <t>SRM292-D1-500</t>
  </si>
  <si>
    <t>SRM405-D2-1000</t>
  </si>
  <si>
    <t>SPOJ ABA12E</t>
  </si>
  <si>
    <t>UVA 11825</t>
  </si>
  <si>
    <t>UVA 12325</t>
  </si>
  <si>
    <t>UVA 12047</t>
  </si>
  <si>
    <t>UVA 10705</t>
  </si>
  <si>
    <t>SPOJ BIA</t>
  </si>
  <si>
    <t>SRM339-D1-500</t>
  </si>
  <si>
    <t>UVA 11997</t>
  </si>
  <si>
    <t>SRM456-D2-1000</t>
  </si>
  <si>
    <t>UVA 10342</t>
  </si>
  <si>
    <t>UVA 10174</t>
  </si>
  <si>
    <t>UVA 1333</t>
  </si>
  <si>
    <t>SPOJ MSKYCODE</t>
  </si>
  <si>
    <t>LiveArchive 8015</t>
  </si>
  <si>
    <t>SRM534-D1-250</t>
  </si>
  <si>
    <t>SRM522-D1-250</t>
  </si>
  <si>
    <t>SRM228-D1-500</t>
  </si>
  <si>
    <t>SRM481-D1-500</t>
  </si>
  <si>
    <t>SPOJ BRCKTS2</t>
  </si>
  <si>
    <t>UVA 10888</t>
  </si>
  <si>
    <t>UVA 11987</t>
  </si>
  <si>
    <t>SRM537-D2-1000</t>
  </si>
  <si>
    <t>SRM453.5-D2-1000</t>
  </si>
  <si>
    <t>SPOJ PARSUMS</t>
  </si>
  <si>
    <t>UVA 11284</t>
  </si>
  <si>
    <t>UVA 11635</t>
  </si>
  <si>
    <t>SRM319-D1-500</t>
  </si>
  <si>
    <t>SRM278-D2-500</t>
  </si>
  <si>
    <t>LIVEARCHIVE 2831</t>
  </si>
  <si>
    <t>SRM514-D1-500</t>
  </si>
  <si>
    <t>SRM473-D1-500</t>
  </si>
  <si>
    <t>SRM555-D2-1000</t>
  </si>
  <si>
    <t>UVA 557</t>
  </si>
  <si>
    <t>SRM285-D1-500</t>
  </si>
  <si>
    <t>SRM525-D1-500</t>
  </si>
  <si>
    <t>UVA 11648</t>
  </si>
  <si>
    <t>UVA 881</t>
  </si>
  <si>
    <t>UVA 11665</t>
  </si>
  <si>
    <t>TIMUS 1599</t>
  </si>
  <si>
    <t>UVA 12168</t>
  </si>
  <si>
    <t>UVA 1194</t>
  </si>
  <si>
    <t>UVA 10514</t>
  </si>
  <si>
    <t>SRM368-D1-500</t>
  </si>
  <si>
    <t>SRM373-D2-1000</t>
  </si>
  <si>
    <t>ZOJ 2587</t>
  </si>
  <si>
    <t>UVA 10180</t>
  </si>
  <si>
    <t>UVA 1184</t>
  </si>
  <si>
    <t>UVA 670</t>
  </si>
  <si>
    <t>SRM558-D1-250</t>
  </si>
  <si>
    <t>SRM550-D2-1000</t>
  </si>
  <si>
    <t>TIMUS 1156</t>
  </si>
  <si>
    <t>SRM312-D1-500</t>
  </si>
  <si>
    <t>SRM352-D2-1000</t>
  </si>
  <si>
    <t>SRM608-D2-1000</t>
  </si>
  <si>
    <t>SRM419-D2-1000</t>
  </si>
  <si>
    <t>SRM391-D2-1000</t>
  </si>
  <si>
    <t>SRM465-D1-500</t>
  </si>
  <si>
    <t>UVA 10740</t>
  </si>
  <si>
    <t>UVA 12261</t>
  </si>
  <si>
    <t>LIVEARCHIVE 4008</t>
  </si>
  <si>
    <t>UVA 1342</t>
  </si>
  <si>
    <t>SPOJ FISHES</t>
  </si>
  <si>
    <t>UVA 11475</t>
  </si>
  <si>
    <t>ZOJ 3305</t>
  </si>
  <si>
    <t>SPOJ QUEST4</t>
  </si>
  <si>
    <t>SRM545-D2-1000</t>
  </si>
  <si>
    <t>SRM495-D1-500</t>
  </si>
  <si>
    <t>SRM392-D1-1000</t>
  </si>
  <si>
    <t>UVA 12128</t>
  </si>
  <si>
    <t>Timus 1362</t>
  </si>
  <si>
    <t>SPOJ COCONUTS</t>
  </si>
  <si>
    <t>LIVEARCHIVE 4682</t>
  </si>
  <si>
    <t>UVA 663</t>
  </si>
  <si>
    <t>SRM531-D2-1000</t>
  </si>
  <si>
    <t>SRM470-D2-1000</t>
  </si>
  <si>
    <t>UVA 10944</t>
  </si>
  <si>
    <t>SRM470-D1-500</t>
  </si>
  <si>
    <t>UVA 1218</t>
  </si>
  <si>
    <t>SPOJ IOPC1207</t>
  </si>
  <si>
    <t>UVA 10982</t>
  </si>
  <si>
    <t>SRM492-D2-1000</t>
  </si>
  <si>
    <t>SRM447-D1-500</t>
  </si>
  <si>
    <t>SRM144-D1-500</t>
  </si>
  <si>
    <t>SRM509-D1-500</t>
  </si>
  <si>
    <t>Date</t>
  </si>
  <si>
    <t>Number of questions</t>
  </si>
  <si>
    <t>Average difficulty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</si>
</sst>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u/>
      <sz val="10"/>
      <color rgb="FF0000FF"/>
      <name val="Arial"/>
    </font>
    <font>
      <sz val="10"/>
      <color theme="1"/>
      <name val="Arial"/>
    </font>
    <font>
      <u/>
      <sz val="10"/>
      <color rgb="FF1155CC"/>
      <name val="Arial"/>
    </font>
    <font>
      <b/>
      <u/>
      <sz val="10"/>
      <color rgb="FF0000FF"/>
      <name val="Arial"/>
    </font>
    <font>
      <sz val="10"/>
      <color rgb="FF000000"/>
      <name val="Arial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EAD1DC"/>
      </patternFill>
    </fill>
    <fill>
      <patternFill patternType="solid">
        <fgColor theme="0"/>
        <bgColor rgb="FFD5A6BD"/>
      </patternFill>
    </fill>
    <fill>
      <patternFill patternType="solid">
        <fgColor theme="0"/>
        <bgColor rgb="FF00FF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2" borderId="0" xfId="0" applyFill="1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wrapText="1"/>
    </xf>
    <xf numFmtId="0" fontId="1" fillId="3" borderId="1" xfId="0" applyFont="1" applyFill="1" applyBorder="1"/>
    <xf numFmtId="0" fontId="2" fillId="4" borderId="1" xfId="0" applyFont="1" applyFill="1" applyBorder="1"/>
    <xf numFmtId="0" fontId="3" fillId="2" borderId="1" xfId="0" applyFont="1" applyFill="1" applyBorder="1" applyAlignment="1">
      <alignment wrapText="1"/>
    </xf>
    <xf numFmtId="0" fontId="1" fillId="3" borderId="1" xfId="0" applyFont="1" applyFill="1" applyBorder="1" applyAlignment="1">
      <alignment horizontal="left"/>
    </xf>
    <xf numFmtId="0" fontId="1" fillId="4" borderId="1" xfId="0" applyFont="1" applyFill="1" applyBorder="1"/>
    <xf numFmtId="0" fontId="3" fillId="2" borderId="1" xfId="0" applyFont="1" applyFill="1" applyBorder="1" applyAlignment="1">
      <alignment horizontal="center" wrapText="1"/>
    </xf>
    <xf numFmtId="0" fontId="3" fillId="4" borderId="1" xfId="0" applyFont="1" applyFill="1" applyBorder="1"/>
    <xf numFmtId="0" fontId="3" fillId="4" borderId="1" xfId="0" applyFont="1" applyFill="1" applyBorder="1" applyAlignment="1">
      <alignment horizontal="left"/>
    </xf>
    <xf numFmtId="0" fontId="1" fillId="2" borderId="1" xfId="0" applyFont="1" applyFill="1" applyBorder="1"/>
    <xf numFmtId="0" fontId="1" fillId="3" borderId="1" xfId="0" applyFont="1" applyFill="1" applyBorder="1" applyAlignment="1">
      <alignment wrapText="1"/>
    </xf>
    <xf numFmtId="0" fontId="3" fillId="5" borderId="1" xfId="0" applyFont="1" applyFill="1" applyBorder="1" applyAlignment="1">
      <alignment wrapText="1"/>
    </xf>
    <xf numFmtId="0" fontId="3" fillId="3" borderId="1" xfId="0" applyFont="1" applyFill="1" applyBorder="1" applyAlignment="1">
      <alignment wrapText="1"/>
    </xf>
    <xf numFmtId="0" fontId="3" fillId="5" borderId="1" xfId="0" applyFont="1" applyFill="1" applyBorder="1"/>
    <xf numFmtId="0" fontId="3" fillId="2" borderId="1" xfId="0" applyFont="1" applyFill="1" applyBorder="1"/>
    <xf numFmtId="0" fontId="1" fillId="2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left" wrapText="1"/>
    </xf>
    <xf numFmtId="0" fontId="3" fillId="3" borderId="1" xfId="0" applyFont="1" applyFill="1" applyBorder="1" applyAlignment="1">
      <alignment horizontal="left" vertical="center"/>
    </xf>
    <xf numFmtId="0" fontId="3" fillId="3" borderId="1" xfId="0" applyFont="1" applyFill="1" applyBorder="1"/>
    <xf numFmtId="0" fontId="2" fillId="3" borderId="1" xfId="0" applyFont="1" applyFill="1" applyBorder="1" applyAlignment="1">
      <alignment horizontal="left" wrapText="1"/>
    </xf>
    <xf numFmtId="0" fontId="3" fillId="3" borderId="1" xfId="0" applyFont="1" applyFill="1" applyBorder="1" applyAlignment="1">
      <alignment horizontal="center" wrapText="1"/>
    </xf>
    <xf numFmtId="0" fontId="2" fillId="4" borderId="1" xfId="0" applyFont="1" applyFill="1" applyBorder="1" applyAlignment="1">
      <alignment wrapText="1"/>
    </xf>
    <xf numFmtId="0" fontId="3" fillId="4" borderId="1" xfId="0" applyFont="1" applyFill="1" applyBorder="1" applyAlignment="1">
      <alignment wrapText="1"/>
    </xf>
    <xf numFmtId="0" fontId="1" fillId="4" borderId="1" xfId="0" applyFont="1" applyFill="1" applyBorder="1" applyAlignment="1">
      <alignment horizontal="center"/>
    </xf>
    <xf numFmtId="0" fontId="2" fillId="2" borderId="1" xfId="0" applyFont="1" applyFill="1" applyBorder="1"/>
    <xf numFmtId="0" fontId="1" fillId="4" borderId="1" xfId="0" applyFont="1" applyFill="1" applyBorder="1" applyAlignment="1">
      <alignment wrapText="1"/>
    </xf>
    <xf numFmtId="0" fontId="2" fillId="3" borderId="1" xfId="0" applyFont="1" applyFill="1" applyBorder="1"/>
    <xf numFmtId="0" fontId="1" fillId="3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wrapText="1"/>
    </xf>
    <xf numFmtId="0" fontId="1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left"/>
    </xf>
    <xf numFmtId="0" fontId="1" fillId="5" borderId="1" xfId="0" applyFont="1" applyFill="1" applyBorder="1"/>
    <xf numFmtId="0" fontId="2" fillId="3" borderId="1" xfId="0" applyFont="1" applyFill="1" applyBorder="1" applyAlignment="1">
      <alignment horizontal="left"/>
    </xf>
    <xf numFmtId="0" fontId="0" fillId="2" borderId="1" xfId="0" applyFill="1" applyBorder="1"/>
    <xf numFmtId="0" fontId="2" fillId="2" borderId="1" xfId="0" applyFont="1" applyFill="1" applyBorder="1" applyAlignment="1">
      <alignment wrapText="1"/>
    </xf>
    <xf numFmtId="0" fontId="0" fillId="0" borderId="1" xfId="0" applyBorder="1"/>
    <xf numFmtId="1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onlinejudge.org/index.php?option=onlinejudge&amp;page=show_problem&amp;problem=1466" TargetMode="External"/><Relationship Id="rId3" Type="http://schemas.openxmlformats.org/officeDocument/2006/relationships/hyperlink" Target="https://onlinejudge.org/index.php?option=com_onlinejudge&amp;Itemid=8&amp;page=show_problem&amp;problem=3615" TargetMode="External"/><Relationship Id="rId7" Type="http://schemas.openxmlformats.org/officeDocument/2006/relationships/hyperlink" Target="https://onlinejudge.org/index.php?option=onlinejudge&amp;Itemid=8&amp;page=show_problem&amp;problem=394" TargetMode="External"/><Relationship Id="rId2" Type="http://schemas.openxmlformats.org/officeDocument/2006/relationships/hyperlink" Target="https://www.spoj.com/problems/POSTERIN/" TargetMode="External"/><Relationship Id="rId1" Type="http://schemas.openxmlformats.org/officeDocument/2006/relationships/hyperlink" Target="https://onlinejudge.org/index.php?option=onlinejudge&amp;Itemid=8&amp;page=show_problem&amp;problem=1402" TargetMode="External"/><Relationship Id="rId6" Type="http://schemas.openxmlformats.org/officeDocument/2006/relationships/hyperlink" Target="https://onlinejudge.org/index.php?option=onlinejudge&amp;page=show_problem&amp;problem=2620" TargetMode="External"/><Relationship Id="rId5" Type="http://schemas.openxmlformats.org/officeDocument/2006/relationships/hyperlink" Target="https://zoj.pintia.cn/problem-sets/91827364500/problems/91827364699" TargetMode="External"/><Relationship Id="rId10" Type="http://schemas.openxmlformats.org/officeDocument/2006/relationships/comments" Target="../comments1.xml"/><Relationship Id="rId4" Type="http://schemas.openxmlformats.org/officeDocument/2006/relationships/hyperlink" Target="https://onlinejudge.org/index.php?option=onlinejudge&amp;page=show_problem&amp;problem=1784" TargetMode="External"/><Relationship Id="rId9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92E613-4B91-4891-9AE0-02057F498D84}">
  <dimension ref="A1:G205"/>
  <sheetViews>
    <sheetView tabSelected="1" workbookViewId="0">
      <selection activeCell="C4" sqref="C4"/>
    </sheetView>
  </sheetViews>
  <sheetFormatPr defaultRowHeight="14.5" x14ac:dyDescent="0.35"/>
  <cols>
    <col min="1" max="1" width="16" style="1" bestFit="1" customWidth="1"/>
    <col min="2" max="2" width="17.26953125" style="1" bestFit="1" customWidth="1"/>
    <col min="3" max="3" width="26.81640625" style="1" bestFit="1" customWidth="1"/>
    <col min="4" max="4" width="17.26953125" style="1" bestFit="1" customWidth="1"/>
    <col min="5" max="5" width="20.7265625" style="1" bestFit="1" customWidth="1"/>
    <col min="6" max="6" width="21.26953125" style="1" bestFit="1" customWidth="1"/>
    <col min="7" max="7" width="19.08984375" style="1" bestFit="1" customWidth="1"/>
    <col min="8" max="16384" width="8.7265625" style="1"/>
  </cols>
  <sheetData>
    <row r="1" spans="1:7" x14ac:dyDescent="0.35">
      <c r="A1" s="2" t="str">
        <f>HYPERLINK("http://codeforces.com/contest/677/problem/A","CF677-D2-A")</f>
        <v>CF677-D2-A</v>
      </c>
      <c r="B1" s="3" t="str">
        <f>HYPERLINK("http://codeforces.com/contest/66/problem/B","CF66-D2-B")</f>
        <v>CF66-D2-B</v>
      </c>
      <c r="C1" s="12" t="str">
        <f>HYPERLINK("http://codeforces.com/contest/515/problem/C","CF515-D2-C")</f>
        <v>CF515-D2-C</v>
      </c>
      <c r="D1" s="4" t="str">
        <f>HYPERLINK("http://codeforces.com/contest/151/problem/C","CF151-D2-C")</f>
        <v>CF151-D2-C</v>
      </c>
      <c r="E1" s="6" t="str">
        <f>HYPERLINK("http://codeforces.com/contest/63/problem/D","CF63-D2-D")</f>
        <v>CF63-D2-D</v>
      </c>
      <c r="F1" s="7" t="str">
        <f>HYPERLINK("http://poj.org/problem?id=3461","PKU 3461")</f>
        <v>PKU 3461</v>
      </c>
      <c r="G1" s="7" t="str">
        <f>HYPERLINK("http://www.spoj.com/problems/BOTTOM/","SPOJ BOTTOM")</f>
        <v>SPOJ BOTTOM</v>
      </c>
    </row>
    <row r="2" spans="1:7" x14ac:dyDescent="0.35">
      <c r="A2" s="2" t="str">
        <f>HYPERLINK("http://codeforces.com/contest/734/problem/A","CF734-D2-A")</f>
        <v>CF734-D2-A</v>
      </c>
      <c r="B2" s="3" t="str">
        <f>HYPERLINK("http://codeforces.com/contest/680/problem/B","CF680-D2-B")</f>
        <v>CF680-D2-B</v>
      </c>
      <c r="C2" s="17" t="str">
        <f>HYPERLINK("http://codeforces.com/contest/304/problem/C","CF304-D2-C")</f>
        <v>CF304-D2-C</v>
      </c>
      <c r="D2" s="4" t="str">
        <f>HYPERLINK("https://uva.onlinejudge.org/index.php?option=onlinejudge&amp;page=show_problem&amp;problem=1309","UVA 10368")</f>
        <v>UVA 10368</v>
      </c>
      <c r="E2" s="6" t="str">
        <f>HYPERLINK("http://codeforces.com/contest/474/problem/D","CF474-D2-D")</f>
        <v>CF474-D2-D</v>
      </c>
      <c r="F2" s="7" t="str">
        <f>HYPERLINK("http://www.spoj.com/problems/NHAY","SPOJ NHAY")</f>
        <v>SPOJ NHAY</v>
      </c>
      <c r="G2" s="4" t="str">
        <f>HYPERLINK("https://uva.onlinejudge.org/index.php?option=onlinejudge&amp;page=show_problem&amp;problem=1672","UVA 10731")</f>
        <v>UVA 10731</v>
      </c>
    </row>
    <row r="3" spans="1:7" x14ac:dyDescent="0.35">
      <c r="A3" s="2" t="str">
        <f>HYPERLINK("codeforces.com/contest/791/problem/A","CF791-D2-A")</f>
        <v>CF791-D2-A</v>
      </c>
      <c r="B3" s="3" t="str">
        <f>HYPERLINK("http://codeforces.com/contest/16/problem/B","CF16-D2-B")</f>
        <v>CF16-D2-B</v>
      </c>
      <c r="C3" s="17" t="str">
        <f>HYPERLINK("http://codeforces.com/contest/546/problem/C","CF546-D2-C")</f>
        <v>CF546-D2-C</v>
      </c>
      <c r="D3" s="8" t="str">
        <f>HYPERLINK("http://www.spoj.com/problems/PIR/","SPOJ PIR")</f>
        <v>SPOJ PIR</v>
      </c>
      <c r="E3" s="6" t="str">
        <f>HYPERLINK("http://codeforces.com/contest/400/problem/D","CF400-D2-D")</f>
        <v>CF400-D2-D</v>
      </c>
      <c r="F3" s="7" t="str">
        <f>HYPERLINK("http://www.spoj.com/problems/TESSER/","SPOJ TESSER")</f>
        <v>SPOJ TESSER</v>
      </c>
      <c r="G3" s="29" t="s">
        <v>84</v>
      </c>
    </row>
    <row r="4" spans="1:7" x14ac:dyDescent="0.35">
      <c r="A4" s="2" t="str">
        <f>HYPERLINK("http://codeforces.com/contest/231/problem/A","CF231-D2-A")</f>
        <v>CF231-D2-A</v>
      </c>
      <c r="B4" s="3" t="str">
        <f>HYPERLINK("http://codeforces.com/contest/463/problem/B","CF463-D2-B")</f>
        <v>CF463-D2-B</v>
      </c>
      <c r="C4" s="17" t="str">
        <f>HYPERLINK("http://codeforces.com/contest/651/problem/C","CF651-D2-C")</f>
        <v>CF651-D2-C</v>
      </c>
      <c r="D4" s="8" t="str">
        <f>HYPERLINK("https://uva.onlinejudge.org/index.php?option=com_onlinejudge&amp;Itemid=8&amp;page=show_problem&amp;problem=49","UVA 113")</f>
        <v>UVA 113</v>
      </c>
      <c r="E4" s="6" t="str">
        <f>HYPERLINK("http://codeforces.com/contest/1043/problem/C","CF1043-D12-C")</f>
        <v>CF1043-D12-C</v>
      </c>
      <c r="F4" s="7" t="str">
        <f>HYPERLINK("http://www.spoj.com/problems/PERIOD/","SPOJ PERIOD")</f>
        <v>SPOJ PERIOD</v>
      </c>
      <c r="G4" s="15" t="str">
        <f>HYPERLINK("http://codeforces.com/contest/467/problem/D","CF467-D2-D")</f>
        <v>CF467-D2-D</v>
      </c>
    </row>
    <row r="5" spans="1:7" x14ac:dyDescent="0.35">
      <c r="A5" s="2" t="str">
        <f>HYPERLINK("http://codeforces.com/contest/263/problem/A","CF263-D2-A")</f>
        <v>CF263-D2-A</v>
      </c>
      <c r="B5" s="3" t="str">
        <f>HYPERLINK("http://codeforces.com/contest/102/problem/B","CF102-D2-B")</f>
        <v>CF102-D2-B</v>
      </c>
      <c r="C5" s="4" t="str">
        <f>HYPERLINK("http://codeforces.com/contest/371/problem/B","CF371-D2-B")</f>
        <v>CF371-D2-B</v>
      </c>
      <c r="D5" s="5" t="s">
        <v>13</v>
      </c>
      <c r="E5" s="6" t="str">
        <f>HYPERLINK("https://codeforces.com/contest/1033/problem/C","CF1033-D12-C")</f>
        <v>CF1033-D12-C</v>
      </c>
      <c r="F5" s="7" t="str">
        <f>HYPERLINK("http://codeforces.com/contest/432/problem/D","CF432-D2-D")</f>
        <v>CF432-D2-D</v>
      </c>
      <c r="G5" s="8" t="str">
        <f>HYPERLINK("http://codeforces.com/contest/676/problem/D","CF676-D2-D")</f>
        <v>CF676-D2-D</v>
      </c>
    </row>
    <row r="6" spans="1:7" x14ac:dyDescent="0.35">
      <c r="A6" s="9" t="str">
        <f>HYPERLINK("http://codeforces.com/contest/405/problem/A","CF405-D2-A")</f>
        <v>CF405-D2-A</v>
      </c>
      <c r="B6" s="3" t="str">
        <f>HYPERLINK("http://codeforces.com/contest/47/problem/B","CF47-D2-B")</f>
        <v>CF47-D2-B</v>
      </c>
      <c r="C6" s="4" t="str">
        <f>HYPERLINK("http://codeforces.com/contest/588/problem/B","CF588-D2-B")</f>
        <v>CF588-D2-B</v>
      </c>
      <c r="D6" s="10" t="str">
        <f>HYPERLINK("https://uva.onlinejudge.org/index.php?option=onlinejudge&amp;page=show_problem&amp;problem=1403","UVA 10462")</f>
        <v>UVA 10462</v>
      </c>
      <c r="E6" s="6" t="str">
        <f>HYPERLINK("https://codeforces.com/contest/1066/problem/E","CF1066-D3-E")</f>
        <v>CF1066-D3-E</v>
      </c>
      <c r="F6" s="7" t="str">
        <f>HYPERLINK("http://codeforces.com/contest/535/problem/D","CF535-D2-D")</f>
        <v>CF535-D2-D</v>
      </c>
      <c r="G6" s="11" t="str">
        <f>HYPERLINK("http://codeforces.com/contest/418/problem/B","CF418-D1-B")</f>
        <v>CF418-D1-B</v>
      </c>
    </row>
    <row r="7" spans="1:7" x14ac:dyDescent="0.35">
      <c r="A7" s="9" t="str">
        <f>HYPERLINK("http://codeforces.com/contest/112/problem/A","CF112-D2-A")</f>
        <v>CF112-D2-A</v>
      </c>
      <c r="B7" s="3" t="str">
        <f>HYPERLINK("http://codeforces.com/contest/227/problem/B","CF227-D2-B")</f>
        <v>CF227-D2-B</v>
      </c>
      <c r="C7" s="4" t="str">
        <f>HYPERLINK("https://uva.onlinejudge.org/index.php?option=onlinejudge&amp;page=show_problem&amp;problem=1335","UVA 10394")</f>
        <v>UVA 10394</v>
      </c>
      <c r="D7" s="5" t="s">
        <v>14</v>
      </c>
      <c r="E7" s="6" t="str">
        <f>HYPERLINK("http://codeforces.com/contest/534/problem/D","CF534-D2-D")</f>
        <v>CF534-D2-D</v>
      </c>
      <c r="F7" s="8" t="str">
        <f>HYPERLINK("https://uva.onlinejudge.org/index.php?option=onlinejudge&amp;page=show_problem&amp;problem=2096","UVA 11155")</f>
        <v>UVA 11155</v>
      </c>
      <c r="G7" s="11" t="str">
        <f>HYPERLINK("https://uva.onlinejudge.org/index.php?option=onlinejudge&amp;page=show_problem&amp;problem=1421","UVA 10480")</f>
        <v>UVA 10480</v>
      </c>
    </row>
    <row r="8" spans="1:7" x14ac:dyDescent="0.35">
      <c r="A8" s="9" t="str">
        <f>HYPERLINK("http://codeforces.com/contest/236/problem/A","CF236-D2-A")</f>
        <v>CF236-D2-A</v>
      </c>
      <c r="B8" s="3" t="str">
        <f>HYPERLINK("http://codeforces.com/contest/78/problem/B","CF78-D2-B")</f>
        <v>CF78-D2-B</v>
      </c>
      <c r="C8" s="4" t="str">
        <f>HYPERLINK("https://uva.onlinejudge.org/index.php?option=onlinejudge&amp;page=show_problem&amp;problem=1109","UVA 10168")</f>
        <v>UVA 10168</v>
      </c>
      <c r="D8" s="6" t="str">
        <f>HYPERLINK("http://codeforces.com/problemset/problem/899/E","CF899-D2-E")</f>
        <v>CF899-D2-E</v>
      </c>
      <c r="E8" s="8" t="str">
        <f>HYPERLINK("http://www.spoj.com/problems/PT07X/","SPOJ PT07X")</f>
        <v>SPOJ PT07X</v>
      </c>
      <c r="F8" s="5" t="s">
        <v>85</v>
      </c>
      <c r="G8" s="10" t="str">
        <f>HYPERLINK("https://uva.onlinejudge.org/index.php?option=onlinejudge&amp;page=show_problem&amp;problem=4330","UVA 1555")</f>
        <v>UVA 1555</v>
      </c>
    </row>
    <row r="9" spans="1:7" x14ac:dyDescent="0.35">
      <c r="A9" s="9" t="str">
        <f>HYPERLINK("http://codeforces.com/contest/59/problem/A","CF59-D2-A")</f>
        <v>CF59-D2-A</v>
      </c>
      <c r="B9" s="6" t="str">
        <f>HYPERLINK("http://codeforces.com/contest/746/problem/B","CF746-D2-B")</f>
        <v>CF746-D2-B</v>
      </c>
      <c r="C9" s="8" t="str">
        <f>HYPERLINK("https://uva.onlinejudge.org/index.php?option=onlinejudge&amp;page=show_problem&amp;problem=1266","UVA 10325")</f>
        <v>UVA 10325</v>
      </c>
      <c r="D9" s="12" t="str">
        <f>HYPERLINK("http://codeforces.com/contest/75/problem/C","CF75-D2-C")</f>
        <v>CF75-D2-C</v>
      </c>
      <c r="E9" s="6" t="str">
        <f>HYPERLINK("http://codeforces.com/contest/729/problem/D","CF729-D12-D")</f>
        <v>CF729-D12-D</v>
      </c>
      <c r="F9" s="10" t="str">
        <f>HYPERLINK("http://codeforces.com/contest/54/problem/C","CF54-D12-C")</f>
        <v>CF54-D12-C</v>
      </c>
      <c r="G9" s="8" t="str">
        <f>HYPERLINK("http://codeforces.com/gym/101589/problem/F","CF101589-GYM-F")</f>
        <v>CF101589-GYM-F</v>
      </c>
    </row>
    <row r="10" spans="1:7" x14ac:dyDescent="0.35">
      <c r="A10" s="9" t="str">
        <f>HYPERLINK("http://codeforces.com/contest/344/problem/A","CF344-D2-A")</f>
        <v>CF344-D2-A</v>
      </c>
      <c r="B10" s="13" t="str">
        <f>HYPERLINK("https://uva.onlinejudge.org/index.php?option=onlinejudge&amp;page=show_problem&amp;problem=310","UVA 374")</f>
        <v>UVA 374</v>
      </c>
      <c r="C10" s="8" t="str">
        <f>HYPERLINK("http://codeforces.com/contest/371/problem/C","CF371-D2-C")</f>
        <v>CF371-D2-C</v>
      </c>
      <c r="D10" s="12" t="str">
        <f>HYPERLINK("http://codeforces.com/contest/740/problem/C","CF740-D2-C")</f>
        <v>CF740-D2-C</v>
      </c>
      <c r="E10" s="14" t="str">
        <f>HYPERLINK("http://codeforces.com/contest/340/problem/C","CF340-D2-C")</f>
        <v>CF340-D2-C</v>
      </c>
      <c r="F10" s="8" t="str">
        <f>HYPERLINK("http://codeforces.com/contest/500/problem/D","CF500-D12-D")</f>
        <v>CF500-D12-D</v>
      </c>
      <c r="G10" s="8" t="str">
        <f>HYPERLINK("http://codeforces.com/problemset/problem/1016/D","CF1016-D12-D")</f>
        <v>CF1016-D12-D</v>
      </c>
    </row>
    <row r="11" spans="1:7" x14ac:dyDescent="0.35">
      <c r="A11" s="9" t="str">
        <f>HYPERLINK("http://codeforces.com/contest/381/problem/A","CF381-D2-A")</f>
        <v>CF381-D2-A</v>
      </c>
      <c r="B11" s="15" t="str">
        <f>HYPERLINK("https://uva.onlinejudge.org/index.php?option=onlinejudge&amp;page=show_problem&amp;problem=305","UVA 369")</f>
        <v>UVA 369</v>
      </c>
      <c r="C11" s="8" t="str">
        <f>HYPERLINK("https://uva.onlinejudge.org/index.php?option=onlinejudge&amp;page=show_problem&amp;problem=1658","UVA 10717")</f>
        <v>UVA 10717</v>
      </c>
      <c r="D11" s="12" t="str">
        <f>HYPERLINK("http://codeforces.com/contest/371/problem/C","CF371-D2-C")</f>
        <v>CF371-D2-C</v>
      </c>
      <c r="E11" s="14" t="str">
        <f>HYPERLINK("http://codeforces.com/contest/697/problem/C","CF697-D2-C")</f>
        <v>CF697-D2-C</v>
      </c>
      <c r="F11" s="8" t="str">
        <f>HYPERLINK("https://www.hackerrank.com/challenges/vertical-sticks","HACKR vertical-sticks")</f>
        <v>HACKR vertical-sticks</v>
      </c>
      <c r="G11" s="8" t="str">
        <f>HYPERLINK("http://codeforces.com/contest/26/problem/D","CF26-D12-D")</f>
        <v>CF26-D12-D</v>
      </c>
    </row>
    <row r="12" spans="1:7" x14ac:dyDescent="0.35">
      <c r="A12" s="2" t="str">
        <f>HYPERLINK("http://codeforces.com/contest/266/problem/A","CF266-D2-A")</f>
        <v>CF266-D2-A</v>
      </c>
      <c r="B12" s="15" t="str">
        <f>HYPERLINK("https://uva.onlinejudge.org/index.php?option=onlinejudge&amp;page=show_problem&amp;problem=353","UVA 412")</f>
        <v>UVA 412</v>
      </c>
      <c r="C12" s="10" t="str">
        <f>HYPERLINK("http://www.spoj.com/problems/BITMAP/","SPOJ BITMAP")</f>
        <v>SPOJ BITMAP</v>
      </c>
      <c r="D12" s="12" t="str">
        <f>HYPERLINK("http://codeforces.com/contest/621/problem/C","CF621-D2-C")</f>
        <v>CF621-D2-C</v>
      </c>
      <c r="E12" s="14" t="str">
        <f>HYPERLINK("http://codeforces.com/contest/404/problem/C","CF404-D2-C")</f>
        <v>CF404-D2-C</v>
      </c>
      <c r="F12" s="5" t="s">
        <v>43</v>
      </c>
      <c r="G12" s="8" t="str">
        <f>HYPERLINK("http://codeforces.com/contest/1012/problem/B","CF1012-D1-B")</f>
        <v>CF1012-D1-B</v>
      </c>
    </row>
    <row r="13" spans="1:7" x14ac:dyDescent="0.35">
      <c r="A13" s="2" t="str">
        <f>HYPERLINK("http://codeforces.com/contest/427/problem/A","CF427-D2-A")</f>
        <v>CF427-D2-A</v>
      </c>
      <c r="B13" s="8" t="str">
        <f>HYPERLINK("https://uva.onlinejudge.org/index.php?option=onlinejudge&amp;page=show_problem&amp;problem=654","UVA 713")</f>
        <v>UVA 713</v>
      </c>
      <c r="C13" s="8" t="str">
        <f>HYPERLINK("https://www.codechef.com/problems/GCDMOD", "CODECHEF GCDMOD")</f>
        <v>CODECHEF GCDMOD</v>
      </c>
      <c r="D13" s="12" t="str">
        <f>HYPERLINK("http://codeforces.com/contest/451/problem/C","CF451-D2-C")</f>
        <v>CF451-D2-C</v>
      </c>
      <c r="E13" s="8" t="str">
        <f>HYPERLINK("http://codeforces.com/contest/309/problem/C","CF309-D1-C")</f>
        <v>CF309-D1-C</v>
      </c>
      <c r="F13" s="5" t="s">
        <v>44</v>
      </c>
      <c r="G13" s="8" t="str">
        <f>HYPERLINK("http://codeforces.com/contest/1010/problem/C","CF1010-D1-C")</f>
        <v>CF1010-D1-C</v>
      </c>
    </row>
    <row r="14" spans="1:7" x14ac:dyDescent="0.35">
      <c r="A14" s="2" t="str">
        <f>HYPERLINK("http://codeforces.com/contest/431/problem/A","CF431-D2-A")</f>
        <v>CF431-D2-A</v>
      </c>
      <c r="B14" s="8" t="str">
        <f>HYPERLINK("http://acm.timus.ru/problem.aspx?space=1&amp;num=1607","TIMUS 1607")</f>
        <v>TIMUS 1607</v>
      </c>
      <c r="C14" s="10" t="s">
        <v>4</v>
      </c>
      <c r="D14" s="12" t="str">
        <f>HYPERLINK("http://codeforces.com/contest/260/problem/C","CF260-D2-C")</f>
        <v>CF260-D2-C</v>
      </c>
      <c r="E14" s="8" t="str">
        <f>HYPERLINK("http://codeforces.com/contest/101/problem/B","CF101-D1-B")</f>
        <v>CF101-D1-B</v>
      </c>
      <c r="F14" s="8" t="str">
        <f>HYPERLINK("http://codeforces.com/contest/842/problem/D","CF842-D2-D")</f>
        <v>CF842-D2-D</v>
      </c>
      <c r="G14" s="8" t="str">
        <f>HYPERLINK("http://codeforces.com/contest/633/problem/D","CF633-D12-D")</f>
        <v>CF633-D12-D</v>
      </c>
    </row>
    <row r="15" spans="1:7" x14ac:dyDescent="0.35">
      <c r="A15" s="2" t="str">
        <f>HYPERLINK("http://codeforces.com/contest/731/problem/A","CF731-D2-A")</f>
        <v>CF731-D2-A</v>
      </c>
      <c r="B15" s="8" t="str">
        <f>HYPERLINK("https://icpcarchive.ecs.baylor.edu/index.php?option=com_onlinejudge&amp;Itemid=8&amp;page=show_problem&amp;problem=558","LIVEARCHIVE 2557")</f>
        <v>LIVEARCHIVE 2557</v>
      </c>
      <c r="C15" s="16" t="str">
        <f>HYPERLINK("http://codeforces.com/contest/437/problem/B","CF437-D2-B")</f>
        <v>CF437-D2-B</v>
      </c>
      <c r="D15" s="12" t="str">
        <f>HYPERLINK("http://codeforces.com/contest/347/problem/C","CF347-D2-C")</f>
        <v>CF347-D2-C</v>
      </c>
      <c r="E15" s="5" t="s">
        <v>24</v>
      </c>
      <c r="F15" s="8" t="str">
        <f>HYPERLINK("http://codeforces.com/contest/709/problem/D","CF709-D2-D")</f>
        <v>CF709-D2-D</v>
      </c>
      <c r="G15" s="8" t="str">
        <f>HYPERLINK("https://www.hackerrank.com/challenges/house-location","HACKR house-location")</f>
        <v>HACKR house-location</v>
      </c>
    </row>
    <row r="16" spans="1:7" x14ac:dyDescent="0.35">
      <c r="A16" s="2" t="str">
        <f>HYPERLINK("http://codeforces.com/contest/268/problem/A","CF268-D2-A")</f>
        <v>CF268-D2-A</v>
      </c>
      <c r="B16" s="8" t="str">
        <f>HYPERLINK("http://codeforces.com/contest/492/problem/B","CF492-D2-B")</f>
        <v>CF492-D2-B</v>
      </c>
      <c r="C16" s="16" t="str">
        <f>HYPERLINK("http://codeforces.com/contest/518/problem/B","CF518-D2-B")</f>
        <v>CF518-D2-B</v>
      </c>
      <c r="D16" s="12" t="str">
        <f>HYPERLINK("http://codeforces.com/contest/959/problem/C","CF959-D2-C")</f>
        <v>CF959-D2-C</v>
      </c>
      <c r="E16" s="8" t="str">
        <f>HYPERLINK("http://codeforces.com/problemset/problem/961/D","CF961-D12-D")</f>
        <v>CF961-D12-D</v>
      </c>
      <c r="F16" s="5" t="s">
        <v>45</v>
      </c>
      <c r="G16" s="8" t="str">
        <f>HYPERLINK("http://codeforces.com/contest/621/problem/D","CF621-D2-D")</f>
        <v>CF621-D2-D</v>
      </c>
    </row>
    <row r="17" spans="1:7" x14ac:dyDescent="0.35">
      <c r="A17" s="9" t="str">
        <f>HYPERLINK("http://codeforces.com/contest/732/problem/A","CF732-D2-A")</f>
        <v>CF732-D2-A</v>
      </c>
      <c r="B17" s="13" t="str">
        <f>HYPERLINK("http://codeforces.com/contest/433/problem/B","CF433-D2-B")</f>
        <v>CF433-D2-B</v>
      </c>
      <c r="C17" s="17" t="str">
        <f>HYPERLINK("http://codeforces.com/contest/296/problem/C","CF296-D2-C")</f>
        <v>CF296-D2-C</v>
      </c>
      <c r="D17" s="12" t="str">
        <f>HYPERLINK("https://codeforces.com/contest/1206/problem/C","CF1206-D2-C")</f>
        <v>CF1206-D2-C</v>
      </c>
      <c r="E17" s="8" t="str">
        <f>HYPERLINK("http://codeforces.com/problemset/problem/955/C","CF955-D2-C")</f>
        <v>CF955-D2-C</v>
      </c>
      <c r="F17" s="5" t="s">
        <v>46</v>
      </c>
      <c r="G17" s="8" t="str">
        <f>HYPERLINK("https://codeforces.com/gym/101992/problem/D","CF101992-GYM-D")</f>
        <v>CF101992-GYM-D</v>
      </c>
    </row>
    <row r="18" spans="1:7" x14ac:dyDescent="0.35">
      <c r="A18" s="9" t="str">
        <f>HYPERLINK("http://codeforces.com/contest/228/problem/A","CF228-D2-A")</f>
        <v>CF228-D2-A</v>
      </c>
      <c r="B18" s="13" t="str">
        <f>HYPERLINK("http://codeforces.com/contest/363/problem/B","CF363-D2-B")</f>
        <v>CF363-D2-B</v>
      </c>
      <c r="C18" s="17" t="str">
        <f>HYPERLINK("http://codeforces.com/contest/131/problem/C","CF131-D2-C")</f>
        <v>CF131-D2-C</v>
      </c>
      <c r="D18" s="18" t="str">
        <f>HYPERLINK("https://codeforces.com/contest/1220/problem/C","CF1220-D12-C")</f>
        <v>CF1220-D12-C</v>
      </c>
      <c r="E18" s="5" t="s">
        <v>25</v>
      </c>
      <c r="F18" s="19" t="str">
        <f>HYPERLINK("http://codeforces.com/contest/672/problem/D","CF672-D2-D")</f>
        <v>CF672-D2-D</v>
      </c>
      <c r="G18" s="5" t="s">
        <v>86</v>
      </c>
    </row>
    <row r="19" spans="1:7" x14ac:dyDescent="0.35">
      <c r="A19" s="9" t="str">
        <f>HYPERLINK("http://codeforces.com/contest/265/problem/A","CF265-D2-A")</f>
        <v>CF265-D2-A</v>
      </c>
      <c r="B19" s="3" t="str">
        <f>HYPERLINK("http://codeforces.com/contest/6/problem/B","CF6-D2-B")</f>
        <v>CF6-D2-B</v>
      </c>
      <c r="C19" s="17" t="str">
        <f>HYPERLINK("http://codeforces.com/contest/88/problem/C","CF88-D2-C")</f>
        <v>CF88-D2-C</v>
      </c>
      <c r="D19" s="12" t="str">
        <f>HYPERLINK("http://codeforces.com/contest/1065/problem/C","CF1065-D2-C")</f>
        <v>CF1065-D2-C</v>
      </c>
      <c r="E19" s="8" t="str">
        <f>HYPERLINK("http://codeforces.com/contest/372/problem/B","CF372-D1-B")</f>
        <v>CF372-D1-B</v>
      </c>
      <c r="F19" s="19" t="str">
        <f>HYPERLINK("http://codeforces.com/contest/94/problem/D","CF94-D2-D")</f>
        <v>CF94-D2-D</v>
      </c>
      <c r="G19" s="19" t="str">
        <f>HYPERLINK("http://codeforces.com/contest/681/problem/D","CF681-D2-D")</f>
        <v>CF681-D2-D</v>
      </c>
    </row>
    <row r="20" spans="1:7" x14ac:dyDescent="0.35">
      <c r="A20" s="9" t="str">
        <f>HYPERLINK("http://codeforces.com/contest/9/problem/A","CF9-D2-A")</f>
        <v>CF9-D2-A</v>
      </c>
      <c r="B20" s="19" t="str">
        <f>HYPERLINK("http://codeforces.com/contest/688/problem/B","CF688-D2-B")</f>
        <v>CF688-D2-B</v>
      </c>
      <c r="C20" s="16" t="str">
        <f>HYPERLINK("http://codeforces.com/contest/378/problem/B","CF378-D2-B")</f>
        <v>CF378-D2-B</v>
      </c>
      <c r="D20" s="12" t="str">
        <f>HYPERLINK("http://codeforces.com/contest/1036/problem/C","CF1036-D2-C")</f>
        <v>CF1036-D2-C</v>
      </c>
      <c r="E20" s="7" t="str">
        <f>HYPERLINK("https://uva.onlinejudge.org/index.php?option=com_onlinejudge&amp;Itemid=8&amp;page=show_problem&amp;problem=3977","UVA 12532")</f>
        <v>UVA 12532</v>
      </c>
      <c r="F20" s="19" t="str">
        <f>HYPERLINK("http://codeforces.com/contest/560/problem/D","CF560-D2-D")</f>
        <v>CF560-D2-D</v>
      </c>
      <c r="G20" s="19" t="str">
        <f>HYPERLINK("http://codeforces.com/contest/447/problem/D","CF447-D2-D")</f>
        <v>CF447-D2-D</v>
      </c>
    </row>
    <row r="21" spans="1:7" x14ac:dyDescent="0.35">
      <c r="A21" s="9" t="str">
        <f>HYPERLINK("http://codeforces.com/contest/294/problem/A","CF294-D2-A")</f>
        <v>CF294-D2-A</v>
      </c>
      <c r="B21" s="19" t="str">
        <f>HYPERLINK("http://codeforces.com/contest/451/problem/B","CF451-D2-B")</f>
        <v>CF451-D2-B</v>
      </c>
      <c r="C21" s="16" t="str">
        <f>HYPERLINK("http://codeforces.com/contest/479/problem/B","CF479-D2-B")</f>
        <v>CF479-D2-B</v>
      </c>
      <c r="D21" s="12" t="str">
        <f>HYPERLINK("https://codeforces.com/contest/1068/problem/C","CF1068-D2-C")</f>
        <v>CF1068-D2-C</v>
      </c>
      <c r="E21" s="7" t="str">
        <f>HYPERLINK("https://icpcarchive.ecs.baylor.edu/index.php?option=com_onlinejudge&amp;Itemid=8&amp;page=show_problem&amp;problem=192","LIVEARCHIVE 2191")</f>
        <v>LIVEARCHIVE 2191</v>
      </c>
      <c r="F21" s="19" t="str">
        <f>HYPERLINK("http://codeforces.com/contest/451/problem/D","CF451-D2-D")</f>
        <v>CF451-D2-D</v>
      </c>
      <c r="G21" s="19" t="str">
        <f>HYPERLINK("http://codeforces.com/contest/548/problem/D","CF548-D2-D")</f>
        <v>CF548-D2-D</v>
      </c>
    </row>
    <row r="22" spans="1:7" x14ac:dyDescent="0.35">
      <c r="A22" s="9" t="str">
        <f>HYPERLINK("http://codeforces.com/contest/709/problem/A","CF709-D2-A")</f>
        <v>CF709-D2-A</v>
      </c>
      <c r="B22" s="19" t="str">
        <f>HYPERLINK("http://codeforces.com/contest/810/problem/B","CF810-D2-B")</f>
        <v>CF810-D2-B</v>
      </c>
      <c r="C22" s="20" t="str">
        <f>HYPERLINK("https://uva.onlinejudge.org/index.php?option=onlinejudge&amp;page=show_problem&amp;problem=1410","UVA 10469")</f>
        <v>UVA 10469</v>
      </c>
      <c r="D22" s="17" t="str">
        <f>HYPERLINK("http://codeforces.com/contest/313/problem/C","CF313-D2-C")</f>
        <v>CF313-D2-C</v>
      </c>
      <c r="E22" s="7" t="str">
        <f>HYPERLINK("http://www.spoj.com/problems/CDC12_H","SPOJ CDC12_H")</f>
        <v>SPOJ CDC12_H</v>
      </c>
      <c r="F22" s="19" t="str">
        <f>HYPERLINK("http://codeforces.com/contest/186/problem/D","CF186-D2-D")</f>
        <v>CF186-D2-D</v>
      </c>
      <c r="G22" s="19" t="str">
        <f>HYPERLINK("http://codeforces.com/contest/435/problem/D","CF435-D2-D")</f>
        <v>CF435-D2-D</v>
      </c>
    </row>
    <row r="23" spans="1:7" x14ac:dyDescent="0.35">
      <c r="A23" s="9" t="str">
        <f>HYPERLINK("http://codeforces.com/contest/799/problem/A","CF799-D2-A")</f>
        <v>CF799-D2-A</v>
      </c>
      <c r="B23" s="19" t="str">
        <f>HYPERLINK("http://codeforces.com/contest/79/problem/B","CF79-D12-B")</f>
        <v>CF79-D12-B</v>
      </c>
      <c r="C23" s="4" t="str">
        <f>HYPERLINK("https://uva.onlinejudge.org/index.php?option=onlinejudge&amp;page=show_problem&amp;problem=1753","UVA 10812")</f>
        <v>UVA 10812</v>
      </c>
      <c r="D23" s="16" t="str">
        <f>HYPERLINK("http://codeforces.com/contest/430/problem/B","CF430-D2-B")</f>
        <v>CF430-D2-B</v>
      </c>
      <c r="E23" s="7" t="str">
        <f>HYPERLINK("http://www.spoj.com/problems/CNTPRIME","SPOJ CNTPRIME")</f>
        <v>SPOJ CNTPRIME</v>
      </c>
      <c r="F23" s="19" t="str">
        <f>HYPERLINK("http://codeforces.com/contest/195/problem/D","CF195-D2-D")</f>
        <v>CF195-D2-D</v>
      </c>
      <c r="G23" s="6" t="str">
        <f>HYPERLINK("http://codeforces.com/contest/550/problem/D","CF550-D2-D")</f>
        <v>CF550-D2-D</v>
      </c>
    </row>
    <row r="24" spans="1:7" x14ac:dyDescent="0.35">
      <c r="A24" s="9" t="str">
        <f>HYPERLINK("http://codeforces.com/contest/443/problem/A","CF443-D2-A")</f>
        <v>CF443-D2-A</v>
      </c>
      <c r="B24" s="19" t="str">
        <f>HYPERLINK("http://codeforces.com/contest/88/problem/B","CF88-D2-B")</f>
        <v>CF88-D2-B</v>
      </c>
      <c r="C24" s="4" t="str">
        <f>HYPERLINK("https://uva.onlinejudge.org/index.php?option=onlinejudge&amp;page=show_problem&amp;problem=1243","UVA 10302")</f>
        <v>UVA 10302</v>
      </c>
      <c r="D24" s="16" t="str">
        <f>HYPERLINK("http://codeforces.com/contest/84/problem/B","CF84-D2-B")</f>
        <v>CF84-D2-B</v>
      </c>
      <c r="E24" s="19" t="str">
        <f>HYPERLINK("http://codeforces.com/contest/1023/problem/E","CF1023-D12-E")</f>
        <v>CF1023-D12-E</v>
      </c>
      <c r="F24" s="19" t="str">
        <f>HYPERLINK("http://codeforces.com/contest/401/problem/D","CF401-D2-D")</f>
        <v>CF401-D2-D</v>
      </c>
      <c r="G24" s="6" t="str">
        <f>HYPERLINK("https://codeforces.com/contest/1059/problem/D","CF1059-D2-D")</f>
        <v>CF1059-D2-D</v>
      </c>
    </row>
    <row r="25" spans="1:7" x14ac:dyDescent="0.35">
      <c r="A25" s="9" t="str">
        <f>HYPERLINK("http://codeforces.com/contest/71/problem/A","CF71-D2-A")</f>
        <v>CF71-D2-A</v>
      </c>
      <c r="B25" s="19" t="str">
        <f>HYPERLINK("http://codeforces.com/contest/766/problem/B","CF766-D2-B")</f>
        <v>CF766-D2-B</v>
      </c>
      <c r="C25" s="4" t="str">
        <f>HYPERLINK("https://uva.onlinejudge.org/index.php?option=com_onlinejudge&amp;Itemid=8&amp;page=show_problem&amp;problem=439","UVA 498")</f>
        <v>UVA 498</v>
      </c>
      <c r="D25" s="7" t="str">
        <f>HYPERLINK("http://www.spoj.com/problems/HORRIBLE","SPOJ HORRIBLE")</f>
        <v>SPOJ HORRIBLE</v>
      </c>
      <c r="E25" s="19" t="str">
        <f>HYPERLINK("https://codeforces.com/contest/1060/problem/C","CF1060-D12-C")</f>
        <v>CF1060-D12-C</v>
      </c>
      <c r="F25" s="19" t="str">
        <f>HYPERLINK("http://codeforces.com/contest/707/problem/D","CF707-D2-D")</f>
        <v>CF707-D2-D</v>
      </c>
      <c r="G25" s="14" t="str">
        <f>HYPERLINK("http://codeforces.com/contest/255/problem/C","CF255-D2-C")</f>
        <v>CF255-D2-C</v>
      </c>
    </row>
    <row r="26" spans="1:7" x14ac:dyDescent="0.35">
      <c r="A26" s="9" t="str">
        <f>HYPERLINK("http://codeforces.com/contest/686/problem/A","CF686-D2-A")</f>
        <v>CF686-D2-A</v>
      </c>
      <c r="B26" s="13" t="str">
        <f>HYPERLINK("http://www.spoj.com/problems/TOE1/","SPOJ TOE1")</f>
        <v>SPOJ TOE1</v>
      </c>
      <c r="C26" s="10" t="str">
        <f>HYPERLINK("https://uva.onlinejudge.org/index.php?option=onlinejudge&amp;page=show_problem&amp;problem=1994","UVA 11053")</f>
        <v>UVA 11053</v>
      </c>
      <c r="D26" s="7" t="str">
        <f>HYPERLINK("http://www.spoj.com/problems/LITE/","SPOJ LITE")</f>
        <v>SPOJ LITE</v>
      </c>
      <c r="E26" s="7" t="str">
        <f>HYPERLINK("http://codeforces.com/contest/52/problem/C","CF52-D12-C")</f>
        <v>CF52-D12-C</v>
      </c>
      <c r="F26" s="14" t="str">
        <f>HYPERLINK("http://codeforces.com/contest/680/problem/C","CF680-D2-C")</f>
        <v>CF680-D2-C</v>
      </c>
      <c r="G26" s="14" t="str">
        <f>HYPERLINK("http://codeforces.com/contest/59/problem/C","CF59-D2-C")</f>
        <v>CF59-D2-C</v>
      </c>
    </row>
    <row r="27" spans="1:7" x14ac:dyDescent="0.35">
      <c r="A27" s="9" t="str">
        <f>HYPERLINK("http://codeforces.com/contest/339/problem/A","CF339-D2-A")</f>
        <v>CF339-D2-A</v>
      </c>
      <c r="B27" s="13" t="str">
        <f>HYPERLINK("http://www.spoj.com/problems/TOE2/","SPOJ TOE2")</f>
        <v>SPOJ TOE2</v>
      </c>
      <c r="C27" s="10" t="str">
        <f>HYPERLINK("https://icpcarchive.ecs.baylor.edu/index.php?option=com_onlinejudge&amp;Itemid=8&amp;page=show_problem&amp;problem=6100","LiveArchive 8078")</f>
        <v>LiveArchive 8078</v>
      </c>
      <c r="D27" s="4" t="str">
        <f>HYPERLINK("https://uva.onlinejudge.org/index.php?option=com_onlinejudge&amp;Itemid=8&amp;page=show_problem&amp;problem=512","UVA 571")</f>
        <v>UVA 571</v>
      </c>
      <c r="E27" s="7" t="str">
        <f>HYPERLINK("http://www.spoj.com/problems/CITY2/","SPOJ CITY2")</f>
        <v>SPOJ CITY2</v>
      </c>
      <c r="F27" s="14" t="str">
        <f>HYPERLINK("http://codeforces.com/contest/401/problem/C","CF401-D2-C")</f>
        <v>CF401-D2-C</v>
      </c>
      <c r="G27" s="14" t="str">
        <f>HYPERLINK("http://codeforces.com/contest/495/problem/C","CF495-D2-C")</f>
        <v>CF495-D2-C</v>
      </c>
    </row>
    <row r="28" spans="1:7" x14ac:dyDescent="0.35">
      <c r="A28" s="9" t="str">
        <f>HYPERLINK("http://codeforces.com/contest/490/problem/A","CF490-D2-A")</f>
        <v>CF490-D2-A</v>
      </c>
      <c r="B28" s="13" t="str">
        <f>HYPERLINK("https://uva.onlinejudge.org/index.php?option=com_onlinejudge&amp;Itemid=8&amp;page=show_problem&amp;problem=380","UVA 439")</f>
        <v>UVA 439</v>
      </c>
      <c r="C28" s="4" t="str">
        <f>HYPERLINK("https://uva.onlinejudge.org/index.php?option=onlinejudge&amp;page=show_problem&amp;problem=1450","UVA 10509")</f>
        <v>UVA 10509</v>
      </c>
      <c r="D28" s="21" t="str">
        <f>HYPERLINK("https://uva.onlinejudge.org/index.php?option=com_onlinejudge&amp;Itemid=8&amp;page=show_problem&amp;problem=1927","UVA 10986")</f>
        <v>UVA 10986</v>
      </c>
      <c r="E28" s="7" t="str">
        <f>HYPERLINK("https://uva.onlinejudge.org/index.php?option=com_onlinejudge&amp;Itemid=8&amp;page=show_problem&amp;problem=3720","UVA 12299")</f>
        <v>UVA 12299</v>
      </c>
      <c r="F28" s="7" t="str">
        <f>HYPERLINK("https://uva.onlinejudge.org/index.php?option=com_onlinejudge&amp;Itemid=8&amp;page=show_problem&amp;problem=1345","UVA 10404")</f>
        <v>UVA 10404</v>
      </c>
      <c r="G28" s="11" t="str">
        <f>HYPERLINK("http://acm.zju.edu.cn/onlinejudge/showProblem.do?problemCode=2587","ZOJ 2587")</f>
        <v>ZOJ 2587</v>
      </c>
    </row>
    <row r="29" spans="1:7" x14ac:dyDescent="0.35">
      <c r="A29" s="9" t="str">
        <f>HYPERLINK("http://codeforces.com/contest/770/problem/A","CF770-D2-A")</f>
        <v>CF770-D2-A</v>
      </c>
      <c r="B29" s="13" t="str">
        <f>HYPERLINK("http://codeforces.com/contest/242/problem/C","CF242-D2-C")</f>
        <v>CF242-D2-C</v>
      </c>
      <c r="C29" s="10" t="str">
        <f>HYPERLINK("http://www.spoj.com/problems/QUEEN/","SPOJ QUEEN")</f>
        <v>SPOJ QUEEN</v>
      </c>
      <c r="D29" s="21" t="str">
        <f>HYPERLINK("https://uva.onlinejudge.org/index.php?option=onlinejudge&amp;page=show_problem&amp;problem=1742","UVA 10801")</f>
        <v>UVA 10801</v>
      </c>
      <c r="E29" s="7" t="str">
        <f>HYPERLINK("http://codeforces.com/problemset/problem/514/D","CF514-D2-D")</f>
        <v>CF514-D2-D</v>
      </c>
      <c r="F29" s="22" t="s">
        <v>47</v>
      </c>
      <c r="G29" s="11" t="str">
        <f>HYPERLINK("http://www.spoj.com/problems/DCEPC12E","SPOJ DCEPC12E")</f>
        <v>SPOJ DCEPC12E</v>
      </c>
    </row>
    <row r="30" spans="1:7" x14ac:dyDescent="0.35">
      <c r="A30" s="23" t="str">
        <f>HYPERLINK("https://uva.onlinejudge.org/index.php?option=com_onlinejudge&amp;Itemid=8&amp;page=show_problem&amp;problem=1051","UVA 10110")</f>
        <v>UVA 10110</v>
      </c>
      <c r="B30" s="24" t="s">
        <v>0</v>
      </c>
      <c r="C30" s="8" t="str">
        <f>HYPERLINK("https://www.hackerrank.com/challenges/sherlock-and-probability","HACKR sherlock-and-probability")</f>
        <v>HACKR sherlock-and-probability</v>
      </c>
      <c r="D30" s="21" t="str">
        <f>HYPERLINK("http://www.spoj.com/problems/SHOP/","SPOJ SHOP")</f>
        <v>SPOJ SHOP</v>
      </c>
      <c r="E30" s="7" t="str">
        <f>HYPERLINK("https://uva.onlinejudge.org/index.php?option=com_onlinejudge&amp;Itemid=8&amp;page=show_problem&amp;problem=2397","UVA 11402")</f>
        <v>UVA 11402</v>
      </c>
      <c r="F30" s="22" t="s">
        <v>48</v>
      </c>
      <c r="G30" s="11" t="str">
        <f>HYPERLINK("https://uva.onlinejudge.org/index.php?option=onlinejudge&amp;page=show_problem&amp;problem=563","UVA 622")</f>
        <v>UVA 622</v>
      </c>
    </row>
    <row r="31" spans="1:7" x14ac:dyDescent="0.35">
      <c r="A31" s="23" t="str">
        <f>HYPERLINK("https://uva.onlinejudge.org/index.php?option=com_onlinejudge&amp;Itemid=8&amp;page=show_problem&amp;problem=1047","UVA 10106")</f>
        <v>UVA 10106</v>
      </c>
      <c r="B31" s="25" t="s">
        <v>1</v>
      </c>
      <c r="C31" s="12" t="str">
        <f>HYPERLINK("http://codeforces.com/contest/402/problem/C","CF402-D2-C")</f>
        <v>CF402-D2-C</v>
      </c>
      <c r="D31" s="10" t="str">
        <f>HYPERLINK("https://uva.onlinejudge.org/index.php?option=onlinejudge&amp;page=show_problem&amp;problem=813","UVA 872")</f>
        <v>UVA 872</v>
      </c>
      <c r="E31" s="21" t="str">
        <f>HYPERLINK("http://www.spoj.com/problems/BRCKTS","SPOJ BRCKTS")</f>
        <v>SPOJ BRCKTS</v>
      </c>
      <c r="F31" s="22" t="s">
        <v>49</v>
      </c>
      <c r="G31" s="8" t="str">
        <f>HYPERLINK("http://poj.org/problem?id=2151","PKU 2151")</f>
        <v>PKU 2151</v>
      </c>
    </row>
    <row r="32" spans="1:7" x14ac:dyDescent="0.35">
      <c r="A32" s="23" t="str">
        <f>HYPERLINK("https://uva.onlinejudge.org/index.php?option=onlinejudge&amp;page=show_problem&amp;problem=349","UVA 408")</f>
        <v>UVA 408</v>
      </c>
      <c r="B32" s="25" t="s">
        <v>2</v>
      </c>
      <c r="C32" s="17" t="str">
        <f>HYPERLINK("http://codeforces.com/contest/227/problem/C","CF227-D2-C")</f>
        <v>CF227-D2-C</v>
      </c>
      <c r="D32" s="10" t="str">
        <f>HYPERLINK("https://codeforces.com/contest/1064/problem/C","CF1064-D2-C")</f>
        <v>CF1064-D2-C</v>
      </c>
      <c r="E32" s="7" t="str">
        <f>HYPERLINK("http://codeforces.com/contest/460/problem/C","CF460-D2-C")</f>
        <v>CF460-D2-C</v>
      </c>
      <c r="F32" s="15" t="str">
        <f>HYPERLINK("http://codeforces.com/contest/148/problem/D","CF148-D2-D")</f>
        <v>CF148-D2-D</v>
      </c>
      <c r="G32" s="11" t="str">
        <f>HYPERLINK("https://uva.onlinejudge.org/index.php?option=com_onlinejudge&amp;Itemid=8&amp;page=show_problem&amp;problem=3319","UVA 12167")</f>
        <v>UVA 12167</v>
      </c>
    </row>
    <row r="33" spans="1:7" x14ac:dyDescent="0.35">
      <c r="A33" s="23" t="str">
        <f>HYPERLINK("https://uva.onlinejudge.org/index.php?option=onlinejudge&amp;page=show_problem&amp;problem=2172","UVA 11231")</f>
        <v>UVA 11231</v>
      </c>
      <c r="B33" s="3" t="str">
        <f>HYPERLINK("http://codeforces.com/contest/129/problem/B","CF129-D2-B")</f>
        <v>CF129-D2-B</v>
      </c>
      <c r="C33" s="17" t="str">
        <f>HYPERLINK("http://codeforces.com/contest/577/problem/C","CF577-D2-C")</f>
        <v>CF577-D2-C</v>
      </c>
      <c r="D33" s="10" t="str">
        <f>HYPERLINK("https://codeforces.com/contest/1059/problem/C","CF1059-D2-C")</f>
        <v>CF1059-D2-C</v>
      </c>
      <c r="E33" s="5" t="s">
        <v>6</v>
      </c>
      <c r="F33" s="8" t="str">
        <f>HYPERLINK("https://codeforces.com/contest/1147/problem/B", "CF1147-D1-B")</f>
        <v>CF1147-D1-B</v>
      </c>
      <c r="G33" s="11" t="str">
        <f>HYPERLINK("https://uva.onlinejudge.org/index.php?option=onlinejudge&amp;page=show_problem&amp;problem=488","UVA 547")</f>
        <v>UVA 547</v>
      </c>
    </row>
    <row r="34" spans="1:7" x14ac:dyDescent="0.35">
      <c r="A34" s="23" t="str">
        <f>HYPERLINK("https://www.spoj.com/problems/EASYMATH/","SPOJ EASYMATH")</f>
        <v>SPOJ EASYMATH</v>
      </c>
      <c r="B34" s="3" t="str">
        <f>HYPERLINK("http://codeforces.com/contest/476/problem/B","CF476-D2-B")</f>
        <v>CF476-D2-B</v>
      </c>
      <c r="C34" s="12" t="str">
        <f>HYPERLINK("http://codeforces.com/contest/71/problem/C","CF71-D2-C")</f>
        <v>CF71-D2-C</v>
      </c>
      <c r="D34" s="10" t="str">
        <f>HYPERLINK("https://codeforces.com/gym/101933/problem/K","CF101933-GYM-K")</f>
        <v>CF101933-GYM-K</v>
      </c>
      <c r="E34" s="5" t="s">
        <v>19</v>
      </c>
      <c r="F34" s="11" t="str">
        <f>HYPERLINK("https://uva.onlinejudge.org/index.php?option=com_onlinejudge&amp;Itemid=8&amp;page=show_problem&amp;problem=1052","UVA 10111")</f>
        <v>UVA 10111</v>
      </c>
      <c r="G34" s="8" t="str">
        <f>HYPERLINK("https://uva.onlinejudge.org/index.php?option=onlinejudge&amp;page=show_problem&amp;problem=2499","UVA 11504")</f>
        <v>UVA 11504</v>
      </c>
    </row>
    <row r="35" spans="1:7" x14ac:dyDescent="0.35">
      <c r="A35" s="26" t="str">
        <f>HYPERLINK("https://uva.onlinejudge.org/index.php?option=onlinejudge&amp;page=show_problem&amp;problem=3300","UVA 12148")</f>
        <v>UVA 12148</v>
      </c>
      <c r="B35" s="3" t="str">
        <f>HYPERLINK("http://codeforces.com/contest/469/problem/B","CF469-D2-B")</f>
        <v>CF469-D2-B</v>
      </c>
      <c r="C35" s="12" t="str">
        <f>HYPERLINK("http://codeforces.com/contest/580/problem/C","CF580-D2-C")</f>
        <v>CF580-D2-C</v>
      </c>
      <c r="D35" s="8" t="str">
        <f>HYPERLINK("http://codeforces.com/contest/816/problem/B","CF816-D2-B")</f>
        <v>CF816-D2-B</v>
      </c>
      <c r="E35" s="8" t="str">
        <f>HYPERLINK("http://www.spoj.com/problems/MELE3/","SPOJ MELE3")</f>
        <v>SPOJ MELE3</v>
      </c>
      <c r="F35" s="8" t="str">
        <f>HYPERLINK("http://www.spoj.com/problems/ROADS/en/","SPOJ ROADS")</f>
        <v>SPOJ ROADS</v>
      </c>
      <c r="G35" s="5" t="s">
        <v>87</v>
      </c>
    </row>
    <row r="36" spans="1:7" x14ac:dyDescent="0.35">
      <c r="A36" s="9" t="str">
        <f>HYPERLINK("http://codeforces.com/contest/136/problem/A","CF136-D2-A")</f>
        <v>CF136-D2-A</v>
      </c>
      <c r="B36" s="3" t="str">
        <f>HYPERLINK("http://codeforces.com/contest/215/problem/B","CF215-D2-B")</f>
        <v>CF215-D2-B</v>
      </c>
      <c r="C36" s="17" t="str">
        <f>HYPERLINK("http://codeforces.com/contest/357/problem/C","CF357-D2-C")</f>
        <v>CF357-D2-C</v>
      </c>
      <c r="D36" s="10" t="str">
        <f>HYPERLINK("https://uva.onlinejudge.org/index.php?option=com_onlinejudge&amp;Itemid=8&amp;page=show_problem&amp;problem=407","UVA 466")</f>
        <v>UVA 466</v>
      </c>
      <c r="E36" s="8" t="str">
        <f>HYPERLINK("http://www.spoj.com/problems/KGSS/","SPOJ KGSS")</f>
        <v>SPOJ KGSS</v>
      </c>
      <c r="F36" s="8" t="str">
        <f>HYPERLINK("https://uva.onlinejudge.org/index.php?option=onlinejudge&amp;page=show_problem&amp;problem=1400","UVA 10459")</f>
        <v>UVA 10459</v>
      </c>
      <c r="G36" s="8" t="str">
        <f>HYPERLINK("https://uva.onlinejudge.org/index.php?option=com_onlinejudge&amp;Itemid=8&amp;page=show_problem&amp;problem=2117","UVA 11176")</f>
        <v>UVA 11176</v>
      </c>
    </row>
    <row r="37" spans="1:7" x14ac:dyDescent="0.35">
      <c r="A37" s="9" t="str">
        <f>HYPERLINK("http://codeforces.com/contest/567/problem/A","CF567-D2-A")</f>
        <v>CF567-D2-A</v>
      </c>
      <c r="B37" s="3" t="str">
        <f>HYPERLINK("http://codeforces.com/contest/714/problem/B","CF714-D2-B")</f>
        <v>CF714-D2-B</v>
      </c>
      <c r="C37" s="16" t="str">
        <f>HYPERLINK("http://codeforces.com/contest/219/problem/B","CF219-D2-B")</f>
        <v>CF219-D2-B</v>
      </c>
      <c r="D37" s="12" t="str">
        <f>HYPERLINK("http://codeforces.com/contest/63/problem/C","CF63-D2-C")</f>
        <v>CF63-D2-C</v>
      </c>
      <c r="E37" s="5" t="s">
        <v>26</v>
      </c>
      <c r="F37" s="8" t="str">
        <f>HYPERLINK("https://uva.onlinejudge.org/index.php?option=com_onlinejudge&amp;Itemid=8&amp;page=show_problem&amp;problem=3673","UVA 1232")</f>
        <v>UVA 1232</v>
      </c>
      <c r="G37" s="5" t="s">
        <v>88</v>
      </c>
    </row>
    <row r="38" spans="1:7" x14ac:dyDescent="0.35">
      <c r="A38" s="9" t="str">
        <f>HYPERLINK("http://codeforces.com/contest/766/problem/A","CF766-D2-A")</f>
        <v>CF766-D2-A</v>
      </c>
      <c r="B38" s="3" t="str">
        <f>HYPERLINK("http://codeforces.com/contest/400/problem/B","CF400-D2-B")</f>
        <v>CF400-D2-B</v>
      </c>
      <c r="C38" s="4" t="str">
        <f>HYPERLINK("https://uva.onlinejudge.org/index.php?option=com_onlinejudge&amp;Itemid=8&amp;page=show_problem&amp;problem=129","UVA 193")</f>
        <v>UVA 193</v>
      </c>
      <c r="D38" s="12" t="str">
        <f>HYPERLINK("http://codeforces.com/contest/430/problem/C","CF430-D2-C")</f>
        <v>CF430-D2-C</v>
      </c>
      <c r="E38" s="5" t="s">
        <v>27</v>
      </c>
      <c r="F38" s="10" t="str">
        <f>HYPERLINK("http://www.spoj.com/problems/ORDERS/","SPOJ ORDERS")</f>
        <v>SPOJ ORDERS</v>
      </c>
      <c r="G38" s="5" t="s">
        <v>89</v>
      </c>
    </row>
    <row r="39" spans="1:7" x14ac:dyDescent="0.35">
      <c r="A39" s="9" t="str">
        <f>HYPERLINK("http://codeforces.com/problemset/problem/767/A","CF767-D2-A")</f>
        <v>CF767-D2-A</v>
      </c>
      <c r="B39" s="3" t="str">
        <f>HYPERLINK("http://codeforces.com/contest/152/problem/B","CF152-D2-B")</f>
        <v>CF152-D2-B</v>
      </c>
      <c r="C39" s="4" t="str">
        <f>HYPERLINK("https://uva.onlinejudge.org/index.php?option=com_onlinejudge&amp;Itemid=8&amp;page=show_problem&amp;problem=1285","UVA 10344")</f>
        <v>UVA 10344</v>
      </c>
      <c r="D39" s="12" t="str">
        <f>HYPERLINK("http://codeforces.com/contest/591/problem/C","CF591-D2-C")</f>
        <v>CF591-D2-C</v>
      </c>
      <c r="E39" s="8" t="str">
        <f>HYPERLINK("http://codeforces.com/contest/201/problem/B","CF201-D1-B")</f>
        <v>CF201-D1-B</v>
      </c>
      <c r="F39" s="8" t="str">
        <f>HYPERLINK("http://codeforces.com/contest/268/problem/E","CF268-D2-E")</f>
        <v>CF268-D2-E</v>
      </c>
      <c r="G39" s="5" t="s">
        <v>92</v>
      </c>
    </row>
    <row r="40" spans="1:7" x14ac:dyDescent="0.35">
      <c r="A40" s="9" t="str">
        <f>HYPERLINK("http://codeforces.com/contest/768/problem/A","CF768-D2-A")</f>
        <v>CF768-D2-A</v>
      </c>
      <c r="B40" s="3" t="str">
        <f>HYPERLINK("http://codeforces.com/contest/186/problem/B","CF186-D2-B")</f>
        <v>CF186-D2-B</v>
      </c>
      <c r="C40" s="4" t="str">
        <f>HYPERLINK("https://uva.onlinejudge.org/index.php?option=com_onlinejudge&amp;Itemid=8&amp;page=show_problem&amp;problem=691","UVA 750")</f>
        <v>UVA 750</v>
      </c>
      <c r="D40" s="12" t="str">
        <f>HYPERLINK("http://codeforces.com/contest/711/problem/C","CF711-D2-C")</f>
        <v>CF711-D2-C</v>
      </c>
      <c r="E40" s="8" t="str">
        <f>HYPERLINK("http://codeforces.com/contest/380/problem/C","CF380-D1-C")</f>
        <v>CF380-D1-C</v>
      </c>
      <c r="F40" s="5" t="s">
        <v>50</v>
      </c>
      <c r="G40" s="5" t="s">
        <v>93</v>
      </c>
    </row>
    <row r="41" spans="1:7" x14ac:dyDescent="0.35">
      <c r="A41" s="9" t="str">
        <f>HYPERLINK("http://codeforces.com/contest/520/problem/A","CF520-D2-A")</f>
        <v>CF520-D2-A</v>
      </c>
      <c r="B41" s="19" t="str">
        <f>HYPERLINK("http://codeforces.com/contest/148/problem/B","CF148-D2-B")</f>
        <v>CF148-D2-B</v>
      </c>
      <c r="C41" s="8" t="str">
        <f>HYPERLINK("https://uva.onlinejudge.org/index.php?option=onlinejudge&amp;page=show_problem&amp;problem=3276","UVA 12124")</f>
        <v>UVA 12124</v>
      </c>
      <c r="D41" s="17" t="str">
        <f>HYPERLINK("http://codeforces.com/contest/202/problem/C","CF202-D2-C")</f>
        <v>CF202-D2-C</v>
      </c>
      <c r="E41" s="8" t="str">
        <f>HYPERLINK("http://codeforces.com/contest/161/problem/D","CF161-D12-D")</f>
        <v>CF161-D12-D</v>
      </c>
      <c r="F41" s="12" t="str">
        <f>HYPERLINK("http://codeforces.com/contest/276/problem/D","CF276-D2-D")</f>
        <v>CF276-D2-D</v>
      </c>
      <c r="G41" s="8" t="str">
        <f>HYPERLINK("https://beta.atcoder.jp/contests/agc026/tasks/agc026_b","AtCoder026-AGC-B")</f>
        <v>AtCoder026-AGC-B</v>
      </c>
    </row>
    <row r="42" spans="1:7" x14ac:dyDescent="0.35">
      <c r="A42" s="9" t="str">
        <f>HYPERLINK("http://codeforces.com/contest/160/problem/A","CF160-D2-A")</f>
        <v>CF160-D2-A</v>
      </c>
      <c r="B42" s="4" t="str">
        <f>HYPERLINK("http://codeforces.com/contest/699/problem/C","CF699-D2-C")</f>
        <v>CF699-D2-C</v>
      </c>
      <c r="C42" s="5" t="s">
        <v>5</v>
      </c>
      <c r="D42" s="18" t="str">
        <f>HYPERLINK("https://codeforces.com/contest/1237/problem/C2","CF1237-D12-C2")</f>
        <v>CF1237-D12-C2</v>
      </c>
      <c r="E42" s="8" t="str">
        <f>HYPERLINK("https://codeforces.com/problemset/problem/61/E","CF61-D2-E")</f>
        <v>CF61-D2-E</v>
      </c>
      <c r="F42" s="5" t="s">
        <v>90</v>
      </c>
      <c r="G42" s="5" t="s">
        <v>94</v>
      </c>
    </row>
    <row r="43" spans="1:7" x14ac:dyDescent="0.35">
      <c r="A43" s="9" t="str">
        <f>HYPERLINK("http://codeforces.com/contest/474/problem/A","CF474-D2-A")</f>
        <v>CF474-D2-A</v>
      </c>
      <c r="B43" s="4" t="str">
        <f>HYPERLINK("http://codeforces.com/contest/545/problem/C","CF545-D2-C")</f>
        <v>CF545-D2-C</v>
      </c>
      <c r="C43" s="12" t="str">
        <f>HYPERLINK("http://codeforces.com/contest/424/problem/C","CF424-D2-C")</f>
        <v>CF424-D2-C</v>
      </c>
      <c r="D43" s="16" t="str">
        <f>HYPERLINK("http://codeforces.com/contest/426/problem/B","CF426-D2-B")</f>
        <v>CF426-D2-B</v>
      </c>
      <c r="E43" s="5" t="s">
        <v>28</v>
      </c>
      <c r="F43" s="5" t="s">
        <v>91</v>
      </c>
      <c r="G43" s="5" t="s">
        <v>95</v>
      </c>
    </row>
    <row r="44" spans="1:7" x14ac:dyDescent="0.35">
      <c r="A44" s="23" t="str">
        <f>HYPERLINK("https://uva.onlinejudge.org/index.php?option=onlinejudge&amp;page=show_problem&amp;problem=288","UVA 352")</f>
        <v>UVA 352</v>
      </c>
      <c r="B44" s="13" t="str">
        <f>HYPERLINK("http://codeforces.com/contest/225/problem/C","CF225-D2-C")</f>
        <v>CF225-D2-C</v>
      </c>
      <c r="C44" s="12" t="str">
        <f>HYPERLINK("http://codeforces.com/contest/707/problem/C","CF707-D2-C")</f>
        <v>CF707-D2-C</v>
      </c>
      <c r="D44" s="16" t="str">
        <f>HYPERLINK("http://codeforces.com/contest/675/problem/B","CF675-D2-B")</f>
        <v>CF675-D2-B</v>
      </c>
      <c r="E44" s="12" t="str">
        <f>HYPERLINK("http://codeforces.com/contest/224/problem/D","CF224-D2-D")</f>
        <v>CF224-D2-D</v>
      </c>
      <c r="F44" s="27" t="s">
        <v>51</v>
      </c>
      <c r="G44" s="19" t="str">
        <f>HYPERLINK("http://codeforces.com/contest/478/problem/D","CF478-D2-D")</f>
        <v>CF478-D2-D</v>
      </c>
    </row>
    <row r="45" spans="1:7" x14ac:dyDescent="0.35">
      <c r="A45" s="23" t="str">
        <f>HYPERLINK("https://uva.onlinejudge.org/index.php?option=onlinejudge&amp;page=show_problem&amp;problem=1393","UVA 10452")</f>
        <v>UVA 10452</v>
      </c>
      <c r="B45" s="28" t="str">
        <f>HYPERLINK("https://uva.onlinejudge.org/index.php?option=onlinejudge&amp;page=show_problem&amp;problem=2035","UVA 11094")</f>
        <v>UVA 11094</v>
      </c>
      <c r="C45" s="12" t="str">
        <f>HYPERLINK("http://codeforces.com/contest/560/problem/C","CF560-D2-C")</f>
        <v>CF560-D2-C</v>
      </c>
      <c r="D45" s="19"/>
      <c r="E45" s="12" t="str">
        <f>HYPERLINK("http://codeforces.com/contest/75/problem/D","CF75-D2-D")</f>
        <v>CF75-D2-D</v>
      </c>
      <c r="F45" s="12" t="str">
        <f>HYPERLINK("https://codeforces.com/contest/1057/problem/C","CF1057-D12-C")</f>
        <v>CF1057-D12-C</v>
      </c>
      <c r="G45" s="19" t="str">
        <f>HYPERLINK("http://codeforces.com/contest/363/problem/D","CF363-D2-D")</f>
        <v>CF363-D2-D</v>
      </c>
    </row>
    <row r="46" spans="1:7" x14ac:dyDescent="0.35">
      <c r="A46" s="23" t="str">
        <f>HYPERLINK("https://uva.onlinejudge.org/index.php?option=com_onlinejudge&amp;Itemid=8&amp;page=show_problem&amp;problem=3104","UVA 11953")</f>
        <v>UVA 11953</v>
      </c>
      <c r="B46" s="8" t="str">
        <f>HYPERLINK("https://uva.onlinejudge.org/index.php?option=onlinejudge&amp;page=show_problem&amp;problem=1806","UVA 10865")</f>
        <v>UVA 10865</v>
      </c>
      <c r="C46" s="17" t="str">
        <f>HYPERLINK("http://codeforces.com/contest/252/problem/C","CF252-D2-C")</f>
        <v>CF252-D2-C</v>
      </c>
      <c r="D46" s="19" t="str">
        <f>HYPERLINK("http://codeforces.com/contest/151/problem/D","CF151-D2-D")</f>
        <v>CF151-D2-D</v>
      </c>
      <c r="E46" s="19" t="str">
        <f>HYPERLINK("http://codeforces.com/contest/61/problem/D","CF61-D2-D")</f>
        <v>CF61-D2-D</v>
      </c>
      <c r="F46" s="8" t="str">
        <f>HYPERLINK("http://codeforces.com/contest/811/problem/D","CF811-D2-D")</f>
        <v>CF811-D2-D</v>
      </c>
      <c r="G46" s="6" t="str">
        <f>HYPERLINK("http://codeforces.com/contest/146/problem/D","CF146-D2-D")</f>
        <v>CF146-D2-D</v>
      </c>
    </row>
    <row r="47" spans="1:7" x14ac:dyDescent="0.35">
      <c r="A47" s="23" t="str">
        <f>HYPERLINK("http://codeforces.com/contest/216/problem/B","CF216-D2-B")</f>
        <v>CF216-D2-B</v>
      </c>
      <c r="B47" s="8" t="str">
        <f>HYPERLINK("http://acm.timus.ru/problem.aspx?space=1&amp;num=1054","TIMUS 1054")</f>
        <v>TIMUS 1054</v>
      </c>
      <c r="C47" s="17" t="str">
        <f>HYPERLINK("http://codeforces.com/contest/353/problem/C","CF353-D2-C")</f>
        <v>CF353-D2-C</v>
      </c>
      <c r="D47" s="21" t="str">
        <f>HYPERLINK("https://uva.onlinejudge.org/index.php?option=onlinejudge&amp;page=show_problem&amp;problem=678","UVA 737")</f>
        <v>UVA 737</v>
      </c>
      <c r="E47" s="12" t="str">
        <f>HYPERLINK("http://codeforces.com/contest/808/problem/D","CF808-D2-D")</f>
        <v>CF808-D2-D</v>
      </c>
      <c r="F47" s="12" t="str">
        <f>HYPERLINK("https://codeforces.com/contest/1064/problem/E","CF1064-D2-E")</f>
        <v>CF1064-D2-E</v>
      </c>
      <c r="G47" s="6" t="str">
        <f>HYPERLINK("http://codeforces.com/contest/496/problem/D","CF496-D2-D")</f>
        <v>CF496-D2-D</v>
      </c>
    </row>
    <row r="48" spans="1:7" x14ac:dyDescent="0.35">
      <c r="A48" s="23" t="str">
        <f>HYPERLINK("http://www.spoj.com/problems/MAKETREE/","SPOJ MAKETREE")</f>
        <v>SPOJ MAKETREE</v>
      </c>
      <c r="B48" s="3" t="str">
        <f>HYPERLINK("http://codeforces.com/contest/262/problem/B","CF262-D2-B")</f>
        <v>CF262-D2-B</v>
      </c>
      <c r="C48" s="16" t="str">
        <f>HYPERLINK("http://codeforces.com/contest/450/problem/B","CF450-D2-B")</f>
        <v>CF450-D2-B</v>
      </c>
      <c r="D48" s="21" t="str">
        <f>HYPERLINK("https://uva.onlinejudge.org/index.php?option=com_onlinejudge&amp;Itemid=8&amp;page=show_problem&amp;problem=807","UVA 866")</f>
        <v>UVA 866</v>
      </c>
      <c r="E48" s="12" t="str">
        <f>HYPERLINK("https://codeforces.com/contest/1066/problem/F","CF1066-D3-F")</f>
        <v>CF1066-D3-F</v>
      </c>
      <c r="F48" s="12" t="str">
        <f>HYPERLINK("http://codeforces.com/contest/459/problem/E","CF459-D2-E")</f>
        <v>CF459-D2-E</v>
      </c>
      <c r="G48" s="6" t="str">
        <f>HYPERLINK("http://codeforces.com/contest/340/problem/D","CF340-D2-D")</f>
        <v>CF340-D2-D</v>
      </c>
    </row>
    <row r="49" spans="1:7" x14ac:dyDescent="0.35">
      <c r="A49" s="23" t="str">
        <f>HYPERLINK("https://uva.onlinejudge.org/index.php?option=onlinejudge&amp;page=show_problem&amp;problem=1246","UVA 10305")</f>
        <v>UVA 10305</v>
      </c>
      <c r="B49" s="3" t="str">
        <f>HYPERLINK("http://codeforces.com/contest/385/problem/B","CF385-D2-B")</f>
        <v>CF385-D2-B</v>
      </c>
      <c r="C49" s="16" t="str">
        <f>HYPERLINK("http://codeforces.com/contest/570/problem/B","CF570-D2-B")</f>
        <v>CF570-D2-B</v>
      </c>
      <c r="D49" s="12" t="str">
        <f>HYPERLINK("http://codeforces.com/contest/45/problem/D","CF45-D12-D")</f>
        <v>CF45-D12-D</v>
      </c>
      <c r="E49" s="27" t="s">
        <v>29</v>
      </c>
      <c r="F49" s="27" t="s">
        <v>52</v>
      </c>
      <c r="G49" s="19" t="str">
        <f>HYPERLINK("http://codeforces.com/contest/402/problem/D","CF402-D2-D")</f>
        <v>CF402-D2-D</v>
      </c>
    </row>
    <row r="50" spans="1:7" x14ac:dyDescent="0.35">
      <c r="A50" s="9" t="str">
        <f>HYPERLINK("http://codeforces.com/contest/318/problem/A","CF318-D2-A")</f>
        <v>CF318-D2-A</v>
      </c>
      <c r="B50" s="3" t="str">
        <f>HYPERLINK("http://codeforces.com/contest/376/problem/B","CF376-D2-B")</f>
        <v>CF376-D2-B</v>
      </c>
      <c r="C50" s="16" t="str">
        <f>HYPERLINK("http://codeforces.com/contest/271/problem/B","CF271-D2-B")</f>
        <v>CF271-D2-B</v>
      </c>
      <c r="D50" s="21" t="str">
        <f>HYPERLINK("https://uva.onlinejudge.org/index.php?option=onlinejudge&amp;page=show_problem&amp;problem=379","UVA 438")</f>
        <v>UVA 438</v>
      </c>
      <c r="E50" s="12" t="str">
        <f>HYPERLINK("http://codeforces.com/problemsets/acmsguru/problem/99999/321","SGU 321")</f>
        <v>SGU 321</v>
      </c>
      <c r="F50" s="12" t="str">
        <f>HYPERLINK("http://codeforces.com/contest/1043/problem/D","CF1043-D12-D")</f>
        <v>CF1043-D12-D</v>
      </c>
      <c r="G50" s="19" t="s">
        <v>96</v>
      </c>
    </row>
    <row r="51" spans="1:7" x14ac:dyDescent="0.35">
      <c r="A51" s="9" t="str">
        <f>HYPERLINK("http://codeforces.com/contest/469/problem/A","CF469-D2-A")</f>
        <v>CF469-D2-A</v>
      </c>
      <c r="B51" s="3" t="str">
        <f>HYPERLINK("http://codeforces.com/contest/352/problem/B","CF352-D2-B")</f>
        <v>CF352-D2-B</v>
      </c>
      <c r="C51" s="21" t="str">
        <f>HYPERLINK("https://uva.onlinejudge.org/index.php?option=onlinejudge&amp;page=show_problem&amp;problem=1133","UVA 10192")</f>
        <v>UVA 10192</v>
      </c>
      <c r="D51" s="21" t="str">
        <f>HYPERLINK("https://uva.onlinejudge.org/index.php?option=com_onlinejudge&amp;Itemid=8&amp;page=show_problem&amp;problem=418","UVA 477")</f>
        <v>UVA 477</v>
      </c>
      <c r="E51" s="12" t="str">
        <f>HYPERLINK("https://www.codechef.com/LTIME64B/problems/OPPOSITE", "CODECHEF OPPOSITE")</f>
        <v>CODECHEF OPPOSITE</v>
      </c>
      <c r="F51" s="14" t="str">
        <f>HYPERLINK("http://codeforces.com/contest/200/problem/C","CF200-D2-C")</f>
        <v>CF200-D2-C</v>
      </c>
      <c r="G51" s="14" t="str">
        <f>HYPERLINK("http://codeforces.com/contest/69/problem/C","CF69-D2-C")</f>
        <v>CF69-D2-C</v>
      </c>
    </row>
    <row r="52" spans="1:7" x14ac:dyDescent="0.35">
      <c r="A52" s="9" t="str">
        <f>HYPERLINK("http://codeforces.com/contest/807/problem/A","CF807-D2-A")</f>
        <v>CF807-D2-A</v>
      </c>
      <c r="B52" s="3" t="str">
        <f>HYPERLINK("http://codeforces.com/contest/144/problem/B","CF144-D2-B")</f>
        <v>CF144-D2-B</v>
      </c>
      <c r="C52" s="21" t="str">
        <f>HYPERLINK("https://uva.onlinejudge.org/index.php?option=com_onlinejudge&amp;Itemid=8&amp;page=show_problem&amp;problem=503","UVA 562")</f>
        <v>UVA 562</v>
      </c>
      <c r="D52" s="21" t="str">
        <f>HYPERLINK("https://uva.onlinejudge.org/index.php?option=onlinejudge&amp;page=show_problem&amp;problem=292","UVA 356")</f>
        <v>UVA 356</v>
      </c>
      <c r="E52" s="27" t="s">
        <v>30</v>
      </c>
      <c r="F52" s="14" t="str">
        <f>HYPERLINK("http://codeforces.com/contest/489/problem/C","CF489-D2-C")</f>
        <v>CF489-D2-C</v>
      </c>
      <c r="G52" s="14" t="str">
        <f>HYPERLINK("http://codeforces.com/contest/322/problem/C","CF322-D2-C")</f>
        <v>CF322-D2-C</v>
      </c>
    </row>
    <row r="53" spans="1:7" x14ac:dyDescent="0.35">
      <c r="A53" s="9" t="str">
        <f>HYPERLINK("http://codeforces.com/contest/584/problem/A","CF584-D2-A")</f>
        <v>CF584-D2-A</v>
      </c>
      <c r="B53" s="3" t="str">
        <f>HYPERLINK("http://codeforces.com/contest/617/problem/B","CF617-D2-B")</f>
        <v>CF617-D2-B</v>
      </c>
      <c r="C53" s="29" t="s">
        <v>6</v>
      </c>
      <c r="D53" s="21" t="s">
        <v>15</v>
      </c>
      <c r="E53" s="27" t="s">
        <v>31</v>
      </c>
      <c r="F53" s="8" t="str">
        <f>HYPERLINK("https://uva.onlinejudge.org/index.php?option=onlinejudge&amp;page=show_problem&amp;problem=122","UVA 186")</f>
        <v>UVA 186</v>
      </c>
      <c r="G53" s="14" t="str">
        <f>HYPERLINK("http://codeforces.com/contest/716/problem/C","CF716-D2-C")</f>
        <v>CF716-D2-C</v>
      </c>
    </row>
    <row r="54" spans="1:7" x14ac:dyDescent="0.35">
      <c r="A54" s="9" t="str">
        <f>HYPERLINK("http://codeforces.com/contest/43/problem/A","CF43-D2-A")</f>
        <v>CF43-D2-A</v>
      </c>
      <c r="B54" s="3" t="str">
        <f>HYPERLINK("http://codeforces.com/contest/236/problem/B","CF236-D2-B")</f>
        <v>CF236-D2-B</v>
      </c>
      <c r="C54" s="29" t="s">
        <v>7</v>
      </c>
      <c r="D54" s="8" t="str">
        <f>HYPERLINK("https://uva.onlinejudge.org/index.php?option=onlinejudge&amp;page=show_problem&amp;problem=1425","UVA 10484")</f>
        <v>UVA 10484</v>
      </c>
      <c r="E54" s="27" t="s">
        <v>32</v>
      </c>
      <c r="F54" s="8" t="str">
        <f>HYPERLINK("https://uva.onlinejudge.org/index.php?option=onlinejudge&amp;page=show_problem&amp;problem=548","UVA 607")</f>
        <v>UVA 607</v>
      </c>
      <c r="G54" s="10" t="str">
        <f>HYPERLINK("https://uva.onlinejudge.org/index.php?option=com_onlinejudge&amp;Itemid=8&amp;page=show_problem&amp;problem=4395","UVA 12657")</f>
        <v>UVA 12657</v>
      </c>
    </row>
    <row r="55" spans="1:7" x14ac:dyDescent="0.35">
      <c r="A55" s="9" t="str">
        <f>HYPERLINK("http://codeforces.com/contest/707/problem/A","CF707-D2-A")</f>
        <v>CF707-D2-A</v>
      </c>
      <c r="B55" s="6" t="str">
        <f>HYPERLINK("http://codeforces.com/contest/514/problem/B","CF514-D2-B")</f>
        <v>CF514-D2-B</v>
      </c>
      <c r="C55" s="8" t="str">
        <f>HYPERLINK("https://uva.onlinejudge.org/index.php?option=com_onlinejudge&amp;Itemid=8&amp;page=show_problem&amp;problem=37","UVA 101")</f>
        <v>UVA 101</v>
      </c>
      <c r="D55" s="5" t="s">
        <v>16</v>
      </c>
      <c r="E55" s="14" t="str">
        <f>HYPERLINK("http://codeforces.com/contest/216/problem/C","CF216-D2-C")</f>
        <v>CF216-D2-C</v>
      </c>
      <c r="F55" s="8" t="str">
        <f>HYPERLINK("http://www.spoj.com/problems/WEIRDFN/","SPOJ WEIRDFN")</f>
        <v>SPOJ WEIRDFN</v>
      </c>
      <c r="G55" s="5" t="s">
        <v>97</v>
      </c>
    </row>
    <row r="56" spans="1:7" x14ac:dyDescent="0.35">
      <c r="A56" s="9" t="str">
        <f>HYPERLINK("http://codeforces.com/contest/208/problem/A","CF208-D2-A")</f>
        <v>CF208-D2-A</v>
      </c>
      <c r="B56" s="6" t="str">
        <f>HYPERLINK("http://codeforces.com/contest/253/problem/B","CF253-D2-B")</f>
        <v>CF253-D2-B</v>
      </c>
      <c r="C56" s="8" t="str">
        <f>HYPERLINK("https://uva.onlinejudge.org/index.php?option=com_onlinejudge&amp;Itemid=8&amp;page=show_problem&amp;problem=977","UVA 10036")</f>
        <v>UVA 10036</v>
      </c>
      <c r="D56" s="8" t="str">
        <f>HYPERLINK("http://codeforces.com/contest/975/problem/C","CF975-D2-C")</f>
        <v>CF975-D2-C</v>
      </c>
      <c r="E56" s="14" t="str">
        <f>HYPERLINK("http://codeforces.com/contest/535/problem/C","CF535-D2-C")</f>
        <v>CF535-D2-C</v>
      </c>
      <c r="F56" s="8" t="str">
        <f>HYPERLINK("https://uva.onlinejudge.org/index.php?option=com_onlinejudge&amp;Itemid=8&amp;page=show_problem&amp;problem=966","UVA 10025")</f>
        <v>UVA 10025</v>
      </c>
      <c r="G56" s="11" t="str">
        <f>HYPERLINK("https://uva.onlinejudge.org/index.php?option=onlinejudge&amp;page=show_problem&amp;problem=2322","UVA 11347")</f>
        <v>UVA 11347</v>
      </c>
    </row>
    <row r="57" spans="1:7" x14ac:dyDescent="0.35">
      <c r="A57" s="9" t="str">
        <f>HYPERLINK("http://codeforces.com/contest/404/problem/A","CF404-D2-A")</f>
        <v>CF404-D2-A</v>
      </c>
      <c r="B57" s="6" t="str">
        <f>HYPERLINK("http://codeforces.com/contest/520/problem/B","CF520-D2-B")</f>
        <v>CF520-D2-B</v>
      </c>
      <c r="C57" s="5" t="s">
        <v>8</v>
      </c>
      <c r="D57" s="8" t="str">
        <f>HYPERLINK("http://codeforces.com/contest/1047/problem/C","CF1047-D2-C")</f>
        <v>CF1047-D2-C</v>
      </c>
      <c r="E57" s="14" t="str">
        <f>HYPERLINK("http://codeforces.com/contest/189/problem/C","CF189-D2-C")</f>
        <v>CF189-D2-C</v>
      </c>
      <c r="F57" s="19" t="str">
        <f>HYPERLINK("http://codeforces.com/problemset/problem/1017/D","CF1017-D12-D")</f>
        <v>CF1017-D12-D</v>
      </c>
      <c r="G57" s="11" t="str">
        <f>HYPERLINK("https://uva.onlinejudge.org/index.php?option=com_onlinejudge&amp;Itemid=8&amp;page=show_problem&amp;problem=504","UVA 563")</f>
        <v>UVA 563</v>
      </c>
    </row>
    <row r="58" spans="1:7" x14ac:dyDescent="0.35">
      <c r="A58" s="9" t="str">
        <f>HYPERLINK("http://codeforces.com/contest/742/problem/A","CF742-D2-A")</f>
        <v>CF742-D2-A</v>
      </c>
      <c r="B58" s="13" t="str">
        <f>HYPERLINK("https://uva.onlinejudge.org/index.php?option=com_onlinejudge&amp;Itemid=8&amp;page=show_problem&amp;problem=314","UVA 378")</f>
        <v>UVA 378</v>
      </c>
      <c r="C58" s="17" t="str">
        <f>HYPERLINK("http://codeforces.com/contest/344/problem/C","CF344-D2-C")</f>
        <v>CF344-D2-C</v>
      </c>
      <c r="D58" s="8" t="str">
        <f>HYPERLINK("http://codeforces.com/contest/1075/problem/C","CF1075-D2-C")</f>
        <v>CF1075-D2-C</v>
      </c>
      <c r="E58" s="15" t="str">
        <f>HYPERLINK("http://codeforces.com/contest/216/problem/D","CF216-D2-D")</f>
        <v>CF216-D2-D</v>
      </c>
      <c r="F58" s="8" t="str">
        <f>HYPERLINK("https://uva.onlinejudge.org/index.php?option=com_onlinejudge&amp;Itemid=8&amp;page=show_problem&amp;problem=999","UVA 10058")</f>
        <v>UVA 10058</v>
      </c>
      <c r="G58" s="5" t="s">
        <v>98</v>
      </c>
    </row>
    <row r="59" spans="1:7" x14ac:dyDescent="0.35">
      <c r="A59" s="9" t="str">
        <f>HYPERLINK("http://codeforces.com/contest/486/problem/A","CF486-D2-A")</f>
        <v>CF486-D2-A</v>
      </c>
      <c r="B59" s="28" t="str">
        <f>HYPERLINK("https://uva.onlinejudge.org/index.php?option=com_onlinejudge&amp;Itemid=8&amp;page=show_problem&amp;problem=1018","UVA 10077")</f>
        <v>UVA 10077</v>
      </c>
      <c r="C59" s="12" t="str">
        <f>HYPERLINK("http://codeforces.com/contest/275/problem/C","CF275-D2-C")</f>
        <v>CF275-D2-C</v>
      </c>
      <c r="D59" s="8" t="str">
        <f>HYPERLINK("http://codeforces.com/contest/758/problem/C","CF758-D2-C")</f>
        <v>CF758-D2-C</v>
      </c>
      <c r="E59" s="8" t="str">
        <f>HYPERLINK("http://www.spoj.com/problems/DICTSUB/","SPOJ DICTSUB")</f>
        <v>SPOJ DICTSUB</v>
      </c>
      <c r="F59" s="10" t="str">
        <f>HYPERLINK("http://codeforces.com/contest/689/problem/D","CF689-D2-D")</f>
        <v>CF689-D2-D</v>
      </c>
      <c r="G59" s="8" t="str">
        <f>HYPERLINK("http://codeforces.com/problemset/gymProblem/101149/G","CF101149-GYM-G")</f>
        <v>CF101149-GYM-G</v>
      </c>
    </row>
    <row r="60" spans="1:7" x14ac:dyDescent="0.35">
      <c r="A60" s="9" t="str">
        <f>HYPERLINK("http://codeforces.com/contest/1/problem/A","CF1-D12-A")</f>
        <v>CF1-D12-A</v>
      </c>
      <c r="B60" s="8" t="str">
        <f>HYPERLINK("http://codeforces.com/contest/505/problem/B","CF505-D2-B")</f>
        <v>CF505-D2-B</v>
      </c>
      <c r="C60" s="17" t="str">
        <f>HYPERLINK("http://codeforces.com/contest/534/problem/C","CF534-D2-C")</f>
        <v>CF534-D2-C</v>
      </c>
      <c r="D60" s="10" t="s">
        <v>17</v>
      </c>
      <c r="E60" s="21" t="str">
        <f>HYPERLINK("http://codeforces.com/contest/676/problem/C","CF676-D2-C")</f>
        <v>CF676-D2-C</v>
      </c>
      <c r="F60" s="8" t="str">
        <f>HYPERLINK("http://www.spoj.com/problems/SEGSQRSS","SPOJ SEGSQRSS")</f>
        <v>SPOJ SEGSQRSS</v>
      </c>
      <c r="G60" s="8" t="str">
        <f>HYPERLINK("http://codeforces.com/contest/292/problem/D","CF292-D12-D")</f>
        <v>CF292-D12-D</v>
      </c>
    </row>
    <row r="61" spans="1:7" x14ac:dyDescent="0.35">
      <c r="A61" s="9" t="str">
        <f>HYPERLINK("http://codeforces.com/contest/785/problem/A","CF785-D2-A")</f>
        <v>CF785-D2-A</v>
      </c>
      <c r="B61" s="3" t="str">
        <f>HYPERLINK("http://codeforces.com/contest/445/problem/B","CF445-D2-B")</f>
        <v>CF445-D2-B</v>
      </c>
      <c r="C61" s="16" t="str">
        <f>HYPERLINK("http://codeforces.com/contest/631/problem/B","CF631-D2-B")</f>
        <v>CF631-D2-B</v>
      </c>
      <c r="D61" s="21" t="str">
        <f>HYPERLINK("http://codeforces.com/contest/334/problem/D","CF334-D2-D")</f>
        <v>CF334-D2-D</v>
      </c>
      <c r="E61" s="10" t="str">
        <f>HYPERLINK("https://icpcarchive.ecs.baylor.edu/index.php?option=com_onlinejudge&amp;Itemid=8&amp;category=19&amp;page=show_problem&amp;problem=1635","LiveArchive 3634")</f>
        <v>LiveArchive 3634</v>
      </c>
      <c r="F61" s="8" t="str">
        <f>HYPERLINK("https://uva.onlinejudge.org/index.php?option=onlinejudge&amp;page=show_problem&amp;problem=1757","UVA 10816")</f>
        <v>UVA 10816</v>
      </c>
      <c r="G61" s="11" t="str">
        <f>HYPERLINK("http://www.spoj.com/problems/ANDROUND","SPOJ ANDROUND")</f>
        <v>SPOJ ANDROUND</v>
      </c>
    </row>
    <row r="62" spans="1:7" x14ac:dyDescent="0.35">
      <c r="A62" s="9" t="str">
        <f>HYPERLINK("http://codeforces.com/contest/80/problem/A","CF80-D2-A")</f>
        <v>CF80-D2-A</v>
      </c>
      <c r="B62" s="3" t="str">
        <f>HYPERLINK("http://codeforces.com/contest/584/problem/B","CF584-D2-B")</f>
        <v>CF584-D2-B</v>
      </c>
      <c r="C62" s="16" t="str">
        <f>HYPERLINK("http://codeforces.com/contest/257/problem/B","CF257-D2-B")</f>
        <v>CF257-D2-B</v>
      </c>
      <c r="D62" s="17" t="str">
        <f>HYPERLINK("http://codeforces.com/contest/124/problem/C","CF124-D2-C")</f>
        <v>CF124-D2-C</v>
      </c>
      <c r="E62" s="10" t="str">
        <f>HYPERLINK("https://uva.onlinejudge.org/index.php?option=com_onlinejudge&amp;Itemid=8&amp;page=show_problem&amp;problem=4467","UVA 1592")</f>
        <v>UVA 1592</v>
      </c>
      <c r="F62" s="5" t="s">
        <v>53</v>
      </c>
      <c r="G62" s="8" t="str">
        <f>HYPERLINK("https://uva.onlinejudge.org/index.php?option=onlinejudge&amp;page=show_problem&amp;problem=2468","UVA 11473")</f>
        <v>UVA 11473</v>
      </c>
    </row>
    <row r="63" spans="1:7" x14ac:dyDescent="0.35">
      <c r="A63" s="9" t="str">
        <f>HYPERLINK("http://codeforces.com/contest/483/problem/A","CF483-D2-A")</f>
        <v>CF483-D2-A</v>
      </c>
      <c r="B63" s="3" t="str">
        <f>HYPERLINK("http://codeforces.com/contest/448/problem/B","CF448-D2-B")</f>
        <v>CF448-D2-B</v>
      </c>
      <c r="C63" s="16" t="str">
        <f>HYPERLINK("http://codeforces.com/contest/230/problem/B","CF230-D2-B")</f>
        <v>CF230-D2-B</v>
      </c>
      <c r="D63" s="17" t="str">
        <f>HYPERLINK("http://codeforces.com/contest/155/problem/C","CF155-D2-C")</f>
        <v>CF155-D2-C</v>
      </c>
      <c r="E63" s="10" t="str">
        <f>HYPERLINK("http://www.spoj.com/problems/GSS1/","SPOJ GSS1")</f>
        <v>SPOJ GSS1</v>
      </c>
      <c r="F63" s="5" t="s">
        <v>54</v>
      </c>
      <c r="G63" s="8" t="str">
        <f>HYPERLINK("http://codeforces.com/contest/437/problem/D","CF437-D2-D")</f>
        <v>CF437-D2-D</v>
      </c>
    </row>
    <row r="64" spans="1:7" x14ac:dyDescent="0.35">
      <c r="A64" s="30" t="str">
        <f>HYPERLINK("http://codeforces.com/contest/127/problem/A","CF127-D2-A")</f>
        <v>CF127-D2-A</v>
      </c>
      <c r="B64" s="3" t="str">
        <f>HYPERLINK("http://codeforces.com/contest/716/problem/B","CF716-D2-B")</f>
        <v>CF716-D2-B</v>
      </c>
      <c r="C64" s="4" t="str">
        <f>HYPERLINK("https://uva.onlinejudge.org/index.php?option=com_onlinejudge&amp;Itemid=8&amp;page=show_problem&amp;problem=2853","UVA 11753")</f>
        <v>UVA 11753</v>
      </c>
      <c r="D64" s="12" t="str">
        <f>HYPERLINK("http://codeforces.com/contest/148/problem/C","CF148-D2-C")</f>
        <v>CF148-D2-C</v>
      </c>
      <c r="E64" s="10" t="str">
        <f>HYPERLINK("https://www.spoj.com/problems/BILLIARD/","SPOJ BILLIARD")</f>
        <v>SPOJ BILLIARD</v>
      </c>
      <c r="F64" s="8" t="str">
        <f>HYPERLINK("http://codeforces.com/contest/513/problem/C","CF513-D12-C")</f>
        <v>CF513-D12-C</v>
      </c>
      <c r="G64" s="8" t="str">
        <f>HYPERLINK("http://codeforces.com/contest/403/problem/C","CF403-D1-C")</f>
        <v>CF403-D1-C</v>
      </c>
    </row>
    <row r="65" spans="1:7" x14ac:dyDescent="0.35">
      <c r="A65" s="30" t="str">
        <f>HYPERLINK("https://uva.onlinejudge.org/index.php?option=onlinejudge&amp;page=show_problem&amp;problem=417","UVA 476")</f>
        <v>UVA 476</v>
      </c>
      <c r="B65" s="3" t="str">
        <f>HYPERLINK("http://codeforces.com/contest/544/problem/B","CF544-D2-B")</f>
        <v>CF544-D2-B</v>
      </c>
      <c r="C65" s="4" t="str">
        <f>HYPERLINK("https://uva.onlinejudge.org/index.php?option=com_onlinejudge&amp;Itemid=8&amp;page=show_problem&amp;problem=1558","UVA 10617")</f>
        <v>UVA 10617</v>
      </c>
      <c r="D65" s="12" t="str">
        <f>HYPERLINK("http://codeforces.com/contest/490/problem/C","CF490-D2-C")</f>
        <v>CF490-D2-C</v>
      </c>
      <c r="E65" s="10" t="str">
        <f>HYPERLINK("http://www.spoj.com/problems/GSS3/","SPOJ GSS3")</f>
        <v>SPOJ GSS3</v>
      </c>
      <c r="F65" s="5" t="s">
        <v>55</v>
      </c>
      <c r="G65" s="8" t="str">
        <f>HYPERLINK("http://codeforces.com/contest/787/problem/C","CF787-D2-C")</f>
        <v>CF787-D2-C</v>
      </c>
    </row>
    <row r="66" spans="1:7" x14ac:dyDescent="0.35">
      <c r="A66" s="30" t="str">
        <f>HYPERLINK("https://uva.onlinejudge.org/index.php?option=onlinejudge&amp;page=show_problem&amp;problem=401","UVA 460")</f>
        <v>UVA 460</v>
      </c>
      <c r="B66" s="6" t="str">
        <f>HYPERLINK("http://codeforces.com/contest/141/problem/B","CF141-D2-B")</f>
        <v>CF141-D2-B</v>
      </c>
      <c r="C66" s="4" t="str">
        <f>HYPERLINK("https://uva.onlinejudge.org/index.php?option=com_onlinejudge&amp;Itemid=8&amp;page=show_problem&amp;problem=4108","UVA 1362")</f>
        <v>UVA 1362</v>
      </c>
      <c r="D66" s="12" t="str">
        <f>HYPERLINK("http://codeforces.com/contest/476/problem/C","CF476-D2-C")</f>
        <v>CF476-D2-C</v>
      </c>
      <c r="E66" s="5" t="s">
        <v>33</v>
      </c>
      <c r="F66" s="5" t="s">
        <v>56</v>
      </c>
      <c r="G66" s="5" t="s">
        <v>100</v>
      </c>
    </row>
    <row r="67" spans="1:7" x14ac:dyDescent="0.35">
      <c r="A67" s="30" t="str">
        <f>HYPERLINK("http://codeforces.com/contest/270/problem/A","CF270-D2-A")</f>
        <v>CF270-D2-A</v>
      </c>
      <c r="B67" s="6" t="str">
        <f>HYPERLINK("http://codeforces.com/contest/369/problem/B","CF369-D2-B")</f>
        <v>CF369-D2-B</v>
      </c>
      <c r="C67" s="4" t="str">
        <f>HYPERLINK("https://uva.onlinejudge.org/index.php?option=com_onlinejudge&amp;Itemid=8&amp;page=show_problem&amp;problem=944","UVA 10003")</f>
        <v>UVA 10003</v>
      </c>
      <c r="D67" s="12" t="str">
        <f>HYPERLINK("http://codeforces.com/contest/195/problem/C","CF195-D2-C")</f>
        <v>CF195-D2-C</v>
      </c>
      <c r="E67" s="5" t="s">
        <v>34</v>
      </c>
      <c r="F67" s="5" t="s">
        <v>99</v>
      </c>
      <c r="G67" s="5" t="s">
        <v>101</v>
      </c>
    </row>
    <row r="68" spans="1:7" x14ac:dyDescent="0.35">
      <c r="A68" s="30" t="str">
        <f>HYPERLINK("http://codeforces.com/contest/667/problem/A","CF667-D2-A")</f>
        <v>CF667-D2-A</v>
      </c>
      <c r="B68" s="6" t="str">
        <f>HYPERLINK("http://codeforces.com/contest/791/problem/B","CF791-D2-B")</f>
        <v>CF791-D2-B</v>
      </c>
      <c r="C68" s="8" t="str">
        <f>HYPERLINK("https://uva.onlinejudge.org/index.php?option=com_onlinejudge&amp;Itemid=8&amp;page=show_problem&amp;problem=284","UVA 348")</f>
        <v>UVA 348</v>
      </c>
      <c r="D68" s="17" t="str">
        <f>HYPERLINK("http://codeforces.com/contest/569/problem/C","CF569-D2-C")</f>
        <v>CF569-D2-C</v>
      </c>
      <c r="E68" s="8" t="str">
        <f>HYPERLINK("http://codeforces.com/contest/472/problem/D","CF472-D12-D")</f>
        <v>CF472-D12-D</v>
      </c>
      <c r="F68" s="11" t="str">
        <f>HYPERLINK("http://www.spoj.com/problems/PROOT/","SPOJ PROOT")</f>
        <v>SPOJ PROOT</v>
      </c>
      <c r="G68" s="5" t="s">
        <v>102</v>
      </c>
    </row>
    <row r="69" spans="1:7" x14ac:dyDescent="0.35">
      <c r="A69" s="30" t="str">
        <f>HYPERLINK("https://uva.onlinejudge.org/index.php?option=onlinejudge&amp;page=show_problem&amp;problem=1183","UVA 10242")</f>
        <v>UVA 10242</v>
      </c>
      <c r="B69" s="19" t="str">
        <f>HYPERLINK("http://codeforces.com/contest/550/problem/B","CF550-D2-B")</f>
        <v>CF550-D2-B</v>
      </c>
      <c r="C69" s="8" t="str">
        <f>HYPERLINK("https://uva.onlinejudge.org/index.php?option=onlinejudge&amp;page=show_problem&amp;problem=63","UVA 127")</f>
        <v>UVA 127</v>
      </c>
      <c r="D69" s="12" t="str">
        <f>HYPERLINK("http://codeforces.com/contest/257/problem/C","CF257-D2-C")</f>
        <v>CF257-D2-C</v>
      </c>
      <c r="E69" s="8" t="str">
        <f>HYPERLINK("https://codeforces.com/contest/1138/problem/D","CF1138-D2-D")</f>
        <v>CF1138-D2-D</v>
      </c>
      <c r="F69" s="6" t="str">
        <f>HYPERLINK("http://codeforces.com/contest/284/problem/D","CF284-D2-D")</f>
        <v>CF284-D2-D</v>
      </c>
      <c r="G69" s="8" t="str">
        <f>HYPERLINK("http://codeforces.com/contest/1012/problem/C","CF1012-D1-C")</f>
        <v>CF1012-D1-C</v>
      </c>
    </row>
    <row r="70" spans="1:7" x14ac:dyDescent="0.35">
      <c r="A70" s="2" t="str">
        <f>HYPERLINK("http://codeforces.com/contest/365/problem/A","CF365-D2-A")</f>
        <v>CF365-D2-A</v>
      </c>
      <c r="B70" s="13" t="str">
        <f>HYPERLINK("https://uva.onlinejudge.org/index.php?option=com_onlinejudge&amp;Itemid=8&amp;page=show_problem&amp;problem=1088","UVA 10147")</f>
        <v>UVA 10147</v>
      </c>
      <c r="C70" s="8" t="str">
        <f>HYPERLINK("https://uva.onlinejudge.org/index.php?option=com_onlinejudge&amp;Itemid=8&amp;page=show_problem&amp;problem=64","UVA 128")</f>
        <v>UVA 128</v>
      </c>
      <c r="D70" s="16" t="str">
        <f>HYPERLINK("http://codeforces.com/contest/454/problem/B","CF454-D2-B")</f>
        <v>CF454-D2-B</v>
      </c>
      <c r="E70" s="5" t="s">
        <v>37</v>
      </c>
      <c r="F70" s="6" t="str">
        <f>HYPERLINK("http://codeforces.com/contest/431/problem/D","CF431-D2-D")</f>
        <v>CF431-D2-D</v>
      </c>
      <c r="G70" s="5" t="s">
        <v>103</v>
      </c>
    </row>
    <row r="71" spans="1:7" x14ac:dyDescent="0.35">
      <c r="A71" s="2" t="str">
        <f>HYPERLINK("http://codeforces.com/contest/225/problem/A","CF225-D2-A")</f>
        <v>CF225-D2-A</v>
      </c>
      <c r="B71" s="13" t="str">
        <f>HYPERLINK("https://uva.onlinejudge.org/index.php?option=com_onlinejudge&amp;Itemid=8&amp;page=show_problem&amp;problem=1541","UVA 10600")</f>
        <v>UVA 10600</v>
      </c>
      <c r="C71" s="10" t="s">
        <v>9</v>
      </c>
      <c r="D71" s="5" t="s">
        <v>35</v>
      </c>
      <c r="E71" s="8" t="str">
        <f>HYPERLINK("https://uva.onlinejudge.org/index.php?option=onlinejudge&amp;page=show_problem&amp;problem=4330","UVA 1555")</f>
        <v>UVA 1555</v>
      </c>
      <c r="F71" s="19" t="str">
        <f>HYPERLINK("http://codeforces.com/contest/296/problem/D","CF296-D2-D")</f>
        <v>CF296-D2-D</v>
      </c>
      <c r="G71" s="8" t="str">
        <f>HYPERLINK("https://www.facebook.com/hackercup/problem/1153996538071503/", "FbHkrCup 18-RQ-C")</f>
        <v>FbHkrCup 18-RQ-C</v>
      </c>
    </row>
    <row r="72" spans="1:7" x14ac:dyDescent="0.35">
      <c r="A72" s="2" t="str">
        <f>HYPERLINK("http://codeforces.com/contest/682/problem/A","CF682-D2-A")</f>
        <v>CF682-D2-A</v>
      </c>
      <c r="B72" s="13" t="str">
        <f>HYPERLINK("https://uva.onlinejudge.org/index.php?option=onlinejudge&amp;page=show_problem&amp;problem=2498","UVA 11503")</f>
        <v>UVA 11503</v>
      </c>
      <c r="C72" s="12" t="str">
        <f>HYPERLINK("http://codeforces.com/contest/378/problem/C","CF378-D2-C")</f>
        <v>CF378-D2-C</v>
      </c>
      <c r="D72" s="5" t="s">
        <v>36</v>
      </c>
      <c r="E72" s="8" t="str">
        <f>HYPERLINK("http://codeforces.com/contest/80/problem/D","CF80-D2-D")</f>
        <v>CF80-D2-D</v>
      </c>
      <c r="F72" s="19" t="str">
        <f>HYPERLINK("http://codeforces.com/contest/104/problem/D","CF104-D2-D")</f>
        <v>CF104-D2-D</v>
      </c>
      <c r="G72" s="6" t="str">
        <f>HYPERLINK("http://codeforces.com/contest/651/problem/D","CF651-D2-D")</f>
        <v>CF651-D2-D</v>
      </c>
    </row>
    <row r="73" spans="1:7" x14ac:dyDescent="0.35">
      <c r="A73" s="2" t="str">
        <f>HYPERLINK("http://codeforces.com/contest/218/problem/A","CF218-D2-A")</f>
        <v>CF218-D2-A</v>
      </c>
      <c r="B73" s="13" t="str">
        <f>HYPERLINK("https://uva.onlinejudge.org/index.php?option=com_onlinejudge&amp;Itemid=8&amp;page=show_problem&amp;problem=1310","UVA 10369")</f>
        <v>UVA 10369</v>
      </c>
      <c r="C73" s="12" t="str">
        <f>HYPERLINK("http://codeforces.com/contest/705/problem/C","CF705-D2-C")</f>
        <v>CF705-D2-C</v>
      </c>
      <c r="D73" s="21" t="str">
        <f>HYPERLINK("https://uva.onlinejudge.org/index.php?option=com_onlinejudge&amp;Itemid=8&amp;page=show_problem&amp;problem=52","UVA 116")</f>
        <v>UVA 116</v>
      </c>
      <c r="E73" s="19" t="str">
        <f>HYPERLINK("http://codeforces.com/contest/766/problem/D","CF766-D2-D")</f>
        <v>CF766-D2-D</v>
      </c>
      <c r="F73" s="6" t="str">
        <f>HYPERLINK("http://codeforces.com/contest/659/problem/D","CF659-D2-D")</f>
        <v>CF659-D2-D</v>
      </c>
      <c r="G73" s="6" t="str">
        <f>HYPERLINK("http://codeforces.com/contest/281/problem/D","CF281-D2-D")</f>
        <v>CF281-D2-D</v>
      </c>
    </row>
    <row r="74" spans="1:7" x14ac:dyDescent="0.35">
      <c r="A74" s="2" t="str">
        <f>HYPERLINK("http://codeforces.com/contest/143/problem/A","CF143-D2-A")</f>
        <v>CF143-D2-A</v>
      </c>
      <c r="B74" s="8" t="str">
        <f>HYPERLINK("https://uva.onlinejudge.org/index.php?option=com_onlinejudge&amp;Itemid=8&amp;page=show_problem&amp;problem=58","UVA 122")</f>
        <v>UVA 122</v>
      </c>
      <c r="C74" s="12" t="str">
        <f>HYPERLINK("http://codeforces.com/contest/706/problem/C","CF706-D2-C")</f>
        <v>CF706-D2-C</v>
      </c>
      <c r="D74" s="21" t="str">
        <f>HYPERLINK("https://uva.onlinejudge.org/index.php?option=com_onlinejudge&amp;Itemid=8&amp;page=show_problem&amp;problem=1394","UVA 10453")</f>
        <v>UVA 10453</v>
      </c>
      <c r="E74" s="19" t="str">
        <f>HYPERLINK("http://codeforces.com/contest/814/problem/D","CF814-D2-D")</f>
        <v>CF814-D2-D</v>
      </c>
      <c r="F74" s="6" t="str">
        <f>HYPERLINK("http://codeforces.com/contest/270/problem/D","CF270-D2-D")</f>
        <v>CF270-D2-D</v>
      </c>
      <c r="G74" s="6" t="str">
        <f>HYPERLINK("http://codeforces.com/contest/313/problem/D","CF313-D2-D")</f>
        <v>CF313-D2-D</v>
      </c>
    </row>
    <row r="75" spans="1:7" x14ac:dyDescent="0.35">
      <c r="A75" s="2" t="str">
        <f>HYPERLINK("http://codeforces.com/contest/514/problem/A","CF514-D2-A")</f>
        <v>CF514-D2-A</v>
      </c>
      <c r="B75" s="8" t="str">
        <f>HYPERLINK("http://acm.timus.ru/problem.aspx?space=1&amp;num=1100","TIMUS 1100")</f>
        <v>TIMUS 1100</v>
      </c>
      <c r="C75" s="12" t="str">
        <f>HYPERLINK("http://codeforces.com/contest/405/problem/C","CF405-D2-C")</f>
        <v>CF405-D2-C</v>
      </c>
      <c r="D75" s="21" t="str">
        <f>HYPERLINK("https://uva.onlinejudge.org/index.php?option=com_onlinejudge&amp;Itemid=8&amp;page=show_problem&amp;problem=603","UVA 662")</f>
        <v>UVA 662</v>
      </c>
      <c r="E75" s="6" t="str">
        <f>HYPERLINK("http://codeforces.com/contest/617/problem/D","CF617-D2-D")</f>
        <v>CF617-D2-D</v>
      </c>
      <c r="F75" s="6" t="str">
        <f>HYPERLINK("http://codeforces.com/contest/645/problem/D","CF645-D12-D")</f>
        <v>CF645-D12-D</v>
      </c>
      <c r="G75" s="6" t="str">
        <f>HYPERLINK("http://codeforces.com/contest/255/problem/D","CF255-D2-D")</f>
        <v>CF255-D2-D</v>
      </c>
    </row>
    <row r="76" spans="1:7" x14ac:dyDescent="0.35">
      <c r="A76" s="2" t="str">
        <f>HYPERLINK("http://codeforces.com/contest/382/problem/A","CF382-D2-A")</f>
        <v>CF382-D2-A</v>
      </c>
      <c r="B76" s="8" t="str">
        <f>HYPERLINK("http://acm.timus.ru/problem.aspx?space=1&amp;num=1349","TIMUS 1349")</f>
        <v>TIMUS 1349</v>
      </c>
      <c r="C76" s="12" t="str">
        <f>HYPERLINK("http://codeforces.com/contest/486/problem/C","CF486-D2-C")</f>
        <v>CF486-D2-C</v>
      </c>
      <c r="D76" s="21" t="str">
        <f>HYPERLINK("https://uva.onlinejudge.org/index.php?option=onlinejudge&amp;page=show_problem&amp;problem=2399","UVA 11404")</f>
        <v>UVA 11404</v>
      </c>
      <c r="E76" s="6" t="str">
        <f>HYPERLINK("http://codeforces.com/contest/459/problem/C","CF459-D2-C")</f>
        <v>CF459-D2-C</v>
      </c>
      <c r="F76" s="8" t="str">
        <f>HYPERLINK("http://codeforces.com/contest/309/problem/B","CF309-D12-B")</f>
        <v>CF309-D12-B</v>
      </c>
      <c r="G76" s="19" t="str">
        <f>HYPERLINK("http://codeforces.com/contest/298/problem/D","CF298-D2-D")</f>
        <v>CF298-D2-D</v>
      </c>
    </row>
    <row r="77" spans="1:7" ht="26" x14ac:dyDescent="0.35">
      <c r="A77" s="2" t="str">
        <f>HYPERLINK("http://codeforces.com/contest/699/problem/A","CF699-D2-A")</f>
        <v>CF699-D2-A</v>
      </c>
      <c r="B77" s="3" t="str">
        <f>HYPERLINK("http://codeforces.com/contest/415/problem/B","CF415-D2-B")</f>
        <v>CF415-D2-B</v>
      </c>
      <c r="C77" s="17" t="str">
        <f>HYPERLINK("http://codeforces.com/contest/496/problem/C","CF496-D2-C")</f>
        <v>CF496-D2-C</v>
      </c>
      <c r="D77" s="21" t="str">
        <f>HYPERLINK("https://uva.onlinejudge.org/index.php?option=com_onlinejudge&amp;Itemid=8&amp;page=show_problem&amp;problem=698","UVA 757")</f>
        <v>UVA 757</v>
      </c>
      <c r="E77" s="6" t="str">
        <f>HYPERLINK("http://codeforces.com/contest/1038/problem/D","CF1038-D2-D")</f>
        <v>CF1038-D2-D</v>
      </c>
      <c r="F77" s="6" t="str">
        <f>HYPERLINK("https://www.codechef.com/ACMIND18/problems/REDCGAME","CODECHEF REDCGAME")</f>
        <v>CODECHEF REDCGAME</v>
      </c>
      <c r="G77" s="19" t="str">
        <f>HYPERLINK("http://codeforces.com/contest/237/problem/D","CF237-D2-D")</f>
        <v>CF237-D2-D</v>
      </c>
    </row>
    <row r="78" spans="1:7" x14ac:dyDescent="0.35">
      <c r="A78" s="9" t="str">
        <f>HYPERLINK("http://codeforces.com/contest/289/problem/A","CF289-D2-A")</f>
        <v>CF289-D2-A</v>
      </c>
      <c r="B78" s="3" t="str">
        <f>HYPERLINK("http://codeforces.com/contest/602/problem/B","CF602-D2-B")</f>
        <v>CF602-D2-B</v>
      </c>
      <c r="C78" s="17" t="str">
        <f>HYPERLINK("http://codeforces.com/contest/499/problem/C","CF499-D2-C")</f>
        <v>CF499-D2-C</v>
      </c>
      <c r="D78" s="8" t="str">
        <f>HYPERLINK("http://codeforces.com/contest/199/problem/B","CF199-D2-B")</f>
        <v>CF199-D2-B</v>
      </c>
      <c r="E78" s="6" t="str">
        <f>HYPERLINK("http://codeforces.com/contest/552/problem/D","CF552-D2-D")</f>
        <v>CF552-D2-D</v>
      </c>
      <c r="F78" s="6" t="str">
        <f>HYPERLINK("http://codeforces.com/contest/1005/problem/F","CF1005-D3-F")</f>
        <v>CF1005-D3-F</v>
      </c>
      <c r="G78" s="19" t="str">
        <f>HYPERLINK("http://codeforces.com/contest/168/problem/D","CF168-D2-D")</f>
        <v>CF168-D2-D</v>
      </c>
    </row>
    <row r="79" spans="1:7" x14ac:dyDescent="0.35">
      <c r="A79" s="9" t="str">
        <f>HYPERLINK("http://codeforces.com/contest/287/problem/A","CF287-D2-A")</f>
        <v>CF287-D2-A</v>
      </c>
      <c r="B79" s="31" t="str">
        <f>HYPERLINK("http://codeforces.com/contest/614/problem/B","CF614-D2-B")</f>
        <v>CF614-D2-B</v>
      </c>
      <c r="C79" s="16" t="str">
        <f>HYPERLINK("http://codeforces.com/contest/490/problem/B","CF490-D2-B")</f>
        <v>CF490-D2-B</v>
      </c>
      <c r="D79" s="8" t="str">
        <f>HYPERLINK("https://uva.onlinejudge.org/index.php?option=onlinejudge&amp;page=show_problem&amp;problem=1242","UVA 10301")</f>
        <v>UVA 10301</v>
      </c>
      <c r="E79" s="6" t="str">
        <f>HYPERLINK("https://codeforces.com/gym/101917/problem/E", "CF101917-D12-E")</f>
        <v>CF101917-D12-E</v>
      </c>
      <c r="F79" s="14" t="str">
        <f>HYPERLINK("http://codeforces.com/contest/152/problem/C","CF152-D2-C")</f>
        <v>CF152-D2-C</v>
      </c>
      <c r="G79" s="19" t="str">
        <f>HYPERLINK("https://www.codechef.com/LTIME64B/problems/BJUDGE","CODECHEF BJUDGE")</f>
        <v>CODECHEF BJUDGE</v>
      </c>
    </row>
    <row r="80" spans="1:7" x14ac:dyDescent="0.35">
      <c r="A80" s="9" t="str">
        <f>HYPERLINK("http://codeforces.com/contest/296/problem/A","CF296-D2-A")</f>
        <v>CF296-D2-A</v>
      </c>
      <c r="B80" s="3" t="str">
        <f>HYPERLINK("http://codeforces.com/contest/486/problem/B","CF486-D2-B")</f>
        <v>CF486-D2-B</v>
      </c>
      <c r="C80" s="16" t="str">
        <f>HYPERLINK("http://codeforces.com/contest/610/problem/B","CF610-D2-B")</f>
        <v>CF610-D2-B</v>
      </c>
      <c r="D80" s="6" t="str">
        <f>HYPERLINK("http://codeforces.com/contest/92/problem/D","CF92-D2-D")</f>
        <v>CF92-D2-D</v>
      </c>
      <c r="E80" s="6" t="str">
        <f>HYPERLINK("http://codeforces.com/contest/1058/problem/D","CF1058-D2-D")</f>
        <v>CF1058-D2-D</v>
      </c>
      <c r="F80" s="14" t="str">
        <f>HYPERLINK("http://codeforces.com/contest/361/problem/C","CF361-D2-C")</f>
        <v>CF361-D2-C</v>
      </c>
      <c r="G80" s="8" t="str">
        <f>HYPERLINK("http://codeforces.com/contest/431/problem/D","CF431-D2-D")</f>
        <v>CF431-D2-D</v>
      </c>
    </row>
    <row r="81" spans="1:7" x14ac:dyDescent="0.35">
      <c r="A81" s="9" t="str">
        <f>HYPERLINK("http://codeforces.com/contest/298/problem/A","CF298-D2-A")</f>
        <v>CF298-D2-A</v>
      </c>
      <c r="B81" s="3" t="str">
        <f>HYPERLINK("http://codeforces.com/contest/510/problem/B","CF510-D2-B")</f>
        <v>CF510-D2-B</v>
      </c>
      <c r="C81" s="16" t="str">
        <f>HYPERLINK("http://codeforces.com/contest/222/problem/B","CF222-D2-B")</f>
        <v>CF222-D2-B</v>
      </c>
      <c r="D81" s="4" t="str">
        <f>HYPERLINK("http://codeforces.com/contest/431/problem/C","CF431-D2-C")</f>
        <v>CF431-D2-C</v>
      </c>
      <c r="E81" s="6" t="str">
        <f>HYPERLINK("http://codeforces.com/contest/1043/problem/D", "CF1042-D12-D")</f>
        <v>CF1042-D12-D</v>
      </c>
      <c r="F81" s="14" t="str">
        <f>HYPERLINK("http://codeforces.com/contest/540/problem/C","CF540-D2-C")</f>
        <v>CF540-D2-C</v>
      </c>
      <c r="G81" s="10" t="str">
        <f>HYPERLINK("https://uva.onlinejudge.org/index.php?option=onlinejudge&amp;page=show_problem&amp;problem=442","UVA 501")</f>
        <v>UVA 501</v>
      </c>
    </row>
    <row r="82" spans="1:7" x14ac:dyDescent="0.35">
      <c r="A82" s="2" t="str">
        <f>HYPERLINK("http://codeforces.com/contest/579/problem/A","CF579-D2-A")</f>
        <v>CF579-D2-A</v>
      </c>
      <c r="B82" s="3" t="str">
        <f>HYPERLINK("http://codeforces.com/contest/337/problem/B","CF337-D2-B")</f>
        <v>CF337-D2-B</v>
      </c>
      <c r="C82" s="4" t="str">
        <f>HYPERLINK("https://uva.onlinejudge.org/index.php?option=com_onlinejudge&amp;Itemid=8&amp;page=show_problem&amp;problem=524","UVA 583")</f>
        <v>UVA 583</v>
      </c>
      <c r="D82" s="4" t="str">
        <f>HYPERLINK("http://codeforces.com/contest/118/problem/D","CF118-D2-D")</f>
        <v>CF118-D2-D</v>
      </c>
      <c r="E82" s="5" t="s">
        <v>38</v>
      </c>
      <c r="F82" s="5" t="s">
        <v>104</v>
      </c>
      <c r="G82" s="10" t="str">
        <f>HYPERLINK("https://uva.onlinejudge.org/index.php?option=com_onlinejudge&amp;Itemid=8&amp;page=show_problem&amp;problem=2175","UVA 11234")</f>
        <v>UVA 11234</v>
      </c>
    </row>
    <row r="83" spans="1:7" x14ac:dyDescent="0.35">
      <c r="A83" s="2" t="str">
        <f>HYPERLINK("https://codeforces.com/contest/1204/problem/A","CF1204-D2-A")</f>
        <v>CF1204-D2-A</v>
      </c>
      <c r="B83" s="3" t="str">
        <f>HYPERLINK("http://codeforces.com/contest/493/problem/B","CF493-D2-B")</f>
        <v>CF493-D2-B</v>
      </c>
      <c r="C83" s="4" t="str">
        <f>HYPERLINK("https://uva.onlinejudge.org/index.php?option=com_onlinejudge&amp;Itemid=8&amp;page=show_problem&amp;problem=1431","UVA 10490")</f>
        <v>UVA 10490</v>
      </c>
      <c r="D83" s="29" t="s">
        <v>18</v>
      </c>
      <c r="E83" s="8" t="str">
        <f>HYPERLINK("https://uva.onlinejudge.org/index.php?option=com_onlinejudge&amp;Itemid=8&amp;page=show_problem&amp;problem=648","UVA 707")</f>
        <v>UVA 707</v>
      </c>
      <c r="F83" s="8" t="str">
        <f>HYPERLINK("https://uva.onlinejudge.org/index.php?option=com_onlinejudge&amp;Itemid=8&amp;page=show_problem&amp;problem=62","UVA 126")</f>
        <v>UVA 126</v>
      </c>
      <c r="G83" s="10" t="str">
        <f>HYPERLINK("http://www.spoj.com/problems/MSE07E/","SPOJ MSE07E")</f>
        <v>SPOJ MSE07E</v>
      </c>
    </row>
    <row r="84" spans="1:7" x14ac:dyDescent="0.35">
      <c r="A84" s="2" t="str">
        <f>HYPERLINK("https://codeforces.com/contest/1237/problem/A","CF1237-D12-A")</f>
        <v>CF1237-D12-A</v>
      </c>
      <c r="B84" s="3" t="str">
        <f>HYPERLINK("http://codeforces.com/contest/608/problem/B","CF608-D2-B")</f>
        <v>CF608-D2-B</v>
      </c>
      <c r="C84" s="4" t="str">
        <f>HYPERLINK("https://uva.onlinejudge.org/index.php?option=onlinejudge&amp;page=show_problem&amp;problem=1563","UVA 10622")</f>
        <v>UVA 10622</v>
      </c>
      <c r="D84" s="29" t="s">
        <v>19</v>
      </c>
      <c r="E84" s="14" t="str">
        <f>HYPERLINK("http://codeforces.com/contest/667/problem/C","CF667-D2-C")</f>
        <v>CF667-D2-C</v>
      </c>
      <c r="F84" s="8" t="str">
        <f>HYPERLINK("https://uva.onlinejudge.org/index.php?option=com_onlinejudge&amp;Itemid=8&amp;page=show_problem&amp;problem=4501","UVA 1626")</f>
        <v>UVA 1626</v>
      </c>
      <c r="G84" s="10" t="str">
        <f>HYPERLINK("http://www.spoj.com/problems/ANARC08A/","SPOJ ANARC08A")</f>
        <v>SPOJ ANARC08A</v>
      </c>
    </row>
    <row r="85" spans="1:7" x14ac:dyDescent="0.35">
      <c r="A85" s="23" t="str">
        <f>HYPERLINK("https://uva.onlinejudge.org/index.php?option=com_onlinejudge&amp;Itemid=8&amp;page=show_problem&amp;problem=1552","UVA 10611")</f>
        <v>UVA 10611</v>
      </c>
      <c r="B85" s="6" t="str">
        <f>HYPERLINK("http://codeforces.com/contest/621/problem/B","CF621-D2-B")</f>
        <v>CF621-D2-B</v>
      </c>
      <c r="C85" s="4" t="str">
        <f>HYPERLINK("https://uva.onlinejudge.org/index.php?option=com_onlinejudge&amp;Itemid=8&amp;page=show_problem&amp;problem=457","UVA 516")</f>
        <v>UVA 516</v>
      </c>
      <c r="D85" s="5" t="s">
        <v>20</v>
      </c>
      <c r="E85" s="14" t="str">
        <f>HYPERLINK("http://codeforces.com/contest/287/problem/C","CF287-D2-C")</f>
        <v>CF287-D2-C</v>
      </c>
      <c r="F85" s="8" t="str">
        <f>HYPERLINK("https://www.youtube.com/watch?v=OWlJ8chpit0","UVA 10448")</f>
        <v>UVA 10448</v>
      </c>
      <c r="G85" s="11" t="str">
        <f>HYPERLINK("https://uva.onlinejudge.org/index.php?option=com_onlinejudge&amp;Itemid=8&amp;page=show_problem&amp;problem=1360","UVA 10419")</f>
        <v>UVA 10419</v>
      </c>
    </row>
    <row r="86" spans="1:7" x14ac:dyDescent="0.35">
      <c r="A86" s="32" t="str">
        <f>HYPERLINK("http://codeforces.com/contest/287/problem/B","CF287-D2-B")</f>
        <v>CF287-D2-B</v>
      </c>
      <c r="B86" s="3" t="str">
        <f>HYPERLINK("http://codeforces.com/contest/580/problem/B","CF580-D2-B")</f>
        <v>CF580-D2-B</v>
      </c>
      <c r="C86" s="5" t="s">
        <v>10</v>
      </c>
      <c r="D86" s="5" t="s">
        <v>21</v>
      </c>
      <c r="E86" s="4" t="str">
        <f>HYPERLINK("https://uva.onlinejudge.org/index.php?option=com_onlinejudge&amp;Itemid=8&amp;page=show_problem&amp;problem=1700","UVA 10759")</f>
        <v>UVA 10759</v>
      </c>
      <c r="F86" s="8" t="str">
        <f>HYPERLINK("http://codeforces.com/contest/540/problem/D","CF540-D2-D")</f>
        <v>CF540-D2-D</v>
      </c>
      <c r="G86" s="11" t="str">
        <f>HYPERLINK("http://www.spoj.com/problems/HISTOGRA/","SPOJ HISTOGRA")</f>
        <v>SPOJ HISTOGRA</v>
      </c>
    </row>
    <row r="87" spans="1:7" x14ac:dyDescent="0.35">
      <c r="A87" s="30" t="str">
        <f>HYPERLINK("https://codeforces.com/contest/165/problem/B","CF165-D2-B")</f>
        <v>CF165-D2-B</v>
      </c>
      <c r="B87" s="6" t="str">
        <f>HYPERLINK("http://codeforces.com/contest/535/problem/B","CF535-D2-B")</f>
        <v>CF535-D2-B</v>
      </c>
      <c r="C87" s="5" t="s">
        <v>11</v>
      </c>
      <c r="D87" s="14" t="str">
        <f>HYPERLINK("http://codeforces.com/contest/186/problem/C","CF186-D2-C")</f>
        <v>CF186-D2-C</v>
      </c>
      <c r="E87" s="29" t="s">
        <v>39</v>
      </c>
      <c r="F87" s="5" t="s">
        <v>57</v>
      </c>
      <c r="G87" s="33" t="s">
        <v>106</v>
      </c>
    </row>
    <row r="88" spans="1:7" x14ac:dyDescent="0.35">
      <c r="A88" s="30" t="str">
        <f>HYPERLINK("http://www.spoj.com/problems/AGGRCOW/","SPOJ AGGRCOW")</f>
        <v>SPOJ AGGRCOW</v>
      </c>
      <c r="B88" s="17" t="str">
        <f>HYPERLINK("http://codeforces.com/contest/1009/problem/B","CF1009-D12-B")</f>
        <v>CF1009-D12-B</v>
      </c>
      <c r="C88" s="10" t="str">
        <f>HYPERLINK("https://uva.onlinejudge.org/index.php?option=com_onlinejudge&amp;Itemid=8&amp;page=show_problem&amp;problem=132","UVA 196")</f>
        <v>UVA 196</v>
      </c>
      <c r="D88" s="17" t="str">
        <f>HYPERLINK("http://codeforces.com/contest/465/problem/C","CF465-D2-C")</f>
        <v>CF465-D2-C</v>
      </c>
      <c r="E88" s="15" t="str">
        <f>HYPERLINK("http://poj.org/problem?id=2096","PKU 2096")</f>
        <v>PKU 2096</v>
      </c>
      <c r="F88" s="5" t="s">
        <v>58</v>
      </c>
      <c r="G88" s="11" t="str">
        <f>HYPERLINK("https://uva.onlinejudge.org/index.php?option=com_onlinejudge&amp;Itemid=8&amp;page=show_problem&amp;problem=1033","UVA 10092")</f>
        <v>UVA 10092</v>
      </c>
    </row>
    <row r="89" spans="1:7" x14ac:dyDescent="0.35">
      <c r="A89" s="9" t="str">
        <f>HYPERLINK("http://codeforces.com/contest/281/problem/A","CF281-D2-A")</f>
        <v>CF281-D2-A</v>
      </c>
      <c r="B89" s="34" t="str">
        <f>HYPERLINK("https://codeforces.com/contest/1030/problem/B","CF1030-D12-B")</f>
        <v>CF1030-D12-B</v>
      </c>
      <c r="C89" s="12" t="str">
        <f>HYPERLINK("http://codeforces.com/contest/253/problem/C","CF253-D2-C")</f>
        <v>CF253-D2-C</v>
      </c>
      <c r="D89" s="17" t="str">
        <f>HYPERLINK("http://codeforces.com/contest/408/problem/C","CF408-D2-C")</f>
        <v>CF408-D2-C</v>
      </c>
      <c r="E89" s="15" t="str">
        <f>HYPERLINK("https://uva.onlinejudge.org/index.php?option=onlinejudge&amp;page=show_problem&amp;problem=483","UVA 542")</f>
        <v>UVA 542</v>
      </c>
      <c r="F89" s="8" t="str">
        <f>HYPERLINK("http://codeforces.com/contest/337/problem/D","CF337-D2-D")</f>
        <v>CF337-D2-D</v>
      </c>
      <c r="G89" s="11" t="str">
        <f>HYPERLINK("http://www.spoj.com/problems/PSYCHON/","SPOJ PSYCHON")</f>
        <v>SPOJ PSYCHON</v>
      </c>
    </row>
    <row r="90" spans="1:7" x14ac:dyDescent="0.35">
      <c r="A90" s="9" t="str">
        <f>HYPERLINK("http://codeforces.com/contest/158/problem/A","CF158-D12-A")</f>
        <v>CF158-D12-A</v>
      </c>
      <c r="B90" s="34" t="str">
        <f>HYPERLINK("https://codeforces.com/contest/1051/problem/B", "CF1051-D2-B")</f>
        <v>CF1051-D2-B</v>
      </c>
      <c r="C90" s="12" t="str">
        <f>HYPERLINK("http://codeforces.com/contest/604/problem/C","CF604-D2-C")</f>
        <v>CF604-D2-C</v>
      </c>
      <c r="D90" s="17" t="str">
        <f>HYPERLINK("http://codeforces.com/contest/231/problem/C","CF231-D2-C")</f>
        <v>CF231-D2-C</v>
      </c>
      <c r="E90" s="4" t="str">
        <f>HYPERLINK("https://uva.onlinejudge.org/index.php?option=com_onlinejudge&amp;Itemid=8&amp;page=show_problem&amp;problem=1962","UVA 11021")</f>
        <v>UVA 11021</v>
      </c>
      <c r="F90" s="8" t="str">
        <f>HYPERLINK("https://www.hackerrank.com/challenges/ajourney","HACKR ajourney")</f>
        <v>HACKR ajourney</v>
      </c>
      <c r="G90" s="11" t="str">
        <f>HYPERLINK("https://icpcarchive.ecs.baylor.edu/index.php?option=onlinejudge&amp;page=show_problem&amp;problem=2327","LIVEARCHIVE 4326")</f>
        <v>LIVEARCHIVE 4326</v>
      </c>
    </row>
    <row r="91" spans="1:7" x14ac:dyDescent="0.35">
      <c r="A91" s="9" t="str">
        <f>HYPERLINK("http://codeforces.com/contest/69/problem/A","CF69-D2-A")</f>
        <v>CF69-D2-A</v>
      </c>
      <c r="B91" s="18" t="str">
        <f>HYPERLINK("https://codeforces.com/contest/1237/problem/B","CF1237-D12-B")</f>
        <v>CF1237-D12-B</v>
      </c>
      <c r="C91" s="12" t="str">
        <f>HYPERLINK("http://codeforces.com/contest/735/problem/C","CF735-D2-C")</f>
        <v>CF735-D2-C</v>
      </c>
      <c r="D91" s="35" t="str">
        <f>HYPERLINK("http://codeforces.com/contest/466/problem/C","CF466-D2-C")</f>
        <v>CF466-D2-C</v>
      </c>
      <c r="E91" s="4" t="str">
        <f>HYPERLINK("https://uva.onlinejudge.org/index.php?option=com_onlinejudge&amp;Itemid=8&amp;page=show_problem&amp;problem=3888","UVA 12457")</f>
        <v>UVA 12457</v>
      </c>
      <c r="F91" s="8" t="str">
        <f>HYPERLINK("https://codeforces.com/contest/665/problem/E","CF665-D12-E")</f>
        <v>CF665-D12-E</v>
      </c>
      <c r="G91" s="11" t="str">
        <f>HYPERLINK("https://uva.onlinejudge.org/index.php?option=com_onlinejudge&amp;Itemid=8&amp;page=show_problem&amp;problem=3675","UVA 1234")</f>
        <v>UVA 1234</v>
      </c>
    </row>
    <row r="92" spans="1:7" x14ac:dyDescent="0.35">
      <c r="A92" s="9" t="str">
        <f>HYPERLINK("http://codeforces.com/contest/282/problem/A","CF282-D2-A")</f>
        <v>CF282-D2-A</v>
      </c>
      <c r="B92" s="4" t="str">
        <f>HYPERLINK("http://codeforces.com/contest/282/problem/B","CF282-D2-B")</f>
        <v>CF282-D2-B</v>
      </c>
      <c r="C92" s="12" t="str">
        <f>HYPERLINK("http://codeforces.com/contest/507/problem/C","CF507-D2-C")</f>
        <v>CF507-D2-C</v>
      </c>
      <c r="D92" s="12" t="str">
        <f>HYPERLINK("http://codeforces.com/contest/141/problem/C","CF141-D2-C")</f>
        <v>CF141-D2-C</v>
      </c>
      <c r="E92" s="19" t="str">
        <f>HYPERLINK("http://codeforces.com/contest/203/problem/D","CF203-D2-D")</f>
        <v>CF203-D2-D</v>
      </c>
      <c r="F92" s="14" t="str">
        <f>HYPERLINK("http://codeforces.com/contest/366/problem/C","CF366-D2-C")</f>
        <v>CF366-D2-C</v>
      </c>
      <c r="G92" s="33" t="s">
        <v>107</v>
      </c>
    </row>
    <row r="93" spans="1:7" x14ac:dyDescent="0.35">
      <c r="A93" s="9" t="str">
        <f>HYPERLINK("http://codeforces.com/contest/556/problem/A","CF556-D2-A")</f>
        <v>CF556-D2-A</v>
      </c>
      <c r="B93" s="4" t="str">
        <f>HYPERLINK("http://codeforces.com/contest/435/problem/B","CF435-D2-B")</f>
        <v>CF435-D2-B</v>
      </c>
      <c r="C93" s="12" t="str">
        <f>HYPERLINK("http://codeforces.com/contest/84/problem/C","CF84-D2-C")</f>
        <v>CF84-D2-C</v>
      </c>
      <c r="D93" s="12" t="str">
        <f>HYPERLINK("http://codeforces.com/contest/270/problem/C","CF270-D2-C")</f>
        <v>CF270-D2-C</v>
      </c>
      <c r="E93" s="6" t="str">
        <f>HYPERLINK("http://codeforces.com/contest/368/problem/D","CF368-D2-D")</f>
        <v>CF368-D2-D</v>
      </c>
      <c r="F93" s="10" t="str">
        <f>HYPERLINK("https://uva.onlinejudge.org/index.php?option=com_onlinejudge&amp;Itemid=8&amp;page=show_problem&amp;problem=40","UVA 104")</f>
        <v>UVA 104</v>
      </c>
      <c r="G93" s="10" t="str">
        <f>HYPERLINK("http://codeforces.com/contest/359/problem/D","CF359-D2-D")</f>
        <v>CF359-D2-D</v>
      </c>
    </row>
    <row r="94" spans="1:7" x14ac:dyDescent="0.35">
      <c r="A94" s="9" t="str">
        <f>HYPERLINK("http://codeforces.com/contest/41/problem/A","CF41-D2-A")</f>
        <v>CF41-D2-A</v>
      </c>
      <c r="B94" s="4" t="str">
        <f>HYPERLINK("http://codeforces.com/contest/276/problem/B","CF276-D2-B")</f>
        <v>CF276-D2-B</v>
      </c>
      <c r="C94" s="17" t="str">
        <f>HYPERLINK("http://codeforces.com/contest/584/problem/C","CF584-D2-C")</f>
        <v>CF584-D2-C</v>
      </c>
      <c r="D94" s="12" t="str">
        <f>HYPERLINK("http://codeforces.com/contest/160/problem/C","CF160-D2-C")</f>
        <v>CF160-D2-C</v>
      </c>
      <c r="E94" s="8" t="str">
        <f>HYPERLINK("http://www.spoj.com/problems/HELPR2D2","SPOJ HELPR2D2")</f>
        <v>SPOJ HELPR2D2</v>
      </c>
      <c r="F94" s="6" t="str">
        <f>HYPERLINK("http://codeforces.com/contest/219/problem/D","CF219-D2-D")</f>
        <v>CF219-D2-D</v>
      </c>
      <c r="G94" s="5" t="s">
        <v>108</v>
      </c>
    </row>
    <row r="95" spans="1:7" x14ac:dyDescent="0.35">
      <c r="A95" s="9" t="str">
        <f>HYPERLINK("http://codeforces.com/contest/118/problem/A","CF118-D2-A")</f>
        <v>CF118-D2-A</v>
      </c>
      <c r="B95" s="4" t="str">
        <f>HYPERLINK("http://codeforces.com/contest/525/problem/B","CF525-D2-B")</f>
        <v>CF525-D2-B</v>
      </c>
      <c r="C95" s="35" t="str">
        <f>HYPERLINK("http://codeforces.com/contest/792/problem/C","CF792-D2-C")</f>
        <v>CF792-D2-C</v>
      </c>
      <c r="D95" s="16" t="str">
        <f>HYPERLINK("http://codeforces.com/contest/384/problem/B","CF384-D2-B")</f>
        <v>CF384-D2-B</v>
      </c>
      <c r="E95" s="8" t="str">
        <f>HYPERLINK("https://github.com/racsosabe/CompetitiveProgramming/blob/master/CodeForces/CF1016-D2-E.cpp","CF1016-D2-E")</f>
        <v>CF1016-D2-E</v>
      </c>
      <c r="F95" s="6" t="str">
        <f>HYPERLINK("http://codeforces.com/contest/149/problem/D","CF149-D2-D")</f>
        <v>CF149-D2-D</v>
      </c>
      <c r="G95" s="8" t="str">
        <f>HYPERLINK("https://uva.onlinejudge.org/index.php?option=onlinejudge&amp;page=show_problem&amp;problem=2321","UVa 11346")</f>
        <v>UVa 11346</v>
      </c>
    </row>
    <row r="96" spans="1:7" x14ac:dyDescent="0.35">
      <c r="A96" s="9" t="str">
        <f>HYPERLINK("http://codeforces.com/contest/456/problem/A","CF456-D2-A")</f>
        <v>CF456-D2-A</v>
      </c>
      <c r="B96" s="21" t="str">
        <f>HYPERLINK("http://codeforces.com/contest/416/problem/C","CF416-D2-C")</f>
        <v>CF416-D2-C</v>
      </c>
      <c r="C96" s="16" t="str">
        <f>HYPERLINK("http://codeforces.com/contest/534/problem/B","CF534-D2-B")</f>
        <v>CF534-D2-B</v>
      </c>
      <c r="D96" s="16" t="str">
        <f>HYPERLINK("http://codeforces.com/contest/233/problem/B","CF233-D2-B")</f>
        <v>CF233-D2-B</v>
      </c>
      <c r="E96" s="5" t="s">
        <v>40</v>
      </c>
      <c r="F96" s="6" t="str">
        <f>HYPERLINK("http://codeforces.com/contest/263/problem/D","CF263-D2-D")</f>
        <v>CF263-D2-D</v>
      </c>
      <c r="G96" s="5" t="s">
        <v>109</v>
      </c>
    </row>
    <row r="97" spans="1:7" x14ac:dyDescent="0.35">
      <c r="A97" s="2" t="str">
        <f>HYPERLINK("http://codeforces.com/contest/950/problem/A","CF950-D2-A")</f>
        <v>CF950-D2-A</v>
      </c>
      <c r="B97" s="21" t="str">
        <f>HYPERLINK("http://codeforces.com/contest/492/problem/C","CF492-D2-C")</f>
        <v>CF492-D2-C</v>
      </c>
      <c r="C97" s="16" t="str">
        <f>HYPERLINK("http://codeforces.com/contest/75/problem/B","CF75-D2-B")</f>
        <v>CF75-D2-B</v>
      </c>
      <c r="D97" s="10" t="str">
        <f>HYPERLINK("https://uva.onlinejudge.org/index.php?option=com_onlinejudge&amp;Itemid=8&amp;page=show_problem&amp;problem=774","UVA 833")</f>
        <v>UVA 833</v>
      </c>
      <c r="E97" s="8" t="str">
        <f>HYPERLINK("https://www.facebook.com/hackercup/problem/180494849326631/","FbHkrCup 18-R1-A")</f>
        <v>FbHkrCup 18-R1-A</v>
      </c>
      <c r="F97" s="6" t="str">
        <f>HYPERLINK("https://codeforces.com/gym/101187/problem/F","CF101187-GYM-F")</f>
        <v>CF101187-GYM-F</v>
      </c>
      <c r="G97" s="5" t="s">
        <v>111</v>
      </c>
    </row>
    <row r="98" spans="1:7" x14ac:dyDescent="0.35">
      <c r="A98" s="2" t="str">
        <f>HYPERLINK("http://codeforces.com/contest/467/problem/A","CF467-D2-A")</f>
        <v>CF467-D2-A</v>
      </c>
      <c r="B98" s="8" t="str">
        <f>HYPERLINK("https://uva.onlinejudge.org/index.php?option=com_onlinejudge&amp;Itemid=8&amp;page=show_problem&amp;problem=41","UVA 105")</f>
        <v>UVA 105</v>
      </c>
      <c r="C98" s="36" t="str">
        <f>HYPERLINK("http://codeforces.com/contest/979/problem/B","CF979-D2-B")</f>
        <v>CF979-D2-B</v>
      </c>
      <c r="D98" s="10" t="str">
        <f>HYPERLINK("https://uva.onlinejudge.org/index.php?option=com_onlinejudge&amp;Itemid=8&amp;page=show_problem&amp;problem=1647","UVA 10706")</f>
        <v>UVA 10706</v>
      </c>
      <c r="E98" s="5" t="s">
        <v>41</v>
      </c>
      <c r="F98" s="27" t="s">
        <v>59</v>
      </c>
      <c r="G98" s="8" t="str">
        <f>HYPERLINK("https://codeforces.com/contest/867/problem/E","CF867-D12-E")</f>
        <v>CF867-D12-E</v>
      </c>
    </row>
    <row r="99" spans="1:7" x14ac:dyDescent="0.35">
      <c r="A99" s="2" t="str">
        <f>HYPERLINK("http://codeforces.com/contest/581/problem/A","CF581-D2-A")</f>
        <v>CF581-D2-A</v>
      </c>
      <c r="B99" s="28" t="str">
        <f>HYPERLINK("https://uva.onlinejudge.org/index.php?option=onlinejudge&amp;page=show_problem&amp;problem=1217","UVA 10276")</f>
        <v>UVA 10276</v>
      </c>
      <c r="C99" s="8" t="str">
        <f>HYPERLINK("https://uva.onlinejudge.org/index.php?option=onlinejudge&amp;page=show_problem&amp;problem=1731","UVA 10790")</f>
        <v>UVA 10790</v>
      </c>
      <c r="D99" s="10" t="str">
        <f>HYPERLINK("https://uva.onlinejudge.org/index.php?option=com_onlinejudge&amp;Itemid=8&amp;page=show_problem&amp;problem=556","UVA 615")</f>
        <v>UVA 615</v>
      </c>
      <c r="E99" s="12" t="str">
        <f>HYPERLINK("http://codeforces.com/contest/443/problem/D","CF443-D2-D")</f>
        <v>CF443-D2-D</v>
      </c>
      <c r="F99" s="6" t="str">
        <f>HYPERLINK("https://beta.atcoder.jp/contests/arc092/tasks/arc092_b","Atcoder092-ARC-B")</f>
        <v>Atcoder092-ARC-B</v>
      </c>
      <c r="G99" s="6" t="str">
        <f>HYPERLINK("http://codeforces.com/contest/604/problem/D","CF604-D2-D")</f>
        <v>CF604-D2-D</v>
      </c>
    </row>
    <row r="100" spans="1:7" x14ac:dyDescent="0.35">
      <c r="A100" s="2" t="str">
        <f>HYPERLINK("http://codeforces.com/contest/510/problem/A","CF510-D2-A")</f>
        <v>CF510-D2-A</v>
      </c>
      <c r="B100" s="28" t="str">
        <f>HYPERLINK("https://uva.onlinejudge.org/index.php?option=onlinejudge&amp;page=show_problem&amp;problem=725","UVA 784")</f>
        <v>UVA 784</v>
      </c>
      <c r="C100" s="8" t="str">
        <f>HYPERLINK("https://uva.onlinejudge.org/index.php?option=onlinejudge&amp;Itemid=8&amp;page=show_problem&amp;problem=1080","UVA 10139")</f>
        <v>UVA 10139</v>
      </c>
      <c r="D100" s="21" t="str">
        <f>HYPERLINK("https://uva.onlinejudge.org/index.php?option=com_onlinejudge&amp;Itemid=8&amp;page=show_problem&amp;problem=475","UVA 534")</f>
        <v>UVA 534</v>
      </c>
      <c r="E100" s="14" t="str">
        <f>HYPERLINK("http://codeforces.com/contest/363/problem/C","CF363-D2-C")</f>
        <v>CF363-D2-C</v>
      </c>
      <c r="F100" s="6" t="str">
        <f>HYPERLINK("https://agc002.contest.atcoder.jp/tasks/agc002_c","AtCoder002-AGC-C")</f>
        <v>AtCoder002-AGC-C</v>
      </c>
      <c r="G100" s="19" t="str">
        <f>HYPERLINK("http://codeforces.com/contest/122/problem/D","CF122-D2-D")</f>
        <v>CF122-D2-D</v>
      </c>
    </row>
    <row r="101" spans="1:7" x14ac:dyDescent="0.35">
      <c r="A101" s="2" t="str">
        <f>HYPERLINK("http://codeforces.com/contest/723/problem/A","CF723-D2-A")</f>
        <v>CF723-D2-A</v>
      </c>
      <c r="B101" s="10" t="s">
        <v>3</v>
      </c>
      <c r="C101" s="8" t="str">
        <f>HYPERLINK("https://uva.onlinejudge.org/index.php?option=com_onlinejudge&amp;Itemid=8&amp;page=show_problem&amp;problem=1917","UVA 10976")</f>
        <v>UVA 10976</v>
      </c>
      <c r="D101" s="21" t="str">
        <f>HYPERLINK("https://uva.onlinejudge.org/index.php?option=com_onlinejudge&amp;Itemid=8&amp;page=show_problem&amp;problem=270","UVA 334")</f>
        <v>UVA 334</v>
      </c>
      <c r="E101" s="6" t="str">
        <f>HYPERLINK("http://codeforces.com/contest/265/problem/D","CF265-D2-D")</f>
        <v>CF265-D2-D</v>
      </c>
      <c r="F101" s="33" t="s">
        <v>105</v>
      </c>
      <c r="G101" s="19" t="str">
        <f>HYPERLINK("http://codeforces.com/contest/239/problem/D","CF239-D2-D")</f>
        <v>CF239-D2-D</v>
      </c>
    </row>
    <row r="102" spans="1:7" x14ac:dyDescent="0.35">
      <c r="A102" s="2" t="str">
        <f>HYPERLINK("http://codeforces.com/contest/617/problem/A","CF617-D2-A")</f>
        <v>CF617-D2-A</v>
      </c>
      <c r="B102" s="6" t="str">
        <f>HYPERLINK("http://codeforces.com/contest/439/problem/B","CF439-D2-B")</f>
        <v>CF439-D2-B</v>
      </c>
      <c r="C102" s="8" t="str">
        <f>HYPERLINK("http://codeforces.com/contest/189/problem/A","CF189-D2-A")</f>
        <v>CF189-D2-A</v>
      </c>
      <c r="D102" s="21" t="str">
        <f>HYPERLINK("https://uva.onlinejudge.org/index.php?option=onlinejudge&amp;page=show_problem&amp;problem=61","UVA 125")</f>
        <v>UVA 125</v>
      </c>
      <c r="E102" s="14" t="str">
        <f>HYPERLINK("http://codeforces.com/contest/116/problem/C","CF116-D2-C")</f>
        <v>CF116-D2-C</v>
      </c>
      <c r="F102" s="14" t="str">
        <f>HYPERLINK("http://codeforces.com/contest/194/problem/C","CF194-D2-C")</f>
        <v>CF194-D2-C</v>
      </c>
      <c r="G102" s="6" t="str">
        <f>HYPERLINK("http://codeforces.com/contest/599/problem/D","CF599-D2-D")</f>
        <v>CF599-D2-D</v>
      </c>
    </row>
    <row r="103" spans="1:7" x14ac:dyDescent="0.35">
      <c r="A103" s="2" t="str">
        <f>HYPERLINK("http://codeforces.com/contest/255/problem/A","CF255-D2-A")</f>
        <v>CF255-D2-A</v>
      </c>
      <c r="B103" s="6" t="str">
        <f>HYPERLINK("http://codeforces.com/contest/796/problem/B","CF796-D2-B")</f>
        <v>CF796-D2-B</v>
      </c>
      <c r="C103" s="4" t="str">
        <f>HYPERLINK("https://uva.onlinejudge.org/index.php?option=onlinejudge&amp;page=show_problem&amp;problem=1432","UVA 10491")</f>
        <v>UVA 10491</v>
      </c>
      <c r="D103" s="10" t="str">
        <f>HYPERLINK("https://uva.onlinejudge.org/index.php?option=com_onlinejudge&amp;Itemid=8&amp;page=show_problem&amp;problem=209","UVA 273")</f>
        <v>UVA 273</v>
      </c>
      <c r="E103" s="14" t="str">
        <f>HYPERLINK("http://codeforces.com/contest/342/problem/C","CF342-D2-C")</f>
        <v>CF342-D2-C</v>
      </c>
      <c r="F103" s="14" t="str">
        <f>HYPERLINK("http://codeforces.com/contest/265/problem/C","CF265-D2-C")</f>
        <v>CF265-D2-C</v>
      </c>
      <c r="G103" s="6" t="str">
        <f>HYPERLINK("http://codeforces.com/contest/9/problem/D","CF9-D2-D")</f>
        <v>CF9-D2-D</v>
      </c>
    </row>
    <row r="104" spans="1:7" x14ac:dyDescent="0.35">
      <c r="A104" s="2" t="str">
        <f>HYPERLINK("http://codeforces.com/contest/61/problem/A","CF61-D2-A")</f>
        <v>CF61-D2-A</v>
      </c>
      <c r="B104" s="6" t="str">
        <f>HYPERLINK("http://codeforces.com/contest/26/problem/B","CF26-D12-B")</f>
        <v>CF26-D12-B</v>
      </c>
      <c r="C104" s="4" t="str">
        <f>HYPERLINK("https://uva.onlinejudge.org/index.php?option=com_onlinejudge&amp;Itemid=8&amp;page=show_problem&amp;problem=997","UVA 10056")</f>
        <v>UVA 10056</v>
      </c>
      <c r="D104" s="8" t="str">
        <f>HYPERLINK("https://uva.onlinejudge.org/index.php?option=onlinejudge&amp;page=show_problem&amp;problem=1041","UVA 10100")</f>
        <v>UVA 10100</v>
      </c>
      <c r="E104" s="14" t="str">
        <f>HYPERLINK("http://codeforces.com/contest/233/problem/C","CF233-D2-C")</f>
        <v>CF233-D2-C</v>
      </c>
      <c r="F104" s="22" t="s">
        <v>60</v>
      </c>
      <c r="G104" s="6" t="str">
        <f>HYPERLINK("http://codeforces.com/contest/1043/problem/E","CF1043-D12-E")</f>
        <v>CF1043-D12-E</v>
      </c>
    </row>
    <row r="105" spans="1:7" x14ac:dyDescent="0.35">
      <c r="A105" s="2" t="str">
        <f>HYPERLINK("http://codeforces.com/contest/454/problem/A","CF454-D2-A")</f>
        <v>CF454-D2-A</v>
      </c>
      <c r="B105" s="3" t="str">
        <f>HYPERLINK("http://codeforces.com/contest/465/problem/B","CF465-D2-B")</f>
        <v>CF465-D2-B</v>
      </c>
      <c r="C105" s="4" t="str">
        <f>HYPERLINK("https://uva.onlinejudge.org/index.php?option=com_onlinejudge&amp;Itemid=8&amp;page=show_problem&amp;problem=1159","UVA 10218")</f>
        <v>UVA 10218</v>
      </c>
      <c r="D105" s="8" t="str">
        <f>HYPERLINK("https://uva.onlinejudge.org/index.php?option=com_onlinejudge&amp;Itemid=8&amp;page=show_problem&amp;problem=2318","UVA 11343")</f>
        <v>UVA 11343</v>
      </c>
      <c r="E105" s="15" t="str">
        <f>HYPERLINK("https://uva.onlinejudge.org/index.php?option=com_onlinejudge&amp;Itemid=8&amp;page=show_problem&amp;problem=1592","UVA 10651")</f>
        <v>UVA 10651</v>
      </c>
      <c r="F105" s="7" t="str">
        <f>HYPERLINK("https://uva.onlinejudge.org/index.php?option=onlinejudge&amp;page=show_problem&amp;problem=1029","UVA 10088")</f>
        <v>UVA 10088</v>
      </c>
      <c r="G105" s="27" t="s">
        <v>112</v>
      </c>
    </row>
    <row r="106" spans="1:7" x14ac:dyDescent="0.35">
      <c r="A106" s="2" t="str">
        <f>HYPERLINK("http://codeforces.com/contest/721/problem/A","CF721-D2-A")</f>
        <v>CF721-D2-A</v>
      </c>
      <c r="B106" s="3" t="str">
        <f>HYPERLINK("http://codeforces.com/contest/672/problem/B","CF672-D2-B")</f>
        <v>CF672-D2-B</v>
      </c>
      <c r="C106" s="4" t="str">
        <f>HYPERLINK("https://uva.onlinejudge.org/index.php?option=com_onlinejudge&amp;Itemid=8&amp;page=show_problem&amp;problem=2122","UVA 11181")</f>
        <v>UVA 11181</v>
      </c>
      <c r="D106" s="8" t="str">
        <f>HYPERLINK("https://uva.onlinejudge.org/index.php?option=com_onlinejudge&amp;Itemid=8&amp;page=show_problem&amp;problem=1139","UVA 10198")</f>
        <v>UVA 10198</v>
      </c>
      <c r="E106" s="15" t="str">
        <f>HYPERLINK("http://codeforces.com/contest/580/problem/D","CF580-D2-D")</f>
        <v>CF580-D2-D</v>
      </c>
      <c r="F106" s="7" t="str">
        <f>HYPERLINK("https://uva.onlinejudge.org/index.php?option=onlinejudge&amp;page=show_problem&amp;problem=946","UVA 10005")</f>
        <v>UVA 10005</v>
      </c>
      <c r="G106" s="14" t="str">
        <f>HYPERLINK("http://codeforces.com/contest/104/problem/C","CF104-D2-C")</f>
        <v>CF104-D2-C</v>
      </c>
    </row>
    <row r="107" spans="1:7" x14ac:dyDescent="0.35">
      <c r="A107" s="2" t="str">
        <f>HYPERLINK("http://codeforces.com/contest/546/problem/A","CF546-D2-A")</f>
        <v>CF546-D2-A</v>
      </c>
      <c r="B107" s="3" t="str">
        <f>HYPERLINK("http://codeforces.com/contest/137/problem/B","CF137-D2-B")</f>
        <v>CF137-D2-B</v>
      </c>
      <c r="C107" s="4" t="str">
        <f>HYPERLINK("https://uva.onlinejudge.org/index.php?option=com_onlinejudge&amp;Itemid=8&amp;page=show_problem&amp;problem=2675","UVA 11628")</f>
        <v>UVA 11628</v>
      </c>
      <c r="D107" s="6" t="str">
        <f>HYPERLINK("http://codeforces.com/contest/581/problem/D","CF581-D2-D")</f>
        <v>CF581-D2-D</v>
      </c>
      <c r="E107" s="15" t="str">
        <f>HYPERLINK("http://www.spoj.com/problems/PERMUT1/","SPOJ PERMUT1")</f>
        <v>SPOJ PERMUT1</v>
      </c>
      <c r="F107" s="37" t="s">
        <v>61</v>
      </c>
      <c r="G107" s="14" t="str">
        <f>HYPERLINK("http://codeforces.com/contest/508/problem/C","CF508-D2-C")</f>
        <v>CF508-D2-C</v>
      </c>
    </row>
    <row r="108" spans="1:7" x14ac:dyDescent="0.35">
      <c r="A108" s="2" t="str">
        <f>HYPERLINK("http://codeforces.com/contest/711/problem/A","CF711-D2-A")</f>
        <v>CF711-D2-A</v>
      </c>
      <c r="B108" s="3" t="str">
        <f>HYPERLINK("http://codeforces.com/contest/259/problem/B","CF259-D2-B")</f>
        <v>CF259-D2-B</v>
      </c>
      <c r="C108" s="4" t="str">
        <f>HYPERLINK("https://uva.onlinejudge.org/index.php?option=com_onlinejudge&amp;Itemid=8&amp;page=show_problem&amp;problem=3904","UVA 12461")</f>
        <v>UVA 12461</v>
      </c>
      <c r="D108" s="17" t="str">
        <f>HYPERLINK("http://codeforces.com/contest/349/problem/C","CF349-D2-C")</f>
        <v>CF349-D2-C</v>
      </c>
      <c r="E108" s="15" t="str">
        <f>HYPERLINK("http://www.spoj.com/problems/ASSIGN/","SPOJ ASSIGN")</f>
        <v>SPOJ ASSIGN</v>
      </c>
      <c r="F108" s="7" t="str">
        <f>HYPERLINK("https://uva.onlinejudge.org/index.php?option=com_onlinejudge&amp;Itemid=8&amp;page=show_problem&amp;problem=529","UVA 588")</f>
        <v>UVA 588</v>
      </c>
      <c r="G108" s="36" t="str">
        <f>HYPERLINK("http://codeforces.com/contest/895/problem/C","CF448-D2-C")</f>
        <v>CF448-D2-C</v>
      </c>
    </row>
    <row r="109" spans="1:7" x14ac:dyDescent="0.35">
      <c r="A109" s="9" t="str">
        <f>HYPERLINK("http://codeforces.com/contest/129/problem/A","CF129-D2-A")</f>
        <v>CF129-D2-A</v>
      </c>
      <c r="B109" s="3" t="str">
        <f>HYPERLINK("http://codeforces.com/contest/218/problem/B","CF218-D2-B")</f>
        <v>CF218-D2-B</v>
      </c>
      <c r="C109" s="8" t="str">
        <f>HYPERLINK("https://www.hackerrank.com/contests/infinitum18/challenges/tower-3-coloring","HACKR tower-3-coloring")</f>
        <v>HACKR tower-3-coloring</v>
      </c>
      <c r="D109" s="17" t="str">
        <f>HYPERLINK("http://codeforces.com/contest/381/problem/C","CF381-D2-C")</f>
        <v>CF381-D2-C</v>
      </c>
      <c r="E109" s="10" t="str">
        <f>HYPERLINK("http://codeforces.com/contest/16/problem/E","CF16-D2-E")</f>
        <v>CF16-D2-E</v>
      </c>
      <c r="F109" s="5" t="s">
        <v>62</v>
      </c>
      <c r="G109" s="11" t="str">
        <f>HYPERLINK("https://uva.onlinejudge.org/index.php?option=onlinejudge&amp;page=show_problem&amp;problem=2501","UVA 11506")</f>
        <v>UVA 11506</v>
      </c>
    </row>
    <row r="110" spans="1:7" x14ac:dyDescent="0.35">
      <c r="A110" s="2" t="str">
        <f>HYPERLINK("http://codeforces.com/contest/22/problem/A","CF22-D2-A")</f>
        <v>CF22-D2-A</v>
      </c>
      <c r="B110" s="3" t="str">
        <f>HYPERLINK("http://codeforces.com/contest/732/problem/B","CF732-D2-B")</f>
        <v>CF732-D2-B</v>
      </c>
      <c r="C110" s="8" t="str">
        <f>HYPERLINK("http://codeforces.com/contest/445/problem/C","CF445-D2-C")</f>
        <v>CF445-D2-C</v>
      </c>
      <c r="D110" s="17" t="str">
        <f>HYPERLINK("http://codeforces.com/contest/199/problem/C","CF199-D2-C")</f>
        <v>CF199-D2-C</v>
      </c>
      <c r="E110" s="5" t="s">
        <v>63</v>
      </c>
      <c r="F110" s="5" t="s">
        <v>103</v>
      </c>
      <c r="G110" s="11" t="str">
        <f>HYPERLINK("https://uva.onlinejudge.org/index.php?option=com_onlinejudge&amp;Itemid=8&amp;page=show_problem&amp;problem=1683","UVA 10742")</f>
        <v>UVA 10742</v>
      </c>
    </row>
    <row r="111" spans="1:7" x14ac:dyDescent="0.35">
      <c r="A111" s="2" t="str">
        <f>HYPERLINK("http://codeforces.com/contest/110/problem/A","CF110-D2-A")</f>
        <v>CF110-D2-A</v>
      </c>
      <c r="B111" s="3" t="str">
        <f>HYPERLINK("http://codeforces.com/contest/427/problem/B","CF427-D2-B")</f>
        <v>CF427-D2-B</v>
      </c>
      <c r="C111" s="8" t="str">
        <f>HYPERLINK("https://www.hackerrank.com/challenges/a-circle-and-a-square","HACKR a-circle-and-a-square")</f>
        <v>HACKR a-circle-and-a-square</v>
      </c>
      <c r="D111" s="17" t="str">
        <f>HYPERLINK("http://codeforces.com/contest/520/problem/C","CF520-D2-C")</f>
        <v>CF520-D2-C</v>
      </c>
      <c r="E111" s="5" t="s">
        <v>64</v>
      </c>
      <c r="F111" s="8" t="str">
        <f>HYPERLINK("http://codeforces.com/contest/592/problem/D","CF592-D2-D")</f>
        <v>CF592-D2-D</v>
      </c>
      <c r="G111" s="10" t="str">
        <f>HYPERLINK("http://www.spoj.com/problems/MULTQ3/","SPOJ MULTQ3")</f>
        <v>SPOJ MULTQ3</v>
      </c>
    </row>
    <row r="112" spans="1:7" x14ac:dyDescent="0.35">
      <c r="A112" s="2" t="str">
        <f>HYPERLINK("http://codeforces.com/contest/378/problem/A","CF378-D2-A")</f>
        <v>CF378-D2-A</v>
      </c>
      <c r="B112" s="3" t="str">
        <f>HYPERLINK("http://codeforces.com/contest/519/problem/B","CF519-D2-B")</f>
        <v>CF519-D2-B</v>
      </c>
      <c r="C112" s="10" t="s">
        <v>12</v>
      </c>
      <c r="D112" s="17" t="str">
        <f>HYPERLINK("http://codeforces.com/contest/567/problem/C","CF567-D2-C")</f>
        <v>CF567-D2-C</v>
      </c>
      <c r="E112" s="5" t="s">
        <v>65</v>
      </c>
      <c r="F112" s="5" t="s">
        <v>110</v>
      </c>
      <c r="G112" s="33" t="s">
        <v>113</v>
      </c>
    </row>
    <row r="113" spans="1:7" x14ac:dyDescent="0.35">
      <c r="A113" s="2" t="str">
        <f>HYPERLINK("http://codeforces.com/contest/681/problem/A","CF681-D2-A")</f>
        <v>CF681-D2-A</v>
      </c>
      <c r="B113" s="3" t="str">
        <f>HYPERLINK("http://codeforces.com/contest/43/problem/B","CF43-D2-B")</f>
        <v>CF43-D2-B</v>
      </c>
      <c r="C113" s="8" t="str">
        <f>HYPERLINK("https://uva.onlinejudge.org/index.php?option=com_onlinejudge&amp;Itemid=8&amp;page=show_problem&amp;problem=3415","UVA 12263")</f>
        <v>UVA 12263</v>
      </c>
      <c r="D113" s="12" t="str">
        <f>HYPERLINK("http://codeforces.com/contest/617/problem/C","CF617-D2-C")</f>
        <v>CF617-D2-C</v>
      </c>
      <c r="E113" s="10" t="str">
        <f>HYPERLINK("https://uva.onlinejudge.org/index.php?option=com_onlinejudge&amp;Itemid=8&amp;page=show_problem&amp;problem=1475","UVA 10534")</f>
        <v>UVA 10534</v>
      </c>
      <c r="F113" s="5" t="s">
        <v>66</v>
      </c>
      <c r="G113" s="11" t="str">
        <f>HYPERLINK("https://uva.onlinejudge.org/index.php?option=com_onlinejudge&amp;Itemid=8&amp;page=show_problem&amp;problem=1519","UVA 10578")</f>
        <v>UVA 10578</v>
      </c>
    </row>
    <row r="114" spans="1:7" x14ac:dyDescent="0.35">
      <c r="A114" s="2" t="str">
        <f>HYPERLINK("http://codeforces.com/contest/271/problem/A","CF271-D2-A")</f>
        <v>CF271-D2-A</v>
      </c>
      <c r="B114" s="3" t="str">
        <f>HYPERLINK("http://codeforces.com/contest/670/problem/B","CF670-D2-B")</f>
        <v>CF670-D2-B</v>
      </c>
      <c r="C114" s="12" t="str">
        <f>HYPERLINK("http://codeforces.com/contest/822/problem/C","CF822-D2-C")</f>
        <v>CF822-D2-C</v>
      </c>
      <c r="D114" s="12" t="str">
        <f>HYPERLINK("http://codeforces.com/contest/337/problem/C","CF337-D2-C")</f>
        <v>CF337-D2-C</v>
      </c>
      <c r="E114" s="5" t="s">
        <v>42</v>
      </c>
      <c r="F114" s="8" t="str">
        <f>HYPERLINK("https://www.hackerrank.com/challenges/xrange-and-pizza","HACKR xrange-and-pizza")</f>
        <v>HACKR xrange-and-pizza</v>
      </c>
      <c r="G114" s="11" t="str">
        <f>HYPERLINK("http://www.spoj.com/problems/GSS4","SPOJ GSS4")</f>
        <v>SPOJ GSS4</v>
      </c>
    </row>
    <row r="115" spans="1:7" x14ac:dyDescent="0.35">
      <c r="A115" s="2" t="str">
        <f>HYPERLINK("http://codeforces.com/contest/629/problem/A","CF629-D2-A")</f>
        <v>CF629-D2-A</v>
      </c>
      <c r="B115" s="6" t="str">
        <f>HYPERLINK("http://codeforces.com/contest/90/problem/B","CF90-D2-B")</f>
        <v>CF90-D2-B</v>
      </c>
      <c r="C115" s="12" t="str">
        <f>HYPERLINK("http://codeforces.com/contest/834/problem/C","CF834-D2-C")</f>
        <v>CF834-D2-C</v>
      </c>
      <c r="D115" s="16" t="str">
        <f>HYPERLINK("http://codeforces.com/contest/496/problem/B","CF496-D2-B")</f>
        <v>CF496-D2-B</v>
      </c>
      <c r="E115" s="5" t="s">
        <v>68</v>
      </c>
      <c r="F115" s="5" t="s">
        <v>67</v>
      </c>
      <c r="G115" s="11" t="str">
        <f>HYPERLINK("acm.tju.edu.cn/toj/showp1011.html","TJU 1011")</f>
        <v>TJU 1011</v>
      </c>
    </row>
    <row r="116" spans="1:7" x14ac:dyDescent="0.35">
      <c r="A116" s="2" t="str">
        <f>HYPERLINK("http://codeforces.com/contest/415/problem/A","CF415-D2-A")</f>
        <v>CF415-D2-A</v>
      </c>
      <c r="B116" s="6" t="str">
        <f>HYPERLINK("http://codeforces.com/contest/284/problem/B","CF284-D2-B")</f>
        <v>CF284-D2-B</v>
      </c>
      <c r="C116" s="12" t="str">
        <f>HYPERLINK("http://codeforces.com/contest/835/problem/C","CF835-D2-C")</f>
        <v>CF835-D2-C</v>
      </c>
      <c r="D116" s="16" t="str">
        <f>HYPERLINK("http://codeforces.com/contest/471/problem/B","CF471-D2-B")</f>
        <v>CF471-D2-B</v>
      </c>
      <c r="E116" s="19" t="str">
        <f>HYPERLINK("http://codeforces.com/contest/327/problem/D","CF327-D2-D")</f>
        <v>CF327-D2-D</v>
      </c>
      <c r="F116" s="6" t="str">
        <f>HYPERLINK("http://codeforces.com/contest/189/problem/D","CF189-D2-D")</f>
        <v>CF189-D2-D</v>
      </c>
      <c r="G116" s="11" t="str">
        <f>HYPERLINK("http://codeforces.com/contest/801/problem/D","CF801-D2-D")</f>
        <v>CF801-D2-D</v>
      </c>
    </row>
    <row r="117" spans="1:7" x14ac:dyDescent="0.35">
      <c r="A117" s="2" t="str">
        <f>HYPERLINK("http://codeforces.com/contest/47/problem/A","CF47-D2-A")</f>
        <v>CF47-D2-A</v>
      </c>
      <c r="B117" s="6" t="str">
        <f>HYPERLINK("http://codeforces.com/contest/285/problem/B","CF285-D2-B")</f>
        <v>CF285-D2-B</v>
      </c>
      <c r="C117" s="12" t="str">
        <f>HYPERLINK("http://codeforces.com/contest/483/problem/C","CF483-D2-C")</f>
        <v>CF483-D2-C</v>
      </c>
      <c r="D117" s="16" t="str">
        <f>HYPERLINK("http://codeforces.com/contest/146/problem/B","CF146-D2-B")</f>
        <v>CF146-D2-B</v>
      </c>
      <c r="E117" s="6" t="str">
        <f>HYPERLINK("http://codeforces.com/contest/519/problem/D","CF519-D2-D")</f>
        <v>CF519-D2-D</v>
      </c>
      <c r="F117" s="8" t="str">
        <f>HYPERLINK("http://codeforces.com/gym/101864/problem/A","CF101864-GYM-A")</f>
        <v>CF101864-GYM-A</v>
      </c>
      <c r="G117" s="10" t="str">
        <f>HYPERLINK("https://uva.onlinejudge.org/index.php?option=onlinejudge&amp;page=show_problem&amp;problem=1928","UVA 10987")</f>
        <v>UVA 10987</v>
      </c>
    </row>
    <row r="118" spans="1:7" x14ac:dyDescent="0.35">
      <c r="A118" s="2" t="str">
        <f>HYPERLINK("http://codeforces.com/contest/262/problem/A","CF262-D2-A")</f>
        <v>CF262-D2-A</v>
      </c>
      <c r="B118" s="6" t="str">
        <f>HYPERLINK("http://codeforces.com/contest/706/problem/B","CF706-D2-B")</f>
        <v>CF706-D2-B</v>
      </c>
      <c r="C118" s="12" t="str">
        <f>HYPERLINK("http://codeforces.com/contest/136/problem/C","CF136-D2-C")</f>
        <v>CF136-D2-C</v>
      </c>
      <c r="D118" s="10" t="str">
        <f>HYPERLINK("https://uva.onlinejudge.org/index.php?option=onlinejudge&amp;page=show_problem&amp;problem=1119","UVA 10178")</f>
        <v>UVA 10178</v>
      </c>
      <c r="E118" s="6" t="str">
        <f>HYPERLINK("http://codeforces.com/contest/701/problem/D","CF701-D2-D")</f>
        <v>CF701-D2-D</v>
      </c>
      <c r="F118" s="8" t="str">
        <f>HYPERLINK("http://codeforces.com/gym/101864/problem/L","CF101864-GYM-L")</f>
        <v>CF101864-GYM-L</v>
      </c>
      <c r="G118" s="8" t="str">
        <f>HYPERLINK("http://codeforces.com/contest/631/problem/D","CF631-D2-D")</f>
        <v>CF631-D2-D</v>
      </c>
    </row>
    <row r="119" spans="1:7" x14ac:dyDescent="0.35">
      <c r="A119" s="2" t="str">
        <f>HYPERLINK("http://codeforces.com/contest/84/problem/A","CF84-D2-A")</f>
        <v>CF84-D2-A</v>
      </c>
      <c r="B119" s="6" t="str">
        <f>HYPERLINK("http://codeforces.com/contest/424/problem/B","CF424-D2-B")</f>
        <v>CF424-D2-B</v>
      </c>
      <c r="C119" s="12" t="str">
        <f>HYPERLINK("http://codeforces.com/contest/102/problem/C","CF102-D2-C")</f>
        <v>CF102-D2-C</v>
      </c>
      <c r="D119" s="10" t="str">
        <f>HYPERLINK("https://uva.onlinejudge.org/index.php?option=onlinejudge&amp;page=show_problem&amp;problem=1833","UVA 10892")</f>
        <v>UVA 10892</v>
      </c>
      <c r="E119" s="6" t="str">
        <f>HYPERLINK("http://codeforces.com/contest/743/problem/D","CF743-D2-D")</f>
        <v>CF743-D2-D</v>
      </c>
      <c r="F119" s="8" t="str">
        <f>HYPERLINK("http://codeforces.com/contest/28/problem/C","CF28-D12-C")</f>
        <v>CF28-D12-C</v>
      </c>
      <c r="G119" s="5" t="s">
        <v>115</v>
      </c>
    </row>
    <row r="120" spans="1:7" x14ac:dyDescent="0.35">
      <c r="A120" s="2" t="str">
        <f>HYPERLINK("http://codeforces.com/contest/361/problem/A","CF361-D2-A")</f>
        <v>CF361-D2-A</v>
      </c>
      <c r="B120" s="6" t="str">
        <f>HYPERLINK("http://codeforces.com/contest/651/problem/B","CF651-D2-B")</f>
        <v>CF651-D2-B</v>
      </c>
      <c r="C120" s="12" t="str">
        <f>HYPERLINK("http://codeforces.com/contest/221/problem/C","CF221-D2-C")</f>
        <v>CF221-D2-C</v>
      </c>
      <c r="D120" s="10" t="str">
        <f>HYPERLINK("http://codeforces.com/contest/645/problem/D","CF645-D12-D")</f>
        <v>CF645-D12-D</v>
      </c>
      <c r="E120" s="14" t="str">
        <f>HYPERLINK("http://codeforces.com/contest/25/problem/C","CF25-D2-C")</f>
        <v>CF25-D2-C</v>
      </c>
      <c r="F120" s="29" t="s">
        <v>69</v>
      </c>
      <c r="G120" s="8" t="str">
        <f>HYPERLINK("http://codeforces.com/contest/163/problem/C","CF163-D12-C")</f>
        <v>CF163-D12-C</v>
      </c>
    </row>
    <row r="121" spans="1:7" x14ac:dyDescent="0.35">
      <c r="A121" s="2" t="str">
        <f>HYPERLINK("http://codeforces.com/contest/701/problem/A","CF701-D2-A")</f>
        <v>CF701-D2-A</v>
      </c>
      <c r="B121" s="6" t="str">
        <f>HYPERLINK("http://codeforces.com/contest/313/problem/B","CF313-D2-B")</f>
        <v>CF313-D2-B</v>
      </c>
      <c r="C121" s="12" t="str">
        <f>HYPERLINK("http://codeforces.com/contest/581/problem/C","CF581-D2-C")</f>
        <v>CF581-D2-C</v>
      </c>
      <c r="D121" s="4" t="str">
        <f>HYPERLINK("http://www.spoj.com/problems/PT07Z/","SPOJ PT07Z")</f>
        <v>SPOJ PT07Z</v>
      </c>
      <c r="E121" s="14" t="str">
        <f>HYPERLINK("http://codeforces.com/contest/203/problem/C","CF203-D2-C")</f>
        <v>CF203-D2-C</v>
      </c>
      <c r="F121" s="29" t="s">
        <v>70</v>
      </c>
      <c r="G121" s="8" t="str">
        <f>HYPERLINK("http://codeforces.com/contest/455/problem/B","CF455-D1-B")</f>
        <v>CF455-D1-B</v>
      </c>
    </row>
    <row r="122" spans="1:7" x14ac:dyDescent="0.35">
      <c r="A122" s="2" t="str">
        <f>HYPERLINK("http://codeforces.com/contest/591/problem/A","CF591-D2-A")</f>
        <v>CF591-D2-A</v>
      </c>
      <c r="B122" s="6" t="str">
        <f>HYPERLINK("http://codeforces.com/contest/255/problem/B","CF255-D2-B")</f>
        <v>CF255-D2-B</v>
      </c>
      <c r="C122" s="12" t="str">
        <f>HYPERLINK("http://codeforces.com/contest/262/problem/C","CF262-D2-C")</f>
        <v>CF262-D2-C</v>
      </c>
      <c r="D122" s="4" t="str">
        <f>HYPERLINK("https://uva.onlinejudge.org/index.php?option=com_onlinejudge&amp;Itemid=8&amp;page=show_problem&amp;problem=1249","UVA 10308")</f>
        <v>UVA 10308</v>
      </c>
      <c r="E122" s="14" t="str">
        <f>HYPERLINK("http://codeforces.com/contest/236/problem/C","CF236-D2-C")</f>
        <v>CF236-D2-C</v>
      </c>
      <c r="F122" s="29" t="s">
        <v>71</v>
      </c>
      <c r="G122" s="19" t="str">
        <f>HYPERLINK("http://codeforces.com/contest/197/problem/D","CF197-D2-D")</f>
        <v>CF197-D2-D</v>
      </c>
    </row>
    <row r="123" spans="1:7" x14ac:dyDescent="0.35">
      <c r="A123" s="2" t="str">
        <f>HYPERLINK("http://codeforces.com/contest/540/problem/A","CF540-D2-A")</f>
        <v>CF540-D2-A</v>
      </c>
      <c r="B123" s="6" t="str">
        <f>HYPERLINK("http://codeforces.com/contest/327/problem/B","CF327-D2-B")</f>
        <v>CF327-D2-B</v>
      </c>
      <c r="C123" s="12" t="str">
        <f>HYPERLINK("http://codeforces.com/contest/389/problem/C","CF389-D2-C")</f>
        <v>CF389-D2-C</v>
      </c>
      <c r="D123" s="4" t="str">
        <f>HYPERLINK("https://icpcarchive.ecs.baylor.edu/index.php?option=com_onlinejudge&amp;Itemid=8&amp;page=show_problem&amp;problem=936","LIVEARCHIVE 2935")</f>
        <v>LIVEARCHIVE 2935</v>
      </c>
      <c r="E123" s="7" t="str">
        <f>HYPERLINK("https://uva.onlinejudge.org/index.php?option=onlinejudge&amp;page=show_problem&amp;problem=73","UVA 137")</f>
        <v>UVA 137</v>
      </c>
      <c r="F123" s="6" t="str">
        <f>HYPERLINK("https://codeforces.com/contest/1060/problem/D","CF1060-D12-D")</f>
        <v>CF1060-D12-D</v>
      </c>
      <c r="G123" s="19" t="str">
        <f>HYPERLINK("http://codeforces.com/contest/352/problem/D","CF352-D2-D")</f>
        <v>CF352-D2-D</v>
      </c>
    </row>
    <row r="124" spans="1:7" x14ac:dyDescent="0.35">
      <c r="A124" s="2" t="str">
        <f>HYPERLINK("http://codeforces.com/contest/672/problem/A","CF672-D2-A")</f>
        <v>CF672-D2-A</v>
      </c>
      <c r="B124" s="6" t="str">
        <f>HYPERLINK("http://codeforces.com/contest/743/problem/B","CF743-D2-B")</f>
        <v>CF743-D2-B</v>
      </c>
      <c r="C124" s="12" t="str">
        <f>HYPERLINK("http://codeforces.com/contest/218/problem/C","CF218-D2-C")</f>
        <v>CF218-D2-C</v>
      </c>
      <c r="D124" s="19" t="str">
        <f>HYPERLINK("http://codeforces.com/contest/711/problem/D","CF711-D2-D")</f>
        <v>CF711-D2-D</v>
      </c>
      <c r="E124" s="15" t="str">
        <f>HYPERLINK("http://www.spoj.com/problems/DICT/","SPOJ DICT")</f>
        <v>SPOJ DICT</v>
      </c>
      <c r="F124" s="21" t="str">
        <f>HYPERLINK("http://www.spoj.com/problems/POTHOLE/","SPOJ POTHOLE")</f>
        <v>SPOJ POTHOLE</v>
      </c>
      <c r="G124" s="19" t="str">
        <f>HYPERLINK("http://codeforces.com/contest/812/problem/D","CF812-D2-D")</f>
        <v>CF812-D2-D</v>
      </c>
    </row>
    <row r="125" spans="1:7" x14ac:dyDescent="0.35">
      <c r="A125" s="9" t="str">
        <f>HYPERLINK("http://codeforces.com/contest/151/problem/A","CF151-D2-A")</f>
        <v>CF151-D2-A</v>
      </c>
      <c r="B125" s="6" t="str">
        <f>HYPERLINK("http://codeforces.com/contest/581/problem/B","CF581-D2-B")</f>
        <v>CF581-D2-B</v>
      </c>
      <c r="C125" s="12" t="str">
        <f>HYPERLINK("http://codeforces.com/contest/441/problem/C","CF441-D2-C")</f>
        <v>CF441-D2-C</v>
      </c>
      <c r="D125" s="17" t="str">
        <f>HYPERLINK("http://codeforces.com/contest/294/problem/C","CF294-D2-C")</f>
        <v>CF294-D2-C</v>
      </c>
      <c r="E125" s="15" t="str">
        <f>HYPERLINK("https://uva.onlinejudge.org/index.php?option=com_onlinejudge&amp;Itemid=8&amp;page=show_problem&amp;problem=4331","UVA 1556")</f>
        <v>UVA 1556</v>
      </c>
      <c r="F125" s="21" t="str">
        <f>HYPERLINK("https://uva.onlinejudge.org/index.php?option=onlinejudge&amp;page=show_problem&amp;problem=1271","UVA 10330")</f>
        <v>UVA 10330</v>
      </c>
      <c r="G125" s="6" t="str">
        <f>HYPERLINK("http://codeforces.com/contest/242/problem/D","CF242-D2-D")</f>
        <v>CF242-D2-D</v>
      </c>
    </row>
    <row r="126" spans="1:7" x14ac:dyDescent="0.35">
      <c r="A126" s="9" t="str">
        <f>HYPERLINK("http://codeforces.com/contest/384/problem/A","CF384-D2-A")</f>
        <v>CF384-D2-A</v>
      </c>
      <c r="B126" s="3" t="str">
        <f>HYPERLINK("http://codeforces.com/contest/63/problem/B","CF63-D2-B")</f>
        <v>CF63-D2-B</v>
      </c>
      <c r="C126" s="12" t="str">
        <f>HYPERLINK("http://codeforces.com/contest/271/problem/C","CF271-D2-C")</f>
        <v>CF271-D2-C</v>
      </c>
      <c r="D126" s="12" t="str">
        <f>HYPERLINK("http://codeforces.com/contest/721/problem/C","CF721-D2-C")</f>
        <v>CF721-D2-C</v>
      </c>
      <c r="E126" s="15" t="str">
        <f>HYPERLINK("http://www.spoj.com/problems/PHONELST/","SPOJ PHONELST")</f>
        <v>SPOJ PHONELST</v>
      </c>
      <c r="F126" s="21" t="str">
        <f>HYPERLINK("https://uva.onlinejudge.org/index.php?option=com_onlinejudge&amp;Itemid=8&amp;page=show_problem&amp;problem=1021","UVA 10080")</f>
        <v>UVA 10080</v>
      </c>
      <c r="G126" s="6" t="str">
        <f>HYPERLINK("http://codeforces.com/contest/688/problem/D","CF688-D2-D")</f>
        <v>CF688-D2-D</v>
      </c>
    </row>
    <row r="127" spans="1:7" x14ac:dyDescent="0.35">
      <c r="A127" s="2" t="str">
        <f>HYPERLINK("http://codeforces.com/contest/551/problem/A","CF551-D2-A")</f>
        <v>CF551-D2-A</v>
      </c>
      <c r="B127" s="3" t="str">
        <f>HYPERLINK("http://codeforces.com/contest/629/problem/B","CF629-D2-B")</f>
        <v>CF629-D2-B</v>
      </c>
      <c r="C127" s="12" t="str">
        <f>HYPERLINK("http://www.spoj.com/problems/CERC07K/","SPOJ CERC07K")</f>
        <v>SPOJ CERC07K</v>
      </c>
      <c r="D127" s="17" t="str">
        <f>HYPERLINK("http://codeforces.com/contest/474/problem/C","CF474-D2-C")</f>
        <v>CF474-D2-C</v>
      </c>
      <c r="E127" s="15" t="str">
        <f>HYPERLINK("https://uva.onlinejudge.org/index.php?option=com_onlinejudge&amp;Itemid=8&amp;page=show_problem&amp;problem=3971","UVA 12526")</f>
        <v>UVA 12526</v>
      </c>
      <c r="F127" s="21" t="str">
        <f>HYPERLINK("https://uva.onlinejudge.org/index.php?option=com_onlinejudge&amp;Itemid=8&amp;page=show_problem&amp;problem=195","UVA 259")</f>
        <v>UVA 259</v>
      </c>
      <c r="G127" s="6" t="str">
        <f>HYPERLINK("http://codeforces.com/contest/1075/problem/D","CF1075-D2-D")</f>
        <v>CF1075-D2-D</v>
      </c>
    </row>
    <row r="128" spans="1:7" x14ac:dyDescent="0.35">
      <c r="A128" s="9" t="str">
        <f>HYPERLINK("http://codeforces.com/contest/278/problem/A","CF278-D2-A")</f>
        <v>CF278-D2-A</v>
      </c>
      <c r="B128" s="3" t="str">
        <f>HYPERLINK("http://codeforces.com/contest/596/problem/B","CF596-D2-B")</f>
        <v>CF596-D2-B</v>
      </c>
      <c r="C128" s="12" t="str">
        <f>HYPERLINK("http://www.spoj.com/problems/CLEANRBT/","SPOJ CLEANRBT")</f>
        <v>SPOJ CLEANRBT</v>
      </c>
      <c r="D128" s="12" t="str">
        <f>HYPERLINK("http://codeforces.com/contest/592/problem/C","CF592-D2-C")</f>
        <v>CF592-D2-C</v>
      </c>
      <c r="E128" s="15" t="str">
        <f>HYPERLINK("http://codeforces.com/contest/706/problem/D","CF706-D2-D")</f>
        <v>CF706-D2-D</v>
      </c>
      <c r="F128" s="21" t="str">
        <f>HYPERLINK("https://uva.onlinejudge.org/index.php?option=onlinejudge&amp;page=show_problem&amp;problem=1290","UVA 10349")</f>
        <v>UVA 10349</v>
      </c>
      <c r="G128" s="6" t="str">
        <f>HYPERLINK("http://codeforces.com/problemset/problem/1033/D", "CF1033-D12-D")</f>
        <v>CF1033-D12-D</v>
      </c>
    </row>
    <row r="129" spans="1:7" x14ac:dyDescent="0.35">
      <c r="A129" s="2" t="str">
        <f>HYPERLINK("http://codeforces.com/contest/599/problem/A","CF599-D2-A")</f>
        <v>CF599-D2-A</v>
      </c>
      <c r="B129" s="3" t="str">
        <f>HYPERLINK("http://codeforces.com/contest/723/problem/B","CF723-D2-B")</f>
        <v>CF723-D2-B</v>
      </c>
      <c r="C129" s="12" t="str">
        <f>HYPERLINK("http://codeforces.com/contest/701/problem/C","CF701-D2-C")</f>
        <v>CF701-D2-C</v>
      </c>
      <c r="D129" s="12" t="str">
        <f>HYPERLINK("http://codeforces.com/contest/776/problem/C","CF776-D2-C")</f>
        <v>CF776-D2-C</v>
      </c>
      <c r="E129" s="10" t="str">
        <f>HYPERLINK("https://uva.onlinejudge.org/index.php?option=onlinejudge&amp;page=show_problem&amp;problem=1054","UVA 10113")</f>
        <v>UVA 10113</v>
      </c>
      <c r="F129" s="29" t="s">
        <v>72</v>
      </c>
      <c r="G129" s="6" t="str">
        <f>HYPERLINK("http://codeforces.com/problemset/problem/442/B","CF442-D1-B")</f>
        <v>CF442-D1-B</v>
      </c>
    </row>
    <row r="130" spans="1:7" x14ac:dyDescent="0.35">
      <c r="A130" s="2" t="str">
        <f>HYPERLINK("http://codeforces.com/contest/432/problem/A","CF432-D2-A")</f>
        <v>CF432-D2-A</v>
      </c>
      <c r="B130" s="3" t="str">
        <f>HYPERLINK("http://codeforces.com/contest/431/problem/B","CF431-D2-B")</f>
        <v>CF431-D2-B</v>
      </c>
      <c r="C130" s="12" t="str">
        <f>HYPERLINK("http://codeforces.com/contest/16/problem/C","CF16-D2-C")</f>
        <v>CF16-D2-C</v>
      </c>
      <c r="D130" s="16" t="str">
        <f>HYPERLINK("http://codeforces.com/contest/719/problem/B","CF719-D2-B")</f>
        <v>CF719-D2-B</v>
      </c>
      <c r="E130" s="10" t="str">
        <f>HYPERLINK("https://uva.onlinejudge.org/index.php?option=com_onlinejudge&amp;Itemid=8&amp;page=show_problem&amp;problem=668","UVA 727")</f>
        <v>UVA 727</v>
      </c>
      <c r="F130" s="21" t="str">
        <f>HYPERLINK("https://uva.onlinejudge.org/index.php?option=onlinejudge&amp;page=show_problem&amp;problem=694","UVA 753")</f>
        <v>UVA 753</v>
      </c>
      <c r="G130" s="6" t="str">
        <f>HYPERLINK("http://codeforces.com/contest/1025/problem/D","CF1025-D2-D")</f>
        <v>CF1025-D2-D</v>
      </c>
    </row>
    <row r="131" spans="1:7" x14ac:dyDescent="0.35">
      <c r="A131" s="2" t="str">
        <f>HYPERLINK("http://codeforces.com/contest/492/problem/A","CF492-D2-A")</f>
        <v>CF492-D2-A</v>
      </c>
      <c r="B131" s="3" t="str">
        <f>HYPERLINK("http://codeforces.com/contest/501/problem/B","CF501-D2-B")</f>
        <v>CF501-D2-B</v>
      </c>
      <c r="C131" s="12" t="str">
        <f>HYPERLINK("http://codeforces.com/contest/22/problem/C","CF22-D2-C")</f>
        <v>CF22-D2-C</v>
      </c>
      <c r="D131" s="16" t="str">
        <f>HYPERLINK("http://codeforces.com/contest/131/problem/B","CF131-D2-B")</f>
        <v>CF131-D2-B</v>
      </c>
      <c r="E131" s="10" t="str">
        <f>HYPERLINK("http://codeforces.com/contest/47/problem/D","CF47-D2-D")</f>
        <v>CF47-D2-D</v>
      </c>
      <c r="F131" s="11" t="str">
        <f>HYPERLINK("https://uva.onlinejudge.org/index.php?option=com_onlinejudge&amp;Itemid=8&amp;page=show_problem&amp;problem=3277","UVA 12125")</f>
        <v>UVA 12125</v>
      </c>
      <c r="G131" s="38"/>
    </row>
    <row r="132" spans="1:7" x14ac:dyDescent="0.35">
      <c r="A132" s="9" t="str">
        <f>HYPERLINK("http://codeforces.com/contest/148/problem/A","CF148-D2-A")</f>
        <v>CF148-D2-A</v>
      </c>
      <c r="B132" s="3" t="str">
        <f>HYPERLINK("http://codeforces.com/contest/667/problem/B","CF667-D2-B")</f>
        <v>CF667-D2-B</v>
      </c>
      <c r="C132" s="12" t="str">
        <f>HYPERLINK("http://codeforces.com/contest/122/problem/C","CF122-D2-C")</f>
        <v>CF122-D2-C</v>
      </c>
      <c r="D132" s="39"/>
      <c r="E132" s="21" t="str">
        <f>HYPERLINK("https://uva.onlinejudge.org/index.php?option=onlinejudge&amp;page=show_problem&amp;problem=1290","UVA 10349")</f>
        <v>UVA 10349</v>
      </c>
      <c r="F132" s="33" t="s">
        <v>114</v>
      </c>
      <c r="G132" s="38"/>
    </row>
    <row r="133" spans="1:7" x14ac:dyDescent="0.35">
      <c r="A133" s="2" t="str">
        <f>HYPERLINK("http://codeforces.com/contest/330/problem/A","CF330-D2-A")</f>
        <v>CF330-D2-A</v>
      </c>
      <c r="B133" s="3" t="str">
        <f>HYPERLINK("http://codeforces.com/contest/136/problem/B","CF136-D2-B")</f>
        <v>CF136-D2-B</v>
      </c>
      <c r="C133" s="12" t="str">
        <f>HYPERLINK("http://codeforces.com/contest/688/problem/C","CF688-D2-C")</f>
        <v>CF688-D2-C</v>
      </c>
      <c r="D133" s="8" t="str">
        <f>HYPERLINK("https://uva.onlinejudge.org/index.php?option=onlinejudge&amp;page=show_problem&amp;problem=1204","UVA 10263")</f>
        <v>UVA 10263</v>
      </c>
      <c r="E133" s="21" t="str">
        <f>HYPERLINK("http://www.spoj.com/problems/IM","SPOJ IM")</f>
        <v>SPOJ IM</v>
      </c>
      <c r="F133" s="21" t="str">
        <f>HYPERLINK("https://uva.onlinejudge.org/index.php?option=com_onlinejudge&amp;Itemid=8&amp;page=show_problem&amp;problem=2100","UVA 11159")</f>
        <v>UVA 11159</v>
      </c>
      <c r="G133" s="38"/>
    </row>
    <row r="134" spans="1:7" x14ac:dyDescent="0.35">
      <c r="A134" s="9" t="str">
        <f>HYPERLINK("http://codeforces.com/contest/16/problem/A","CF16-D2-A")</f>
        <v>CF16-D2-A</v>
      </c>
      <c r="B134" s="6" t="str">
        <f>HYPERLINK("http://codeforces.com/contest/189/problem/B","CF189-D2-B")</f>
        <v>CF189-D2-B</v>
      </c>
      <c r="C134" s="12" t="str">
        <f>HYPERLINK("http://codeforces.com/contest/743/problem/C","CF743-D2-C")</f>
        <v>CF743-D2-C</v>
      </c>
      <c r="D134" s="8" t="str">
        <f>HYPERLINK("https://uva.onlinejudge.org/index.php?option=com_onlinejudge&amp;Itemid=8&amp;page=show_problem&amp;problem=825","UVA 884")</f>
        <v>UVA 884</v>
      </c>
      <c r="E134" s="4" t="str">
        <f>HYPERLINK("https://uva.onlinejudge.org/index.php?option=onlinejudge&amp;page=show_problem&amp;problem=448","UVA 507")</f>
        <v>UVA 507</v>
      </c>
      <c r="F134" s="29" t="s">
        <v>73</v>
      </c>
      <c r="G134" s="38"/>
    </row>
    <row r="135" spans="1:7" x14ac:dyDescent="0.35">
      <c r="A135" s="2" t="str">
        <f>HYPERLINK("http://codeforces.com/contest/248/problem/A","CF248-D2-A")</f>
        <v>CF248-D2-A</v>
      </c>
      <c r="B135" s="6" t="str">
        <f>HYPERLINK("http://codeforces.com/contest/459/problem/B","CF459-D2-B")</f>
        <v>CF459-D2-B</v>
      </c>
      <c r="C135" s="12" t="str">
        <f>HYPERLINK("http://codeforces.com/contest/556/problem/C","CF556-D2-C")</f>
        <v>CF556-D2-C</v>
      </c>
      <c r="D135" s="8" t="str">
        <f>HYPERLINK("https://uva.onlinejudge.org/index.php?option=onlinejudge&amp;page=show_problem&amp;problem=4601","UVA 12748")</f>
        <v>UVA 12748</v>
      </c>
      <c r="E135" s="4" t="str">
        <f>HYPERLINK("https://uva.onlinejudge.org/index.php?option=com_onlinejudge&amp;Itemid=8&amp;page=show_problem&amp;problem=1608","UVA 10667")</f>
        <v>UVA 10667</v>
      </c>
      <c r="F135" s="10" t="str">
        <f>HYPERLINK("http://poj.org/problem?id=2374","PKU 2374")</f>
        <v>PKU 2374</v>
      </c>
      <c r="G135" s="38"/>
    </row>
    <row r="136" spans="1:7" x14ac:dyDescent="0.35">
      <c r="A136" s="2" t="str">
        <f>HYPERLINK("http://codeforces.com/contest/363/problem/A","CF363-D2-A")</f>
        <v>CF363-D2-A</v>
      </c>
      <c r="B136" s="3" t="str">
        <f>HYPERLINK("http://codeforces.com/contest/592/problem/B","CF592-D2-B")</f>
        <v>CF592-D2-B</v>
      </c>
      <c r="C136" s="12" t="str">
        <f>HYPERLINK("http://codeforces.com/contest/677/problem/C","CF677-D2-C")</f>
        <v>CF677-D2-C</v>
      </c>
      <c r="D136" s="8" t="str">
        <f>HYPERLINK("https://uva.onlinejudge.org/index.php?option=com_onlinejudge&amp;Itemid=8&amp;page=show_problem&amp;problem=206","UVA 270")</f>
        <v>UVA 270</v>
      </c>
      <c r="E136" s="6" t="str">
        <f>HYPERLINK("http://codeforces.com/contest/96/problem/D","CF96-D2-D")</f>
        <v>CF96-D2-D</v>
      </c>
      <c r="F136" s="5" t="s">
        <v>74</v>
      </c>
      <c r="G136" s="38"/>
    </row>
    <row r="137" spans="1:7" x14ac:dyDescent="0.35">
      <c r="A137" s="9" t="str">
        <f>HYPERLINK("http://codeforces.com/contest/141/problem/A","CF141-D2-A")</f>
        <v>CF141-D2-A</v>
      </c>
      <c r="B137" s="3" t="str">
        <f>HYPERLINK("http://codeforces.com/contest/365/problem/B","CF365-D2-B")</f>
        <v>CF365-D2-B</v>
      </c>
      <c r="C137" s="12" t="str">
        <f>HYPERLINK("http://codeforces.com/contest/479/problem/C","CF479-D2-C")</f>
        <v>CF479-D2-C</v>
      </c>
      <c r="D137" s="8" t="str">
        <f>HYPERLINK("http://www.spoj.com/problems/POUR1/","SPOJ POUR1")</f>
        <v>SPOJ POUR1</v>
      </c>
      <c r="E137" s="6" t="str">
        <f>HYPERLINK("http://codeforces.com/contest/606/problem/D","CF606-D2-D")</f>
        <v>CF606-D2-D</v>
      </c>
      <c r="F137" s="5" t="s">
        <v>75</v>
      </c>
      <c r="G137" s="38"/>
    </row>
    <row r="138" spans="1:7" x14ac:dyDescent="0.35">
      <c r="A138" s="2" t="str">
        <f>HYPERLINK("http://codeforces.com/contest/275/problem/A","CF275-D2-A")</f>
        <v>CF275-D2-A</v>
      </c>
      <c r="B138" s="3" t="str">
        <f>HYPERLINK("http://codeforces.com/contest/705/problem/B","CF705-D2-B")</f>
        <v>CF705-D2-B</v>
      </c>
      <c r="C138" s="17" t="str">
        <f>HYPERLINK("http://codeforces.com/contest/456/problem/C","CF456-D2-C")</f>
        <v>CF456-D2-C</v>
      </c>
      <c r="D138" s="8" t="str">
        <f>HYPERLINK("http://codeforces.com/contest/23/problem/C","CF23-D12-C")</f>
        <v>CF23-D12-C</v>
      </c>
      <c r="E138" s="6" t="str">
        <f>HYPERLINK("http://codeforces.com/contest/448/problem/D","CF448-D2-D")</f>
        <v>CF448-D2-D</v>
      </c>
      <c r="F138" s="5" t="s">
        <v>76</v>
      </c>
      <c r="G138" s="38"/>
    </row>
    <row r="139" spans="1:7" x14ac:dyDescent="0.35">
      <c r="A139" s="2" t="str">
        <f>HYPERLINK("http://codeforces.com/contest/276/problem/A","CF276-D2-A")</f>
        <v>CF276-D2-A</v>
      </c>
      <c r="B139" s="3" t="str">
        <f>HYPERLINK("http://codeforces.com/contest/686/problem/B","CF686-D2-B")</f>
        <v>CF686-D2-B</v>
      </c>
      <c r="C139" s="17" t="str">
        <f>HYPERLINK("http://codeforces.com/contest/278/problem/C","CF278-D2-C")</f>
        <v>CF278-D2-C</v>
      </c>
      <c r="D139" s="8" t="str">
        <f>HYPERLINK("http://codeforces.com/problemset/problem/869/C","CF869-D2-C")</f>
        <v>CF869-D2-C</v>
      </c>
      <c r="E139" s="5" t="s">
        <v>78</v>
      </c>
      <c r="F139" s="5" t="s">
        <v>77</v>
      </c>
      <c r="G139" s="38"/>
    </row>
    <row r="140" spans="1:7" x14ac:dyDescent="0.35">
      <c r="A140" s="2" t="str">
        <f>HYPERLINK("http://codeforces.com/contest/588/problem/A","CF588-D2-A")</f>
        <v>CF588-D2-A</v>
      </c>
      <c r="B140" s="3" t="str">
        <f>HYPERLINK("http://codeforces.com/contest/133/problem/B","CF133-D2-B")</f>
        <v>CF133-D2-B</v>
      </c>
      <c r="C140" s="17" t="str">
        <f>HYPERLINK("http://codeforces.com/contest/268/problem/C","CF268-D2-C")</f>
        <v>CF268-D2-C</v>
      </c>
      <c r="D140" s="5" t="s">
        <v>22</v>
      </c>
      <c r="E140" s="5" t="s">
        <v>79</v>
      </c>
      <c r="F140" s="5" t="s">
        <v>116</v>
      </c>
      <c r="G140" s="38"/>
    </row>
    <row r="141" spans="1:7" x14ac:dyDescent="0.35">
      <c r="A141" s="2" t="str">
        <f>HYPERLINK("http://codeforces.com/contest/401/problem/A","CF401-D2-A")</f>
        <v>CF401-D2-A</v>
      </c>
      <c r="B141" s="3" t="str">
        <f>HYPERLINK("http://codeforces.com/contest/127/problem/B","CF127-D2-B")</f>
        <v>CF127-D2-B</v>
      </c>
      <c r="C141" s="12" t="str">
        <f>HYPERLINK("https://uva.onlinejudge.org/index.php?option=com_onlinejudge&amp;Itemid=8&amp;page=show_problem&amp;problem=438","UVA 497")</f>
        <v>UVA 497</v>
      </c>
      <c r="D141" s="10" t="str">
        <f>HYPERLINK("https://uva.onlinejudge.org/index.php?option=onlinejudge&amp;page=show_problem&amp;problem=3801","UVA 12379")</f>
        <v>UVA 12379</v>
      </c>
      <c r="E141" s="5" t="s">
        <v>80</v>
      </c>
      <c r="F141" s="8" t="str">
        <f>HYPERLINK("http://codeforces.com/contest/280/problem/C","CF280-D1-C")</f>
        <v>CF280-D1-C</v>
      </c>
      <c r="G141" s="38"/>
    </row>
    <row r="142" spans="1:7" x14ac:dyDescent="0.35">
      <c r="A142" s="2" t="str">
        <f>HYPERLINK("http://codeforces.com/contest/424/problem/A","CF424-D2-A")</f>
        <v>CF424-D2-A</v>
      </c>
      <c r="B142" s="3" t="str">
        <f>HYPERLINK("http://codeforces.com/contest/554/problem/B","CF554-D2-B")</f>
        <v>CF554-D2-B</v>
      </c>
      <c r="C142" s="12" t="str">
        <f>HYPERLINK("https://uva.onlinejudge.org/index.php?option=com_onlinejudge&amp;Itemid=8&amp;page=show_problem&amp;problem=1680","UVA 10739")</f>
        <v>UVA 10739</v>
      </c>
      <c r="D142" s="10" t="str">
        <f>HYPERLINK("https://uva.onlinejudge.org/index.php?option=com_onlinejudge&amp;Itemid=8&amp;page=show_problem&amp;problem=89","UVA 153")</f>
        <v>UVA 153</v>
      </c>
      <c r="E142" s="6" t="str">
        <f>HYPERLINK("http://codeforces.com/contest/506/problem/A", "CF506-D1-A")</f>
        <v>CF506-D1-A</v>
      </c>
      <c r="F142" s="8" t="str">
        <f>HYPERLINK("http://codeforces.com/contest/110/problem/D","CF110-D2-D")</f>
        <v>CF110-D2-D</v>
      </c>
      <c r="G142" s="38"/>
    </row>
    <row r="143" spans="1:7" x14ac:dyDescent="0.35">
      <c r="A143" s="2" t="str">
        <f>HYPERLINK("http://codeforces.com/contest/144/problem/A","CF144-D2-A")</f>
        <v>CF144-D2-A</v>
      </c>
      <c r="B143" s="3" t="str">
        <f>HYPERLINK("http://codeforces.com/contest/408/problem/B","CF408-D2-B")</f>
        <v>CF408-D2-B</v>
      </c>
      <c r="C143" s="12" t="str">
        <f>HYPERLINK("https://uva.onlinejudge.org/index.php?option=onlinejudge&amp;page=show_problem&amp;problem=1760","UVA 10819")</f>
        <v>UVA 10819</v>
      </c>
      <c r="D143" s="4" t="str">
        <f>HYPERLINK("https://uva.onlinejudge.org/index.php?option=com_onlinejudge&amp;Itemid=8&amp;page=show_problem&amp;problem=1718","UVA 10777")</f>
        <v>UVA 10777</v>
      </c>
      <c r="E143" s="6" t="str">
        <f>HYPERLINK("https://www.codechef.com/problems/KSUM","CODECHEF KSUM")</f>
        <v>CODECHEF KSUM</v>
      </c>
      <c r="F143" s="5" t="s">
        <v>81</v>
      </c>
      <c r="G143" s="38"/>
    </row>
    <row r="144" spans="1:7" x14ac:dyDescent="0.35">
      <c r="A144" s="2" t="str">
        <f>HYPERLINK("http://codeforces.com/contest/63/problem/A","CF63-D2-A")</f>
        <v>CF63-D2-A</v>
      </c>
      <c r="B144" s="3" t="str">
        <f>HYPERLINK("http://codeforces.com/contest/362/problem/B","CF362-D2-B")</f>
        <v>CF362-D2-B</v>
      </c>
      <c r="C144" s="17" t="str">
        <f>HYPERLINK("http://codeforces.com/contest/812/problem/C","CF812-D2-C")</f>
        <v>CF812-D2-C</v>
      </c>
      <c r="D144" s="4" t="str">
        <f>HYPERLINK("http://codeforces.com/contest/839/problem/C","CF839-D2-C")</f>
        <v>CF839-D2-C</v>
      </c>
      <c r="E144" s="6" t="str">
        <f>HYPERLINK("http://codeforces.com/contest/623/problem/B","CF623-D1-B")</f>
        <v>CF623-D1-B</v>
      </c>
      <c r="F144" s="5" t="s">
        <v>82</v>
      </c>
      <c r="G144" s="38"/>
    </row>
    <row r="145" spans="1:7" x14ac:dyDescent="0.35">
      <c r="A145" s="2" t="str">
        <f>HYPERLINK("http://codeforces.com/contest/202/problem/A","CF202-D2-A")</f>
        <v>CF202-D2-A</v>
      </c>
      <c r="B145" s="3" t="str">
        <f>HYPERLINK("http://codeforces.com/contest/545/problem/B","CF545-D2-B")</f>
        <v>CF545-D2-B</v>
      </c>
      <c r="C145" s="12" t="str">
        <f>HYPERLINK("http://codeforces.com/contest/330/problem/C","CF330-D2-C")</f>
        <v>CF330-D2-C</v>
      </c>
      <c r="D145" s="4" t="str">
        <f>HYPERLINK("http://codeforces.com/contest/454/problem/C","CF454-D2-C")</f>
        <v>CF454-D2-C</v>
      </c>
      <c r="E145" s="14" t="str">
        <f>HYPERLINK("http://codeforces.com/contest/376/problem/C","CF376-D2-C")</f>
        <v>CF376-D2-C</v>
      </c>
      <c r="F145" s="5" t="s">
        <v>83</v>
      </c>
      <c r="G145" s="38"/>
    </row>
    <row r="146" spans="1:7" x14ac:dyDescent="0.35">
      <c r="A146" s="2" t="str">
        <f>HYPERLINK("http://codeforces.com/contest/334/problem/A","CF334-D2-A")</f>
        <v>CF334-D2-A</v>
      </c>
      <c r="B146" s="6" t="str">
        <f>HYPERLINK("http://codeforces.com/contest/677/problem/B","CF677-D2-B")</f>
        <v>CF677-D2-B</v>
      </c>
      <c r="C146" s="12" t="str">
        <f>HYPERLINK("http://codeforces.com/contest/149/problem/C","CF149-D2-C")</f>
        <v>CF149-D2-C</v>
      </c>
      <c r="D146" s="29" t="s">
        <v>23</v>
      </c>
      <c r="E146" s="14" t="str">
        <f>HYPERLINK("http://codeforces.com/contest/439/problem/C","CF439-D2-C")</f>
        <v>CF439-D2-C</v>
      </c>
      <c r="F146" s="6" t="str">
        <f>HYPERLINK("http://codeforces.com/contest/1071/problem/B","CF1072-D2-D")</f>
        <v>CF1072-D2-D</v>
      </c>
      <c r="G146" s="38"/>
    </row>
    <row r="147" spans="1:7" x14ac:dyDescent="0.35">
      <c r="A147" s="9" t="str">
        <f>HYPERLINK("http://codeforces.com/contest/451/problem/A","CF451-D2-A")</f>
        <v>CF451-D2-A</v>
      </c>
      <c r="B147" s="6" t="str">
        <f>HYPERLINK("http://codeforces.com/contest/304/problem/B","CF304-D2-B")</f>
        <v>CF304-D2-B</v>
      </c>
      <c r="C147" s="12" t="str">
        <f>HYPERLINK("http://codeforces.com/contest/49/problem/C","CF49-D2-C")</f>
        <v>CF49-D2-C</v>
      </c>
      <c r="D147" s="4" t="str">
        <f>HYPERLINK("https://www.hackerrank.com/challenges/lazy-sorting","HACKR lazy-sorting")</f>
        <v>HACKR lazy-sorting</v>
      </c>
      <c r="E147" s="14" t="str">
        <f>HYPERLINK("http://codeforces.com/contest/557/problem/C","CF557-D2-C")</f>
        <v>CF557-D2-C</v>
      </c>
      <c r="F147" s="38"/>
      <c r="G147" s="38"/>
    </row>
    <row r="148" spans="1:7" x14ac:dyDescent="0.35">
      <c r="A148" s="9" t="str">
        <f>HYPERLINK("http://codeforces.com/contest/460/problem/A","CF460-D2-A")</f>
        <v>CF460-D2-A</v>
      </c>
      <c r="B148" s="6" t="str">
        <f>HYPERLINK("http://codeforces.com/contest/507/problem/B","CF507-D2-B")</f>
        <v>CF507-D2-B</v>
      </c>
      <c r="C148" s="12" t="str">
        <f>HYPERLINK("http://codeforces.com/contest/415/problem/C","CF415-D2-C")</f>
        <v>CF415-D2-C</v>
      </c>
      <c r="D148" s="8" t="str">
        <f>HYPERLINK("http://www.spoj.com/problems/ALIENS/","SPOJ ALIENS")</f>
        <v>SPOJ ALIENS</v>
      </c>
      <c r="E148" s="38"/>
      <c r="F148" s="38"/>
      <c r="G148" s="38"/>
    </row>
    <row r="149" spans="1:7" x14ac:dyDescent="0.35">
      <c r="A149" s="2" t="str">
        <f>HYPERLINK("http://codeforces.com/contest/272/problem/A","CF272-D2-A")</f>
        <v>CF272-D2-A</v>
      </c>
      <c r="B149" s="6" t="str">
        <f>HYPERLINK("http://codeforces.com/contest/289/problem/B","CF289-D2-B")</f>
        <v>CF289-D2-B</v>
      </c>
      <c r="C149" s="12" t="str">
        <f>HYPERLINK("http://codeforces.com/contest/129/problem/C","CF129-D2-C")</f>
        <v>CF129-D2-C</v>
      </c>
      <c r="D149" s="8" t="str">
        <f>HYPERLINK("http://codeforces.com/contest/340/problem/B","CF340-D2-B")</f>
        <v>CF340-D2-B</v>
      </c>
      <c r="E149" s="38"/>
      <c r="F149" s="38"/>
      <c r="G149" s="38"/>
    </row>
    <row r="150" spans="1:7" x14ac:dyDescent="0.35">
      <c r="A150" s="2" t="str">
        <f>HYPERLINK("http://codeforces.com/contest/676/problem/A","CF676-D2-A")</f>
        <v>CF676-D2-A</v>
      </c>
      <c r="B150" s="3" t="str">
        <f>HYPERLINK("http://codeforces.com/contest/387/problem/B","CF387-D2-B")</f>
        <v>CF387-D2-B</v>
      </c>
      <c r="C150" s="12" t="str">
        <f>HYPERLINK("http://codeforces.com/contest/400/problem/C","CF400-D2-C")</f>
        <v>CF400-D2-C</v>
      </c>
      <c r="D150" s="6" t="str">
        <f>HYPERLINK("http://codeforces.com/contest/486/problem/D","CF486-D2-D")</f>
        <v>CF486-D2-D</v>
      </c>
      <c r="E150" s="38"/>
      <c r="F150" s="38"/>
      <c r="G150" s="38"/>
    </row>
    <row r="151" spans="1:7" x14ac:dyDescent="0.35">
      <c r="A151" s="9" t="str">
        <f>HYPERLINK("http://codeforces.com/contest/545/problem/A","CF545-D2-A")</f>
        <v>CF545-D2-A</v>
      </c>
      <c r="B151" s="3" t="str">
        <f>HYPERLINK("http://codeforces.com/contest/740/problem/B","CF740-D2-B")</f>
        <v>CF740-D2-B</v>
      </c>
      <c r="C151" s="12" t="str">
        <f>HYPERLINK("http://codeforces.com/contest/144/problem/C","CF144-D2-C")</f>
        <v>CF144-D2-C</v>
      </c>
      <c r="D151" s="6" t="str">
        <f>HYPERLINK("http://codeforces.com/contest/1040/problem/D","CF1040-D2-D")</f>
        <v>CF1040-D2-D</v>
      </c>
      <c r="E151" s="38"/>
      <c r="F151" s="38"/>
      <c r="G151" s="38"/>
    </row>
    <row r="152" spans="1:7" x14ac:dyDescent="0.35">
      <c r="A152" s="2" t="str">
        <f>HYPERLINK("http://codeforces.com/contest/447/problem/A","CF447-D2-A")</f>
        <v>CF447-D2-A</v>
      </c>
      <c r="B152" s="3" t="str">
        <f>HYPERLINK("http://codeforces.com/contest/735/problem/B","CF735-D2-B")</f>
        <v>CF735-D2-B</v>
      </c>
      <c r="C152" s="12" t="str">
        <f>HYPERLINK("http://codeforces.com/contest/525/problem/C","CF525-D2-C")</f>
        <v>CF525-D2-C</v>
      </c>
      <c r="D152" s="6" t="str">
        <f>HYPERLINK("http://codeforces.com/contest/264/problem/C","CF264-D1-C")</f>
        <v>CF264-D1-C</v>
      </c>
      <c r="E152" s="38"/>
      <c r="F152" s="38"/>
      <c r="G152" s="38"/>
    </row>
    <row r="153" spans="1:7" x14ac:dyDescent="0.35">
      <c r="A153" s="9" t="str">
        <f>HYPERLINK("http://codeforces.com/contest/133/problem/A","CF133-D2-A")</f>
        <v>CF133-D2-A</v>
      </c>
      <c r="B153" s="3" t="str">
        <f>HYPERLINK("http://codeforces.com/contest/104/problem/B","CF104-D2-B")</f>
        <v>CF104-D2-B</v>
      </c>
      <c r="C153" s="12" t="str">
        <f>HYPERLINK("http://codeforces.com/contest/599/problem/C","CF599-D2-C")</f>
        <v>CF599-D2-C</v>
      </c>
      <c r="D153" s="12" t="str">
        <f>HYPERLINK("http://codeforces.com/contest/427/problem/C","CF427-D2-C")</f>
        <v>CF427-D2-C</v>
      </c>
      <c r="E153" s="38"/>
      <c r="F153" s="38"/>
      <c r="G153" s="38"/>
    </row>
    <row r="154" spans="1:7" x14ac:dyDescent="0.35">
      <c r="A154" s="9" t="str">
        <f>HYPERLINK("http://codeforces.com/contest/670/problem/A","CF670-D2-A")</f>
        <v>CF670-D2-A</v>
      </c>
      <c r="B154" s="3" t="str">
        <f>HYPERLINK("http://codeforces.com/contest/701/problem/B","CF701-D2-B")</f>
        <v>CF701-D2-B</v>
      </c>
      <c r="C154" s="17" t="str">
        <f>HYPERLINK("http://codeforces.com/contest/462/problem/C","CF462-D2-C")</f>
        <v>CF462-D2-C</v>
      </c>
      <c r="D154" s="12" t="str">
        <f>HYPERLINK("http://codeforces.com/contest/139/problem/C","CF139-D2-C")</f>
        <v>CF139-D2-C</v>
      </c>
      <c r="E154" s="38"/>
      <c r="F154" s="38"/>
      <c r="G154" s="38"/>
    </row>
    <row r="155" spans="1:7" x14ac:dyDescent="0.35">
      <c r="A155" s="2" t="str">
        <f>HYPERLINK("http://codeforces.com/contest/244/problem/A","CF244-D2-A")</f>
        <v>CF244-D2-A</v>
      </c>
      <c r="B155" s="3" t="str">
        <f>HYPERLINK("http://codeforces.com/contest/552/problem/B","CF552-D2-B")</f>
        <v>CF552-D2-B</v>
      </c>
      <c r="C155" s="17" t="str">
        <f>HYPERLINK("http://codeforces.com/contest/518/problem/C","CF518-D2-C")</f>
        <v>CF518-D2-C</v>
      </c>
      <c r="D155" s="12" t="str">
        <f>HYPERLINK("http://codeforces.com/contest/742/problem/C","CF742-D2-C")</f>
        <v>CF742-D2-C</v>
      </c>
      <c r="E155" s="38"/>
      <c r="F155" s="38"/>
      <c r="G155" s="38"/>
    </row>
    <row r="156" spans="1:7" x14ac:dyDescent="0.35">
      <c r="A156" s="9" t="str">
        <f>HYPERLINK("http://codeforces.com/contest/78/problem/A","CF78-D2-A")</f>
        <v>CF78-D2-A</v>
      </c>
      <c r="B156" s="3" t="str">
        <f>HYPERLINK("http://codeforces.com/contest/474/problem/B","CF474-D2-B")</f>
        <v>CF474-D2-B</v>
      </c>
      <c r="C156" s="17" t="str">
        <f>HYPERLINK("http://codeforces.com/contest/276/problem/C","CF276-D2-C")</f>
        <v>CF276-D2-C</v>
      </c>
      <c r="D156" s="12" t="str">
        <f>HYPERLINK("http://codeforces.com/contest/298/problem/C","CF298-D2-C")</f>
        <v>CF298-D2-C</v>
      </c>
      <c r="E156" s="38"/>
      <c r="F156" s="38"/>
      <c r="G156" s="38"/>
    </row>
    <row r="157" spans="1:7" x14ac:dyDescent="0.35">
      <c r="A157" s="2" t="str">
        <f>HYPERLINK("http://codeforces.com/contest/214/problem/A","CF214-D2-A")</f>
        <v>CF214-D2-A</v>
      </c>
      <c r="B157" s="3" t="str">
        <f>HYPERLINK("http://codeforces.com/contest/59/problem/B","CF59-D2-B")</f>
        <v>CF59-D2-B</v>
      </c>
      <c r="C157" s="17" t="str">
        <f>HYPERLINK("http://codeforces.com/contest/368/problem/C","CF368-D2-C")</f>
        <v>CF368-D2-C</v>
      </c>
      <c r="D157" s="12" t="str">
        <f>HYPERLINK("http://codeforces.com/contest/246/problem/C","CF246-D2-C")</f>
        <v>CF246-D2-C</v>
      </c>
      <c r="E157" s="38"/>
      <c r="F157" s="38"/>
      <c r="G157" s="38"/>
    </row>
    <row r="158" spans="1:7" x14ac:dyDescent="0.35">
      <c r="A158" s="9" t="str">
        <f>HYPERLINK("http://codeforces.com/contest/25/problem/A","CF25-D2-A")</f>
        <v>CF25-D2-A</v>
      </c>
      <c r="B158" s="3" t="str">
        <f>HYPERLINK("http://codeforces.com/contest/192/problem/B","CF192-D2-B")</f>
        <v>CF192-D2-B</v>
      </c>
      <c r="C158" s="12" t="str">
        <f>HYPERLINK("http://codeforces.com/contest/437/problem/C","CF437-D2-C")</f>
        <v>CF437-D2-C</v>
      </c>
      <c r="D158" s="12" t="str">
        <f>HYPERLINK("http://codeforces.com/contest/80/problem/C","CF80-D2-C")</f>
        <v>CF80-D2-C</v>
      </c>
      <c r="E158" s="38"/>
      <c r="F158" s="38"/>
      <c r="G158" s="38"/>
    </row>
    <row r="159" spans="1:7" x14ac:dyDescent="0.35">
      <c r="A159" s="2" t="str">
        <f>HYPERLINK("http://codeforces.com/contest/501/problem/A","CF501-D2-A")</f>
        <v>CF501-D2-A</v>
      </c>
      <c r="B159" s="3" t="str">
        <f>HYPERLINK("http://codeforces.com/contest/366/problem/B","CF366-D2-B")</f>
        <v>CF366-D2-B</v>
      </c>
      <c r="C159" s="12" t="str">
        <f>HYPERLINK("http://codeforces.com/contest/318/problem/C","CF318-D2-C")</f>
        <v>CF318-D2-C</v>
      </c>
      <c r="D159" s="12" t="str">
        <f>HYPERLINK("http://codeforces.com/contest/192/problem/C","CF192-D2-C")</f>
        <v>CF192-D2-C</v>
      </c>
      <c r="E159" s="38"/>
      <c r="F159" s="38"/>
      <c r="G159" s="38"/>
    </row>
    <row r="160" spans="1:7" x14ac:dyDescent="0.35">
      <c r="A160" s="9" t="str">
        <f>HYPERLINK("http://codeforces.com/contest/94/problem/A","CF94-D2-A")</f>
        <v>CF94-D2-A</v>
      </c>
      <c r="B160" s="3" t="str">
        <f>HYPERLINK("http://codeforces.com/contest/298/problem/B","CF298-D2-B")</f>
        <v>CF298-D2-B</v>
      </c>
      <c r="C160" s="12" t="str">
        <f>HYPERLINK("http://codeforces.com/contest/165/problem/C","CF165-D2-C")</f>
        <v>CF165-D2-C</v>
      </c>
      <c r="D160" s="12" t="str">
        <f>HYPERLINK("http://codeforces.com/contest/106/problem/C","CF106-D2-C")</f>
        <v>CF106-D2-C</v>
      </c>
      <c r="E160" s="38"/>
      <c r="F160" s="38"/>
      <c r="G160" s="38"/>
    </row>
    <row r="161" spans="1:7" x14ac:dyDescent="0.35">
      <c r="A161" s="2" t="str">
        <f>HYPERLINK("http://codeforces.com/contest/369/problem/A","CF369-D2-A")</f>
        <v>CF369-D2-A</v>
      </c>
      <c r="B161" s="3" t="str">
        <f>HYPERLINK("http://codeforces.com/contest/389/problem/B","CF389-D2-B")</f>
        <v>CF389-D2-B</v>
      </c>
      <c r="C161" s="12" t="str">
        <f>HYPERLINK("http://codeforces.com/contest/731/problem/C","CF731-D2-C")</f>
        <v>CF731-D2-C</v>
      </c>
      <c r="D161" s="12" t="str">
        <f>HYPERLINK("http://codeforces.com/contest/373/problem/C","CF373-D2-C")</f>
        <v>CF373-D2-C</v>
      </c>
      <c r="E161" s="38"/>
      <c r="F161" s="38"/>
      <c r="G161" s="38"/>
    </row>
    <row r="162" spans="1:7" x14ac:dyDescent="0.35">
      <c r="A162" s="9" t="str">
        <f>HYPERLINK("http://codeforces.com/contest/496/problem/A","CF496-D2-A")</f>
        <v>CF496-D2-A</v>
      </c>
      <c r="B162" s="3" t="str">
        <f>HYPERLINK("http://codeforces.com/contest/591/problem/B","CF591-D2-B")</f>
        <v>CF591-D2-B</v>
      </c>
      <c r="C162" s="12" t="str">
        <f>HYPERLINK("http://codeforces.com/contest/369/problem/C","CF369-D2-C")</f>
        <v>CF369-D2-C</v>
      </c>
      <c r="D162" s="12" t="str">
        <f>HYPERLINK("http://codeforces.com/contest/56/problem/C","CF56-D2-C")</f>
        <v>CF56-D2-C</v>
      </c>
      <c r="E162" s="38"/>
      <c r="F162" s="38"/>
      <c r="G162" s="38"/>
    </row>
    <row r="163" spans="1:7" x14ac:dyDescent="0.35">
      <c r="A163" s="2" t="str">
        <f>HYPERLINK("http://codeforces.com/contest/221/problem/A","CF221-D2-A")</f>
        <v>CF221-D2-A</v>
      </c>
      <c r="B163" s="3" t="str">
        <f>HYPERLINK("http://codeforces.com/contest/246/problem/B","CF246-D2-B")</f>
        <v>CF246-D2-B</v>
      </c>
      <c r="C163" s="38"/>
      <c r="D163" s="17" t="str">
        <f>HYPERLINK("http://codeforces.com/contest/365/problem/C","CF365-D2-C")</f>
        <v>CF365-D2-C</v>
      </c>
      <c r="E163" s="38"/>
      <c r="F163" s="38"/>
      <c r="G163" s="38"/>
    </row>
    <row r="164" spans="1:7" x14ac:dyDescent="0.35">
      <c r="A164" s="2" t="str">
        <f>HYPERLINK("http://codeforces.com/contest/373/problem/A","CF373-D2-A")</f>
        <v>CF373-D2-A</v>
      </c>
      <c r="B164" s="3" t="str">
        <f>HYPERLINK("http://codeforces.com/contest/682/problem/B","CF682-D2-B")</f>
        <v>CF682-D2-B</v>
      </c>
      <c r="C164" s="38"/>
      <c r="D164" s="10" t="str">
        <f>HYPERLINK("https://uva.onlinejudge.org/index.php?option=com_onlinejudge&amp;Itemid=8&amp;page=show_problem&amp;problem=2733","UVA 11686")</f>
        <v>UVA 11686</v>
      </c>
      <c r="E164" s="38"/>
      <c r="F164" s="38"/>
      <c r="G164" s="38"/>
    </row>
    <row r="165" spans="1:7" x14ac:dyDescent="0.35">
      <c r="A165" s="2" t="str">
        <f>HYPERLINK("http://codeforces.com/contest/14/problem/A","CF14-D2-A")</f>
        <v>CF14-D2-A</v>
      </c>
      <c r="B165" s="3" t="str">
        <f>HYPERLINK("http://codeforces.com/contest/58/problem/B","CF58-D2-B")</f>
        <v>CF58-D2-B</v>
      </c>
      <c r="C165" s="38"/>
      <c r="D165" s="38"/>
      <c r="E165" s="38"/>
      <c r="F165" s="38"/>
      <c r="G165" s="38"/>
    </row>
    <row r="166" spans="1:7" x14ac:dyDescent="0.35">
      <c r="A166" s="2" t="str">
        <f>HYPERLINK("http://codeforces.com/contest/580/problem/A","CF580-D2-A")</f>
        <v>CF580-D2-A</v>
      </c>
      <c r="B166" s="3" t="str">
        <f>HYPERLINK("http://codeforces.com/contest/567/problem/B","CF567-D2-B")</f>
        <v>CF567-D2-B</v>
      </c>
      <c r="C166" s="38"/>
      <c r="D166" s="12" t="str">
        <f>HYPERLINK("http://codeforces.com/contest/205/problem/C","CF205-D2-C")</f>
        <v>CF205-D2-C</v>
      </c>
      <c r="E166" s="38"/>
      <c r="F166" s="38"/>
      <c r="G166" s="38"/>
    </row>
    <row r="167" spans="1:7" x14ac:dyDescent="0.35">
      <c r="A167" s="2" t="str">
        <f>HYPERLINK("http://codeforces.com/contest/313/problem/A","CF313-D2-A")</f>
        <v>CF313-D2-A</v>
      </c>
      <c r="B167" s="3" t="str">
        <f>HYPERLINK("http://codeforces.com/contest/416/problem/B","CF416-D2-B")</f>
        <v>CF416-D2-B</v>
      </c>
      <c r="C167" s="38"/>
      <c r="D167" s="12" t="str">
        <f>HYPERLINK("http://codeforces.com/contest/315/problem/C","CF315-D2-C")</f>
        <v>CF315-D2-C</v>
      </c>
      <c r="E167" s="38"/>
      <c r="F167" s="38"/>
      <c r="G167" s="38"/>
    </row>
    <row r="168" spans="1:7" x14ac:dyDescent="0.35">
      <c r="A168" s="2" t="str">
        <f>HYPERLINK("http://codeforces.com/contest/604/problem/A","CF604-D2-A")</f>
        <v>CF604-D2-A</v>
      </c>
      <c r="B168" s="3" t="str">
        <f>HYPERLINK("http://codeforces.com/contest/489/problem/B","CF489-D2-B")</f>
        <v>CF489-D2-B</v>
      </c>
      <c r="C168" s="38"/>
      <c r="D168" s="12" t="str">
        <f>HYPERLINK("http://codeforces.com/contest/355/problem/C","CF355-D2-C")</f>
        <v>CF355-D2-C</v>
      </c>
      <c r="E168" s="38"/>
      <c r="F168" s="38"/>
      <c r="G168" s="38"/>
    </row>
    <row r="169" spans="1:7" x14ac:dyDescent="0.35">
      <c r="A169" s="2" t="str">
        <f>HYPERLINK("http://codeforces.com/contest/34/problem/A","CF34-D2-A")</f>
        <v>CF34-D2-A</v>
      </c>
      <c r="B169" s="3" t="str">
        <f>HYPERLINK("http://codeforces.com/contest/478/problem/B","CF478-D2-B")</f>
        <v>CF478-D2-B</v>
      </c>
      <c r="C169" s="38"/>
      <c r="D169" s="12" t="str">
        <f>HYPERLINK("http://codeforces.com/contest/96/problem/C","CF96-D2-C")</f>
        <v>CF96-D2-C</v>
      </c>
      <c r="E169" s="38"/>
      <c r="F169" s="38"/>
      <c r="G169" s="38"/>
    </row>
    <row r="170" spans="1:7" x14ac:dyDescent="0.35">
      <c r="A170" s="2" t="str">
        <f>HYPERLINK("http://codeforces.com/contest/146/problem/A","CF146-D2-A")</f>
        <v>CF146-D2-A</v>
      </c>
      <c r="B170" s="3" t="str">
        <f>HYPERLINK("http://codeforces.com/contest/94/problem/B","CF94-D2-B")</f>
        <v>CF94-D2-B</v>
      </c>
      <c r="C170" s="38"/>
      <c r="D170" s="12" t="str">
        <f>HYPERLINK("http://codeforces.com/contest/66/problem/C","CF66-D2-C")</f>
        <v>CF66-D2-C</v>
      </c>
      <c r="E170" s="38"/>
      <c r="F170" s="38"/>
      <c r="G170" s="38"/>
    </row>
    <row r="171" spans="1:7" x14ac:dyDescent="0.35">
      <c r="A171" s="2" t="str">
        <f>HYPERLINK("http://codeforces.com/contest/58/problem/A","CF58-D2-A")</f>
        <v>CF58-D2-A</v>
      </c>
      <c r="B171" s="3" t="str">
        <f>HYPERLINK("http://codeforces.com/contest/625/problem/B","CF625-D2-B")</f>
        <v>CF625-D2-B</v>
      </c>
      <c r="C171" s="38"/>
      <c r="D171" s="12" t="str">
        <f>HYPERLINK("http://codeforces.com/contest/554/problem/C","CF554-D2-C")</f>
        <v>CF554-D2-C</v>
      </c>
      <c r="E171" s="38"/>
      <c r="F171" s="38"/>
      <c r="G171" s="38"/>
    </row>
    <row r="172" spans="1:7" x14ac:dyDescent="0.35">
      <c r="A172" s="2" t="str">
        <f>HYPERLINK("http://codeforces.com/contest/387/problem/A","CF387-D2-A")</f>
        <v>CF387-D2-A</v>
      </c>
      <c r="B172" s="3" t="str">
        <f>HYPERLINK("http://codeforces.com/contest/330/problem/B","CF330-D2-B")</f>
        <v>CF330-D2-B</v>
      </c>
      <c r="C172" s="38"/>
      <c r="D172" s="12" t="str">
        <f>HYPERLINK("http://codeforces.com/contest/467/problem/C","CF467-D2-C")</f>
        <v>CF467-D2-C</v>
      </c>
      <c r="E172" s="38"/>
      <c r="F172" s="38"/>
      <c r="G172" s="38"/>
    </row>
    <row r="173" spans="1:7" x14ac:dyDescent="0.35">
      <c r="A173" s="2" t="str">
        <f>HYPERLINK("http://codeforces.com/contest/735/problem/A","CF735-D2-A")</f>
        <v>CF735-D2-A</v>
      </c>
      <c r="B173" s="3" t="str">
        <f>HYPERLINK("http://codeforces.com/contest/92/problem/B","CF92-D2-B")</f>
        <v>CF92-D2-B</v>
      </c>
      <c r="C173" s="38"/>
      <c r="D173" s="12" t="str">
        <f>HYPERLINK("http://codeforces.com/contest/610/problem/C","CF610-D2-C")</f>
        <v>CF610-D2-C</v>
      </c>
      <c r="E173" s="38"/>
      <c r="F173" s="38"/>
      <c r="G173" s="38"/>
    </row>
    <row r="174" spans="1:7" x14ac:dyDescent="0.35">
      <c r="A174" s="9" t="str">
        <f>HYPERLINK("http://codeforces.com/contest/124/problem/A","CF124-D2-A")</f>
        <v>CF124-D2-A</v>
      </c>
      <c r="B174" s="3" t="str">
        <f>HYPERLINK("http://codeforces.com/contest/4/problem/B","CF4-D2-B")</f>
        <v>CF4-D2-B</v>
      </c>
      <c r="C174" s="38"/>
      <c r="D174" s="12" t="str">
        <f>HYPERLINK("http://codeforces.com/contest/734/problem/C","CF734-D2-C")</f>
        <v>CF734-D2-C</v>
      </c>
      <c r="E174" s="38"/>
      <c r="F174" s="38"/>
      <c r="G174" s="38"/>
    </row>
    <row r="175" spans="1:7" x14ac:dyDescent="0.35">
      <c r="A175" s="2" t="str">
        <f>HYPERLINK("http://codeforces.com/contest/359/problem/A","CF359-D2-A")</f>
        <v>CF359-D2-A</v>
      </c>
      <c r="B175" s="3" t="str">
        <f>HYPERLINK("http://codeforces.com/contest/9/problem/B","CF9-D2-B")</f>
        <v>CF9-D2-B</v>
      </c>
      <c r="C175" s="38"/>
      <c r="D175" s="12" t="str">
        <f>HYPERLINK("http://codeforces.com/contest/478/problem/C","CF478-D2-C")</f>
        <v>CF478-D2-C</v>
      </c>
      <c r="E175" s="38"/>
      <c r="F175" s="38"/>
      <c r="G175" s="38"/>
    </row>
    <row r="176" spans="1:7" x14ac:dyDescent="0.35">
      <c r="A176" s="2" t="str">
        <f>HYPERLINK("http://codeforces.com/contest/535/problem/A","CF535-D2-A")</f>
        <v>CF535-D2-A</v>
      </c>
      <c r="B176" s="3" t="str">
        <f>HYPERLINK("http://codeforces.com/contest/508/problem/B","CF508-D2-B")</f>
        <v>CF508-D2-B</v>
      </c>
      <c r="C176" s="38"/>
      <c r="D176" s="17" t="str">
        <f>HYPERLINK("http://codeforces.com/contest/672/problem/C","CF672-D2-C")</f>
        <v>CF672-D2-C</v>
      </c>
      <c r="E176" s="38"/>
      <c r="F176" s="38"/>
      <c r="G176" s="38"/>
    </row>
    <row r="177" spans="1:7" x14ac:dyDescent="0.35">
      <c r="A177" s="2" t="str">
        <f>HYPERLINK("http://codeforces.com/contest/4/problem/A","CF4-D2-A")</f>
        <v>CF4-D2-A</v>
      </c>
      <c r="B177" s="3" t="str">
        <f>HYPERLINK("http://codeforces.com/contest/151/problem/B","CF151-D2-B")</f>
        <v>CF151-D2-B</v>
      </c>
      <c r="C177" s="38"/>
      <c r="D177" s="38"/>
      <c r="E177" s="38"/>
      <c r="F177" s="38"/>
      <c r="G177" s="38"/>
    </row>
    <row r="178" spans="1:7" x14ac:dyDescent="0.35">
      <c r="A178" s="2" t="str">
        <f>HYPERLINK("http://codeforces.com/contest/195/problem/A","CF195-D2-A")</f>
        <v>CF195-D2-A</v>
      </c>
      <c r="B178" s="38"/>
      <c r="C178" s="38"/>
      <c r="D178" s="12" t="str">
        <f>HYPERLINK("http://codeforces.com/contest/157/problem/C","CF157-D2-C")</f>
        <v>CF157-D2-C</v>
      </c>
      <c r="E178" s="38"/>
      <c r="F178" s="38"/>
      <c r="G178" s="38"/>
    </row>
    <row r="179" spans="1:7" x14ac:dyDescent="0.35">
      <c r="A179" s="2" t="str">
        <f>HYPERLINK("http://codeforces.com/contest/478/problem/A","CF478-D2-A")</f>
        <v>CF478-D2-A</v>
      </c>
      <c r="B179" s="38"/>
      <c r="C179" s="38"/>
      <c r="D179" s="12" t="str">
        <f>HYPERLINK("http://codeforces.com/contest/596/problem/C","CF596-D2-C")</f>
        <v>CF596-D2-C</v>
      </c>
      <c r="E179" s="38"/>
      <c r="F179" s="38"/>
      <c r="G179" s="38"/>
    </row>
    <row r="180" spans="1:7" x14ac:dyDescent="0.35">
      <c r="A180" s="2" t="str">
        <f>HYPERLINK("http://codeforces.com/contest/608/problem/A","CF608-D2-A")</f>
        <v>CF608-D2-A</v>
      </c>
      <c r="B180" s="38"/>
      <c r="C180" s="38"/>
      <c r="D180" s="12" t="str">
        <f>HYPERLINK("http://codeforces.com/contest/284/problem/C","CF284-D2-C")</f>
        <v>CF284-D2-C</v>
      </c>
      <c r="E180" s="38"/>
      <c r="F180" s="38"/>
      <c r="G180" s="38"/>
    </row>
    <row r="181" spans="1:7" x14ac:dyDescent="0.35">
      <c r="A181" s="2" t="str">
        <f>HYPERLINK("http://codeforces.com/contest/435/problem/A","CF435-D2-A")</f>
        <v>CF435-D2-A</v>
      </c>
      <c r="B181" s="38"/>
      <c r="C181" s="38"/>
      <c r="D181" s="12" t="str">
        <f>HYPERLINK("http://codeforces.com/contest/279/problem/C","CF279-D2-C")</f>
        <v>CF279-D2-C</v>
      </c>
      <c r="E181" s="38"/>
      <c r="F181" s="38"/>
      <c r="G181" s="38"/>
    </row>
    <row r="182" spans="1:7" x14ac:dyDescent="0.35">
      <c r="A182" s="2" t="str">
        <f>HYPERLINK("http://codeforces.com/contest/215/problem/A","CF215-D2-A")</f>
        <v>CF215-D2-A</v>
      </c>
      <c r="B182" s="38"/>
      <c r="C182" s="38"/>
      <c r="D182" s="12" t="str">
        <f>HYPERLINK("http://codeforces.com/contest/239/problem/C","CF239-D2-C")</f>
        <v>CF239-D2-C</v>
      </c>
      <c r="E182" s="38"/>
      <c r="F182" s="38"/>
      <c r="G182" s="38"/>
    </row>
    <row r="183" spans="1:7" x14ac:dyDescent="0.35">
      <c r="A183" s="2" t="str">
        <f>HYPERLINK("http://codeforces.com/contest/205/problem/A","CF205-D2-A")</f>
        <v>CF205-D2-A</v>
      </c>
      <c r="B183" s="38"/>
      <c r="C183" s="38"/>
      <c r="D183" s="12" t="str">
        <f>HYPERLINK("http://codeforces.com/contest/254/problem/C","CF254-D2-C")</f>
        <v>CF254-D2-C</v>
      </c>
      <c r="E183" s="38"/>
      <c r="F183" s="38"/>
      <c r="G183" s="38"/>
    </row>
    <row r="184" spans="1:7" x14ac:dyDescent="0.35">
      <c r="A184" s="2" t="str">
        <f>HYPERLINK("http://codeforces.com/contest/507/problem/A","CF507-D2-A")</f>
        <v>CF507-D2-A</v>
      </c>
      <c r="B184" s="38"/>
      <c r="C184" s="38"/>
      <c r="D184" s="12" t="str">
        <f>HYPERLINK("http://codeforces.com/contest/447/problem/C","CF447-D2-C")</f>
        <v>CF447-D2-C</v>
      </c>
      <c r="E184" s="38"/>
      <c r="F184" s="38"/>
      <c r="G184" s="38"/>
    </row>
    <row r="185" spans="1:7" x14ac:dyDescent="0.35">
      <c r="A185" s="2" t="str">
        <f>HYPERLINK("http://codeforces.com/contest/152/problem/A","CF152-D2-A")</f>
        <v>CF152-D2-A</v>
      </c>
      <c r="B185" s="38"/>
      <c r="C185" s="38"/>
      <c r="D185" s="12" t="str">
        <f>HYPERLINK("http://codeforces.com/contest/445/problem/C","CF445-D2-C")</f>
        <v>CF445-D2-C</v>
      </c>
      <c r="E185" s="38"/>
      <c r="F185" s="38"/>
      <c r="G185" s="38"/>
    </row>
    <row r="186" spans="1:7" x14ac:dyDescent="0.35">
      <c r="A186" s="2" t="str">
        <f>HYPERLINK("http://codeforces.com/contest/137/problem/A","CF137-D2-A")</f>
        <v>CF137-D2-A</v>
      </c>
      <c r="B186" s="38"/>
      <c r="C186" s="38"/>
      <c r="D186" s="12" t="str">
        <f>HYPERLINK("http://codeforces.com/contest/501/problem/C","CF501-D2-C")</f>
        <v>CF501-D2-C</v>
      </c>
      <c r="E186" s="38"/>
      <c r="F186" s="38"/>
      <c r="G186" s="38"/>
    </row>
    <row r="187" spans="1:7" x14ac:dyDescent="0.35">
      <c r="A187" s="2" t="str">
        <f>HYPERLINK("http://codeforces.com/contest/149/problem/A","CF149-D2-A")</f>
        <v>CF149-D2-A</v>
      </c>
      <c r="B187" s="38"/>
      <c r="C187" s="38"/>
      <c r="D187" s="12" t="str">
        <f>HYPERLINK("http://codeforces.com/contest/450/problem/C","CF450-D2-C")</f>
        <v>CF450-D2-C</v>
      </c>
      <c r="E187" s="38"/>
      <c r="F187" s="38"/>
      <c r="G187" s="38"/>
    </row>
    <row r="188" spans="1:7" x14ac:dyDescent="0.35">
      <c r="A188" s="9" t="str">
        <f>HYPERLINK("http://codeforces.com/contest/515/problem/A","CF515-D2-A")</f>
        <v>CF515-D2-A</v>
      </c>
      <c r="B188" s="38"/>
      <c r="C188" s="38"/>
      <c r="D188" s="12" t="str">
        <f>HYPERLINK("http://codeforces.com/contest/670/problem/C","CF670-D2-C")</f>
        <v>CF670-D2-C</v>
      </c>
      <c r="E188" s="38"/>
      <c r="F188" s="38"/>
      <c r="G188" s="38"/>
    </row>
    <row r="189" spans="1:7" x14ac:dyDescent="0.35">
      <c r="A189" s="9" t="str">
        <f>HYPERLINK("http://codeforces.com/contest/577/problem/A","CF577-D2-A")</f>
        <v>CF577-D2-A</v>
      </c>
      <c r="B189" s="38"/>
      <c r="C189" s="38"/>
      <c r="D189" s="38"/>
      <c r="E189" s="38"/>
      <c r="F189" s="38"/>
      <c r="G189" s="38"/>
    </row>
    <row r="190" spans="1:7" x14ac:dyDescent="0.35">
      <c r="A190" s="2" t="str">
        <f>HYPERLINK("http://codeforces.com/contest/534/problem/A","CF534-D2-A")</f>
        <v>CF534-D2-A</v>
      </c>
      <c r="B190" s="38"/>
      <c r="C190" s="38"/>
      <c r="D190" s="12" t="str">
        <f>HYPERLINK("http://codeforces.com/contest/631/problem/C","CF631-D2-C")</f>
        <v>CF631-D2-C</v>
      </c>
      <c r="E190" s="38"/>
      <c r="F190" s="38"/>
      <c r="G190" s="38"/>
    </row>
    <row r="191" spans="1:7" x14ac:dyDescent="0.35">
      <c r="A191" s="2" t="str">
        <f>HYPERLINK("http://codeforces.com/contest/586/problem/A","CF586-D2-A")</f>
        <v>CF586-D2-A</v>
      </c>
      <c r="B191" s="38"/>
      <c r="C191" s="38"/>
      <c r="D191" s="12" t="str">
        <f>HYPERLINK("http://codeforces.com/contest/385/problem/C","CF385-D2-C")</f>
        <v>CF385-D2-C</v>
      </c>
      <c r="E191" s="38"/>
      <c r="F191" s="38"/>
      <c r="G191" s="38"/>
    </row>
    <row r="192" spans="1:7" x14ac:dyDescent="0.35">
      <c r="A192" s="2" t="str">
        <f>HYPERLINK("http://codeforces.com/contest/631/problem/A","CF631-D2-A")</f>
        <v>CF631-D2-A</v>
      </c>
      <c r="B192" s="38"/>
      <c r="C192" s="38"/>
      <c r="D192" s="12" t="str">
        <f>HYPERLINK("http://codeforces.com/contest/90/problem/C","CF90-D2-C")</f>
        <v>CF90-D2-C</v>
      </c>
      <c r="E192" s="38"/>
      <c r="F192" s="38"/>
      <c r="G192" s="38"/>
    </row>
    <row r="193" spans="1:7" x14ac:dyDescent="0.35">
      <c r="A193" s="2" t="str">
        <f>HYPERLINK("http://codeforces.com/contest/122/problem/A","CF122-D2-A")</f>
        <v>CF122-D2-A</v>
      </c>
      <c r="B193" s="38"/>
      <c r="C193" s="38"/>
      <c r="D193" s="12" t="str">
        <f>HYPERLINK("http://codeforces.com/contest/493/problem/C","CF493-D2-C")</f>
        <v>CF493-D2-C</v>
      </c>
      <c r="E193" s="38"/>
      <c r="F193" s="38"/>
      <c r="G193" s="38"/>
    </row>
    <row r="194" spans="1:7" x14ac:dyDescent="0.35">
      <c r="A194" s="2" t="str">
        <f>HYPERLINK("http://codeforces.com/contest/462/problem/A","CF462-D2-A")</f>
        <v>CF462-D2-A</v>
      </c>
      <c r="B194" s="38"/>
      <c r="C194" s="38"/>
      <c r="D194" s="12" t="str">
        <f>HYPERLINK("http://codeforces.com/contest/552/problem/C","CF552-D2-C")</f>
        <v>CF552-D2-C</v>
      </c>
      <c r="E194" s="38"/>
      <c r="F194" s="38"/>
      <c r="G194" s="38"/>
    </row>
    <row r="195" spans="1:7" x14ac:dyDescent="0.35">
      <c r="A195" s="2" t="str">
        <f>HYPERLINK("http://codeforces.com/contest/355/problem/A","CF355-D2-A")</f>
        <v>CF355-D2-A</v>
      </c>
      <c r="B195" s="38"/>
      <c r="C195" s="38"/>
      <c r="D195" s="12" t="str">
        <f>HYPERLINK("http://codeforces.com/contest/459/problem/C","CF459-D2-C")</f>
        <v>CF459-D2-C</v>
      </c>
      <c r="E195" s="38"/>
      <c r="F195" s="38"/>
      <c r="G195" s="38"/>
    </row>
    <row r="196" spans="1:7" x14ac:dyDescent="0.35">
      <c r="A196" s="2" t="str">
        <f>HYPERLINK("http://codeforces.com/contest/224/problem/A","CF224-D2-A")</f>
        <v>CF224-D2-A</v>
      </c>
      <c r="B196" s="38"/>
      <c r="C196" s="38"/>
      <c r="D196" s="17" t="str">
        <f>HYPERLINK("http://codeforces.com/contest/118/problem/C","CF118-D2-C")</f>
        <v>CF118-D2-C</v>
      </c>
      <c r="E196" s="38"/>
      <c r="F196" s="38"/>
      <c r="G196" s="38"/>
    </row>
    <row r="197" spans="1:7" x14ac:dyDescent="0.35">
      <c r="A197" s="2" t="str">
        <f>HYPERLINK("http://codeforces.com/contest/357/problem/A","CF357-D2-A")</f>
        <v>CF357-D2-A</v>
      </c>
      <c r="B197" s="38"/>
      <c r="C197" s="38"/>
      <c r="D197" s="38"/>
      <c r="E197" s="38"/>
      <c r="F197" s="38"/>
      <c r="G197" s="38"/>
    </row>
    <row r="198" spans="1:7" x14ac:dyDescent="0.35">
      <c r="A198" s="2" t="str">
        <f>HYPERLINK("http://codeforces.com/contest/651/problem/A","CF651-D2-A")</f>
        <v>CF651-D2-A</v>
      </c>
      <c r="B198" s="38"/>
      <c r="C198" s="38"/>
      <c r="D198" s="38"/>
      <c r="E198" s="38"/>
      <c r="F198" s="38"/>
      <c r="G198" s="38"/>
    </row>
    <row r="199" spans="1:7" x14ac:dyDescent="0.35">
      <c r="A199" s="2" t="str">
        <f>HYPERLINK("http://codeforces.com/contest/300/problem/A","CF300-D2-A")</f>
        <v>CF300-D2-A</v>
      </c>
      <c r="B199" s="38"/>
      <c r="C199" s="38"/>
      <c r="D199" s="38"/>
      <c r="E199" s="38"/>
      <c r="F199" s="38"/>
      <c r="G199" s="38"/>
    </row>
    <row r="200" spans="1:7" x14ac:dyDescent="0.35">
      <c r="A200" s="9" t="str">
        <f>HYPERLINK("http://codeforces.com/contest/659/problem/A","CF659-D2-A")</f>
        <v>CF659-D2-A</v>
      </c>
      <c r="B200" s="38"/>
      <c r="C200" s="38"/>
      <c r="D200" s="38"/>
      <c r="E200" s="38"/>
      <c r="F200" s="38"/>
      <c r="G200" s="38"/>
    </row>
    <row r="201" spans="1:7" x14ac:dyDescent="0.35">
      <c r="A201" s="2" t="str">
        <f>HYPERLINK("http://codeforces.com/contest/558/problem/A","CF558-D2-A")</f>
        <v>CF558-D2-A</v>
      </c>
      <c r="B201" s="38"/>
      <c r="C201" s="38"/>
      <c r="D201" s="38"/>
      <c r="E201" s="38"/>
      <c r="F201" s="38"/>
      <c r="G201" s="38"/>
    </row>
    <row r="202" spans="1:7" x14ac:dyDescent="0.35">
      <c r="A202" s="2" t="str">
        <f>HYPERLINK("http://codeforces.com/contest/53/problem/A","CF53-D2-A")</f>
        <v>CF53-D2-A</v>
      </c>
      <c r="B202" s="38"/>
      <c r="C202" s="38"/>
      <c r="D202" s="38"/>
      <c r="E202" s="38"/>
      <c r="F202" s="38"/>
      <c r="G202" s="38"/>
    </row>
    <row r="203" spans="1:7" x14ac:dyDescent="0.35">
      <c r="A203" s="2" t="str">
        <f>HYPERLINK("http://codeforces.com/contest/495/problem/A","CF495-D2-A")</f>
        <v>CF495-D2-A</v>
      </c>
      <c r="B203" s="38"/>
      <c r="C203" s="38"/>
      <c r="D203" s="38"/>
      <c r="E203" s="38"/>
      <c r="F203" s="38"/>
      <c r="G203" s="38"/>
    </row>
    <row r="204" spans="1:7" x14ac:dyDescent="0.35">
      <c r="A204" s="2" t="str">
        <f>HYPERLINK("http://codeforces.com/contest/525/problem/A","CF525-D2-A")</f>
        <v>CF525-D2-A</v>
      </c>
      <c r="B204" s="38"/>
      <c r="C204" s="38"/>
      <c r="D204" s="38"/>
      <c r="E204" s="38"/>
      <c r="F204" s="38"/>
      <c r="G204" s="38"/>
    </row>
    <row r="205" spans="1:7" x14ac:dyDescent="0.35">
      <c r="A205" s="2" t="str">
        <f>HYPERLINK("http://codeforces.com/contest/75/problem/A","CF75-D2-A")</f>
        <v>CF75-D2-A</v>
      </c>
      <c r="B205" s="38"/>
      <c r="C205" s="38"/>
      <c r="D205" s="38"/>
      <c r="E205" s="38"/>
      <c r="F205" s="38"/>
      <c r="G205" s="38"/>
    </row>
  </sheetData>
  <hyperlinks>
    <hyperlink ref="B31" r:id="rId1" xr:uid="{CA3E30C0-03EA-4F8B-B41E-469029BF14EE}"/>
    <hyperlink ref="B32" r:id="rId2" xr:uid="{827FAC8F-8A47-4B48-927B-631E94068EFA}"/>
    <hyperlink ref="B101" r:id="rId3" xr:uid="{2E3FDE65-DECA-4A7B-A7E6-C2569DDAC734}"/>
    <hyperlink ref="C14" r:id="rId4" xr:uid="{857DC0A2-CEC0-47D7-8F5A-57241B74D08D}"/>
    <hyperlink ref="C71" r:id="rId5" xr:uid="{A0E12210-BBF9-4FC7-B3B2-825739623CBC}"/>
    <hyperlink ref="C112" r:id="rId6" xr:uid="{BE09CD76-E5EB-4596-9A5E-C4C118870EA3}"/>
    <hyperlink ref="D53" r:id="rId7" xr:uid="{594DDE54-0C38-4A62-932D-1712860E5991}"/>
    <hyperlink ref="D60" r:id="rId8" xr:uid="{CC9CF9A6-5EAB-44DF-89AD-DDABB6CAFBF1}"/>
  </hyperlinks>
  <pageMargins left="0.7" right="0.7" top="0.75" bottom="0.75" header="0.3" footer="0.3"/>
  <legacyDrawing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7ACF8-AEEA-45F7-9A3E-F46AEC4B6BB9}">
  <dimension ref="A1:M19"/>
  <sheetViews>
    <sheetView workbookViewId="0">
      <selection activeCell="B13" sqref="B13"/>
    </sheetView>
  </sheetViews>
  <sheetFormatPr defaultRowHeight="14.5" x14ac:dyDescent="0.35"/>
  <cols>
    <col min="1" max="1" width="10.08984375" style="40" bestFit="1" customWidth="1"/>
    <col min="2" max="2" width="18.54296875" style="40" bestFit="1" customWidth="1"/>
    <col min="3" max="12" width="8.7265625" style="40"/>
    <col min="13" max="13" width="15.26953125" style="40" bestFit="1" customWidth="1"/>
  </cols>
  <sheetData>
    <row r="1" spans="1:13" x14ac:dyDescent="0.35">
      <c r="A1" s="40" t="s">
        <v>117</v>
      </c>
      <c r="B1" s="40" t="s">
        <v>118</v>
      </c>
      <c r="C1" s="40">
        <v>1</v>
      </c>
      <c r="D1" s="40">
        <v>2</v>
      </c>
      <c r="E1" s="40">
        <v>3</v>
      </c>
      <c r="F1" s="40">
        <v>4</v>
      </c>
      <c r="G1" s="40">
        <v>5</v>
      </c>
      <c r="H1" s="40">
        <v>6</v>
      </c>
      <c r="I1" s="40">
        <v>7</v>
      </c>
      <c r="J1" s="40">
        <v>8</v>
      </c>
      <c r="K1" s="40">
        <v>9</v>
      </c>
      <c r="L1" s="40">
        <v>10</v>
      </c>
      <c r="M1" s="40" t="s">
        <v>119</v>
      </c>
    </row>
    <row r="2" spans="1:13" x14ac:dyDescent="0.35">
      <c r="A2" s="41">
        <v>44531</v>
      </c>
      <c r="B2" s="40">
        <f>COUNTA(C2:L2)</f>
        <v>0</v>
      </c>
      <c r="M2" s="40" t="e">
        <f>AVERAGE(C2:L2)</f>
        <v>#DIV/0!</v>
      </c>
    </row>
    <row r="3" spans="1:13" x14ac:dyDescent="0.35">
      <c r="A3" s="41">
        <v>44532</v>
      </c>
    </row>
    <row r="4" spans="1:13" x14ac:dyDescent="0.35">
      <c r="A4" s="41">
        <v>44533</v>
      </c>
    </row>
    <row r="5" spans="1:13" x14ac:dyDescent="0.35">
      <c r="A5" s="41">
        <v>44534</v>
      </c>
    </row>
    <row r="6" spans="1:13" x14ac:dyDescent="0.35">
      <c r="A6" s="41">
        <v>44535</v>
      </c>
    </row>
    <row r="7" spans="1:13" x14ac:dyDescent="0.35">
      <c r="A7" s="41">
        <v>44536</v>
      </c>
    </row>
    <row r="8" spans="1:13" x14ac:dyDescent="0.35">
      <c r="A8" s="41">
        <v>44537</v>
      </c>
    </row>
    <row r="9" spans="1:13" x14ac:dyDescent="0.35">
      <c r="A9" s="41">
        <v>44538</v>
      </c>
    </row>
    <row r="10" spans="1:13" x14ac:dyDescent="0.35">
      <c r="A10" s="41">
        <v>44539</v>
      </c>
    </row>
    <row r="11" spans="1:13" x14ac:dyDescent="0.35">
      <c r="A11" s="41">
        <v>44540</v>
      </c>
    </row>
    <row r="12" spans="1:13" x14ac:dyDescent="0.35">
      <c r="A12" s="41">
        <v>44541</v>
      </c>
    </row>
    <row r="13" spans="1:13" x14ac:dyDescent="0.35">
      <c r="A13" s="41">
        <v>44542</v>
      </c>
    </row>
    <row r="14" spans="1:13" x14ac:dyDescent="0.35">
      <c r="A14" s="41">
        <v>44543</v>
      </c>
    </row>
    <row r="15" spans="1:13" x14ac:dyDescent="0.35">
      <c r="A15" s="41">
        <v>44544</v>
      </c>
    </row>
    <row r="16" spans="1:13" x14ac:dyDescent="0.35">
      <c r="A16" s="41">
        <v>44545</v>
      </c>
    </row>
    <row r="17" spans="1:1" x14ac:dyDescent="0.35">
      <c r="A17" s="41">
        <v>44546</v>
      </c>
    </row>
    <row r="18" spans="1:1" x14ac:dyDescent="0.35">
      <c r="A18" s="41">
        <v>44547</v>
      </c>
    </row>
    <row r="19" spans="1:1" x14ac:dyDescent="0.35">
      <c r="A19" s="41">
        <v>44548</v>
      </c>
    </row>
  </sheetData>
  <pageMargins left="0.7" right="0.7" top="0.75" bottom="0.75" header="0.3" footer="0.3"/>
  <ignoredErrors>
    <ignoredError sqref="M2" evalErro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Questions</vt:lpstr>
      <vt:lpstr>Performance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harsh johar</dc:creator>
  <cp:lastModifiedBy>harsh johar</cp:lastModifiedBy>
  <dcterms:created xsi:type="dcterms:W3CDTF">2021-11-30T16:04:27Z</dcterms:created>
  <dcterms:modified xsi:type="dcterms:W3CDTF">2021-11-30T16:15:50Z</dcterms:modified>
</cp:coreProperties>
</file>