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NotSynced\tools_notsynced\shared-ubuntu64_20-04\aurora\aurora\util\"/>
    </mc:Choice>
  </mc:AlternateContent>
  <xr:revisionPtr revIDLastSave="0" documentId="13_ncr:1_{847C3096-504F-4084-BEAB-3675A6389153}" xr6:coauthVersionLast="47" xr6:coauthVersionMax="47" xr10:uidLastSave="{00000000-0000-0000-0000-000000000000}"/>
  <bookViews>
    <workbookView xWindow="-108" yWindow="-108" windowWidth="23256" windowHeight="12456" activeTab="3" xr2:uid="{9F8097C1-F9CF-408B-BB50-E04E5A75C9CD}"/>
  </bookViews>
  <sheets>
    <sheet name="AddressCalculation" sheetId="1" r:id="rId1"/>
    <sheet name="SupportedInstructions" sheetId="2" r:id="rId2"/>
    <sheet name="Sheet1" sheetId="3" r:id="rId3"/>
    <sheet name="Sheet2" sheetId="4" r:id="rId4"/>
  </sheets>
  <definedNames>
    <definedName name="_xlnm._FilterDatabase" localSheetId="1" hidden="1">SupportedInstructions!$A$9:$J$38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L53" i="4"/>
  <c r="M53" i="4" s="1"/>
  <c r="N53" i="4" s="1"/>
  <c r="O53" i="4" s="1"/>
  <c r="P53" i="4" s="1"/>
  <c r="Q53" i="4" s="1"/>
  <c r="R53" i="4" s="1"/>
  <c r="S53" i="4" s="1"/>
  <c r="T53" i="4" s="1"/>
  <c r="U53" i="4" s="1"/>
  <c r="K53" i="4"/>
  <c r="C29" i="4"/>
  <c r="C41" i="4"/>
  <c r="C38" i="4"/>
  <c r="C39" i="4" s="1"/>
  <c r="C42" i="4" s="1"/>
  <c r="C32" i="4"/>
  <c r="C33" i="4" s="1"/>
  <c r="J49" i="4" s="1"/>
  <c r="C22" i="4"/>
  <c r="C23" i="4" s="1"/>
  <c r="C20" i="4"/>
  <c r="C35" i="4" s="1"/>
  <c r="J46" i="4" s="1"/>
  <c r="E182" i="3"/>
  <c r="D182" i="3"/>
  <c r="C182" i="3"/>
  <c r="C180" i="3"/>
  <c r="C94" i="3"/>
  <c r="C162" i="3"/>
  <c r="C163" i="3" s="1"/>
  <c r="C154" i="3"/>
  <c r="D121" i="3"/>
  <c r="D117" i="3"/>
  <c r="D118" i="3" s="1"/>
  <c r="D119" i="3" s="1"/>
  <c r="D130" i="3"/>
  <c r="C130" i="3"/>
  <c r="E106" i="3"/>
  <c r="C106" i="3"/>
  <c r="D106" i="3" s="1"/>
  <c r="C97" i="3"/>
  <c r="C99" i="3"/>
  <c r="C100" i="3" s="1"/>
  <c r="E76" i="3"/>
  <c r="D28" i="3"/>
  <c r="D27" i="3"/>
  <c r="R50" i="3"/>
  <c r="R51" i="3" s="1"/>
  <c r="R52" i="3" s="1"/>
  <c r="G55" i="3"/>
  <c r="G53" i="3"/>
  <c r="G54" i="3" s="1"/>
  <c r="E55" i="3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F52" i="1"/>
  <c r="J43" i="1"/>
  <c r="J41" i="1"/>
  <c r="J40" i="1"/>
  <c r="J39" i="1"/>
  <c r="J38" i="1"/>
  <c r="K39" i="1" s="1"/>
  <c r="J37" i="1"/>
  <c r="J36" i="1"/>
  <c r="K37" i="1" s="1"/>
  <c r="H26" i="1"/>
  <c r="A26" i="1"/>
  <c r="B10" i="1"/>
  <c r="E14" i="1"/>
  <c r="F5" i="1"/>
  <c r="G5" i="1" s="1"/>
  <c r="H5" i="1" s="1"/>
  <c r="D8" i="1"/>
  <c r="D7" i="1"/>
  <c r="D6" i="1"/>
  <c r="D5" i="1"/>
  <c r="D4" i="1"/>
  <c r="D3" i="1"/>
  <c r="D2" i="1"/>
  <c r="E2" i="1" s="1"/>
  <c r="B3" i="1" s="1"/>
  <c r="R49" i="4" l="1"/>
  <c r="Q49" i="4"/>
  <c r="L49" i="4"/>
  <c r="S49" i="4"/>
  <c r="T49" i="4"/>
  <c r="P49" i="4"/>
  <c r="O49" i="4"/>
  <c r="U49" i="4"/>
  <c r="N49" i="4"/>
  <c r="M49" i="4"/>
  <c r="K49" i="4"/>
  <c r="J51" i="4"/>
  <c r="K48" i="4"/>
  <c r="K50" i="4" s="1"/>
  <c r="J48" i="4"/>
  <c r="J50" i="4" s="1"/>
  <c r="C43" i="4" s="1"/>
  <c r="L46" i="4"/>
  <c r="P46" i="4" s="1"/>
  <c r="Q46" i="4" s="1"/>
  <c r="R46" i="4" s="1"/>
  <c r="S46" i="4" s="1"/>
  <c r="K46" i="4"/>
  <c r="D122" i="3"/>
  <c r="D123" i="3" s="1"/>
  <c r="D124" i="3" s="1"/>
  <c r="D125" i="3" s="1"/>
  <c r="E107" i="3"/>
  <c r="E130" i="3"/>
  <c r="F130" i="3" s="1"/>
  <c r="G131" i="3"/>
  <c r="G130" i="3"/>
  <c r="H55" i="3"/>
  <c r="I55" i="3" s="1"/>
  <c r="I54" i="3" s="1"/>
  <c r="E3" i="1"/>
  <c r="B4" i="1" s="1"/>
  <c r="E4" i="1" s="1"/>
  <c r="B5" i="1" s="1"/>
  <c r="E5" i="1"/>
  <c r="B6" i="1" s="1"/>
  <c r="E6" i="1" s="1"/>
  <c r="B7" i="1" s="1"/>
  <c r="E7" i="1" s="1"/>
  <c r="B8" i="1" s="1"/>
  <c r="E8" i="1" s="1"/>
  <c r="E13" i="1"/>
  <c r="E15" i="1" s="1"/>
  <c r="E16" i="1" s="1"/>
  <c r="L48" i="4" l="1"/>
  <c r="L50" i="4" s="1"/>
  <c r="N48" i="4"/>
  <c r="N50" i="4" s="1"/>
  <c r="M48" i="4"/>
  <c r="M50" i="4" s="1"/>
  <c r="K51" i="4"/>
  <c r="J54" i="4"/>
  <c r="O48" i="4"/>
  <c r="O50" i="4" s="1"/>
  <c r="M46" i="4"/>
  <c r="N46" i="4" s="1"/>
  <c r="O46" i="4" s="1"/>
  <c r="J55" i="4"/>
  <c r="J52" i="4"/>
  <c r="K52" i="4"/>
  <c r="S48" i="4"/>
  <c r="S50" i="4" s="1"/>
  <c r="R48" i="4"/>
  <c r="R50" i="4" s="1"/>
  <c r="Q48" i="4"/>
  <c r="Q50" i="4" s="1"/>
  <c r="T46" i="4"/>
  <c r="U46" i="4" s="1"/>
  <c r="P48" i="4"/>
  <c r="P50" i="4" s="1"/>
  <c r="K54" i="4" l="1"/>
  <c r="K55" i="4" s="1"/>
  <c r="L51" i="4"/>
  <c r="U48" i="4"/>
  <c r="U50" i="4" s="1"/>
  <c r="T48" i="4"/>
  <c r="T50" i="4" s="1"/>
  <c r="M51" i="4" l="1"/>
  <c r="L54" i="4"/>
  <c r="L55" i="4" s="1"/>
  <c r="L52" i="4"/>
  <c r="M54" i="4" l="1"/>
  <c r="M55" i="4" s="1"/>
  <c r="N51" i="4"/>
  <c r="M52" i="4"/>
  <c r="N54" i="4" l="1"/>
  <c r="N55" i="4" s="1"/>
  <c r="N52" i="4"/>
  <c r="O51" i="4"/>
  <c r="O54" i="4" l="1"/>
  <c r="O55" i="4" s="1"/>
  <c r="P51" i="4"/>
  <c r="O52" i="4"/>
  <c r="P54" i="4" l="1"/>
  <c r="P55" i="4" s="1"/>
  <c r="Q51" i="4"/>
  <c r="P52" i="4"/>
  <c r="Q54" i="4" l="1"/>
  <c r="Q55" i="4" s="1"/>
  <c r="Q52" i="4"/>
  <c r="R51" i="4"/>
  <c r="R54" i="4" l="1"/>
  <c r="R55" i="4" s="1"/>
  <c r="S51" i="4"/>
  <c r="R52" i="4"/>
  <c r="S54" i="4" l="1"/>
  <c r="S55" i="4" s="1"/>
  <c r="T51" i="4"/>
  <c r="S52" i="4"/>
  <c r="T54" i="4" l="1"/>
  <c r="T55" i="4" s="1"/>
  <c r="T52" i="4"/>
  <c r="U51" i="4"/>
  <c r="U52" i="4" l="1"/>
  <c r="U54" i="4"/>
  <c r="U55" i="4" s="1"/>
</calcChain>
</file>

<file path=xl/sharedStrings.xml><?xml version="1.0" encoding="utf-8"?>
<sst xmlns="http://schemas.openxmlformats.org/spreadsheetml/2006/main" count="614" uniqueCount="362">
  <si>
    <t>Remarks</t>
  </si>
  <si>
    <t>S.no</t>
  </si>
  <si>
    <t>RV64I Base Instructions</t>
  </si>
  <si>
    <t xml:space="preserve">Instruction </t>
  </si>
  <si>
    <t>31               27        26     25</t>
  </si>
  <si>
    <t>24        20</t>
  </si>
  <si>
    <t>19        15</t>
  </si>
  <si>
    <t>14        12</t>
  </si>
  <si>
    <t>11                 7</t>
  </si>
  <si>
    <t>6             0</t>
  </si>
  <si>
    <t>R-type</t>
  </si>
  <si>
    <t>funct7</t>
  </si>
  <si>
    <t>rs2</t>
  </si>
  <si>
    <t>rs1</t>
  </si>
  <si>
    <t>funct3</t>
  </si>
  <si>
    <t>rd</t>
  </si>
  <si>
    <t>opcode</t>
  </si>
  <si>
    <t>I-type</t>
  </si>
  <si>
    <t>imm[11:0]</t>
  </si>
  <si>
    <t>S-type</t>
  </si>
  <si>
    <t>imm[11:5]</t>
  </si>
  <si>
    <t>imm[4:0]</t>
  </si>
  <si>
    <t>B-type</t>
  </si>
  <si>
    <t>imm[12|10:5]</t>
  </si>
  <si>
    <t>imm[4:1|11]</t>
  </si>
  <si>
    <t>U-type</t>
  </si>
  <si>
    <t>imm[31:12]</t>
  </si>
  <si>
    <t>J-type</t>
  </si>
  <si>
    <t>imm[20|10:1|11|19:12]</t>
  </si>
  <si>
    <t>Mnemonic</t>
  </si>
  <si>
    <t>BEQ</t>
  </si>
  <si>
    <t>BNE</t>
  </si>
  <si>
    <t>BLT</t>
  </si>
  <si>
    <t>Supported</t>
  </si>
  <si>
    <t>BGE</t>
  </si>
  <si>
    <t>BLTU</t>
  </si>
  <si>
    <t>BGEU</t>
  </si>
  <si>
    <t>JAL</t>
  </si>
  <si>
    <t>JALR</t>
  </si>
  <si>
    <t>SD</t>
  </si>
  <si>
    <t>LD</t>
  </si>
  <si>
    <t>ADDI</t>
  </si>
  <si>
    <t>SLTI</t>
  </si>
  <si>
    <t>SLTIU</t>
  </si>
  <si>
    <t>XORI</t>
  </si>
  <si>
    <t>ORI</t>
  </si>
  <si>
    <t>ANDI</t>
  </si>
  <si>
    <t>SLLI</t>
  </si>
  <si>
    <t>shamt</t>
  </si>
  <si>
    <t>SRLI</t>
  </si>
  <si>
    <t>SRAI</t>
  </si>
  <si>
    <t>ADD</t>
  </si>
  <si>
    <t>SUB</t>
  </si>
  <si>
    <t>SLL</t>
  </si>
  <si>
    <t>SLT</t>
  </si>
  <si>
    <t>SLTU</t>
  </si>
  <si>
    <t>XOR</t>
  </si>
  <si>
    <t>Status</t>
  </si>
  <si>
    <t>SRA</t>
  </si>
  <si>
    <t>OR</t>
  </si>
  <si>
    <t>in_ctrl</t>
  </si>
  <si>
    <t>PacketNo</t>
  </si>
  <si>
    <t>pcap length (64-bit words)</t>
  </si>
  <si>
    <t>Start Offset (in 64-bit word)</t>
  </si>
  <si>
    <t>End Offset (in 64-bit word)</t>
  </si>
  <si>
    <t>pcap length (in Bytes)</t>
  </si>
  <si>
    <t>Offset from Start of new packet (in bytes)</t>
  </si>
  <si>
    <t>Offset from Start of new packet (in 64-bit words)</t>
  </si>
  <si>
    <t>ASSUMPTION: DataWidth of 16 bits</t>
  </si>
  <si>
    <t>Real Data offset in bytes</t>
  </si>
  <si>
    <t>Real Payload start (in 64 bit words)</t>
  </si>
  <si>
    <t>Real Payload length (in 64 bit words)</t>
  </si>
  <si>
    <t>Write the match count at</t>
  </si>
  <si>
    <t>Logic Thief Calculations</t>
  </si>
  <si>
    <t>probe_w_addr_i</t>
  </si>
  <si>
    <t>probe_data_i</t>
  </si>
  <si>
    <t>state_i</t>
  </si>
  <si>
    <t>mem_pc_carry_baggage_w</t>
  </si>
  <si>
    <t>bmem_read_addr_w</t>
  </si>
  <si>
    <t>bmem_dout_w</t>
  </si>
  <si>
    <t>bmem_wr_en_w</t>
  </si>
  <si>
    <t>bmem_write_addr_w</t>
  </si>
  <si>
    <t>bmem_din_w</t>
  </si>
  <si>
    <t>[1:0]</t>
  </si>
  <si>
    <t>[7:0]</t>
  </si>
  <si>
    <t>[71:0]</t>
  </si>
  <si>
    <t>[0:0]</t>
  </si>
  <si>
    <t>word_0</t>
  </si>
  <si>
    <t>wr_data_lo</t>
  </si>
  <si>
    <t>word_1</t>
  </si>
  <si>
    <t>wr_data_hi</t>
  </si>
  <si>
    <t>word_2</t>
  </si>
  <si>
    <t>wr_data_ctrl</t>
  </si>
  <si>
    <t>[15:8]</t>
  </si>
  <si>
    <t>wr_addr</t>
  </si>
  <si>
    <t>[16]</t>
  </si>
  <si>
    <t>wr_en</t>
  </si>
  <si>
    <t>[31:17]</t>
  </si>
  <si>
    <t>rd_data_lo_lo</t>
  </si>
  <si>
    <t>word_3</t>
  </si>
  <si>
    <t>[16:0]</t>
  </si>
  <si>
    <t>rd_data_lo_up</t>
  </si>
  <si>
    <t>rd_data_hi_lo</t>
  </si>
  <si>
    <t>word_4</t>
  </si>
  <si>
    <t>rd_data_hi_up</t>
  </si>
  <si>
    <t>[24:17]</t>
  </si>
  <si>
    <t>rd_data_ctrl</t>
  </si>
  <si>
    <t>[31:25]</t>
  </si>
  <si>
    <t>rd_addr</t>
  </si>
  <si>
    <t>word_5</t>
  </si>
  <si>
    <t>[0]</t>
  </si>
  <si>
    <t>[8:1]</t>
  </si>
  <si>
    <t>pc</t>
  </si>
  <si>
    <t>[10:9]</t>
  </si>
  <si>
    <t>state</t>
  </si>
  <si>
    <t>SRL</t>
  </si>
  <si>
    <t>AND</t>
  </si>
  <si>
    <t>000</t>
  </si>
  <si>
    <t>0100011</t>
  </si>
  <si>
    <t>011</t>
  </si>
  <si>
    <t>0000011</t>
  </si>
  <si>
    <t>0010011</t>
  </si>
  <si>
    <t>001</t>
  </si>
  <si>
    <t>shamt [25:20]</t>
  </si>
  <si>
    <t>0110011</t>
  </si>
  <si>
    <t>0000_000</t>
  </si>
  <si>
    <t>0100_000</t>
  </si>
  <si>
    <t>0000_00 [31:26]</t>
  </si>
  <si>
    <t>uses immediate</t>
  </si>
  <si>
    <t>0100_00 [31:26]</t>
  </si>
  <si>
    <t>mem_thread_id</t>
  </si>
  <si>
    <t>[12:11]</t>
  </si>
  <si>
    <t>CORE1</t>
  </si>
  <si>
    <t>CORE0</t>
  </si>
  <si>
    <t>COMMON</t>
  </si>
  <si>
    <t>OUT_WR</t>
  </si>
  <si>
    <t>CHANGE_READER</t>
  </si>
  <si>
    <t>CURRENT_READER</t>
  </si>
  <si>
    <t>FTSFRDEN</t>
  </si>
  <si>
    <t>FSMGENWREN</t>
  </si>
  <si>
    <t>CHANGE_WRITER</t>
  </si>
  <si>
    <t>CURRENT_WRITER</t>
  </si>
  <si>
    <t>THREAD_ID</t>
  </si>
  <si>
    <t>STATE</t>
  </si>
  <si>
    <t>PC</t>
  </si>
  <si>
    <t>RDADDR</t>
  </si>
  <si>
    <t>DOUT</t>
  </si>
  <si>
    <t>WREN</t>
  </si>
  <si>
    <t>WRADDR</t>
  </si>
  <si>
    <t>DIN</t>
  </si>
  <si>
    <t>current_writer</t>
  </si>
  <si>
    <t>[13:12]</t>
  </si>
  <si>
    <t>change_writer</t>
  </si>
  <si>
    <t>[14:14]</t>
  </si>
  <si>
    <t>fsmgenwren</t>
  </si>
  <si>
    <t>[15:15]</t>
  </si>
  <si>
    <t>ftsfrden</t>
  </si>
  <si>
    <t>CORE0_ftsfrden</t>
  </si>
  <si>
    <t>[16:16]</t>
  </si>
  <si>
    <t>[17:17]</t>
  </si>
  <si>
    <t>current_reader</t>
  </si>
  <si>
    <t>[19:18]</t>
  </si>
  <si>
    <t>change_reader</t>
  </si>
  <si>
    <t>[20:20]</t>
  </si>
  <si>
    <t>outwr</t>
  </si>
  <si>
    <t>[21:21]</t>
  </si>
  <si>
    <t>SNORT</t>
  </si>
  <si>
    <t>SURICATA</t>
  </si>
  <si>
    <t>Snort</t>
  </si>
  <si>
    <t>Open-Source</t>
  </si>
  <si>
    <t>Packet logging</t>
  </si>
  <si>
    <t>Traffic Analysis</t>
  </si>
  <si>
    <t>Yes</t>
  </si>
  <si>
    <t>IDS</t>
  </si>
  <si>
    <t>False Positives</t>
  </si>
  <si>
    <t>Source</t>
  </si>
  <si>
    <t>Benefit</t>
  </si>
  <si>
    <t>Open-source means high accuracy</t>
  </si>
  <si>
    <t>makes it highlight adaptable</t>
  </si>
  <si>
    <t>Disadvantages</t>
  </si>
  <si>
    <t>Advantages</t>
  </si>
  <si>
    <t>Rulesets</t>
  </si>
  <si>
    <t>Portablity</t>
  </si>
  <si>
    <t>Windows, Linux, many UNIX and all major BSD</t>
  </si>
  <si>
    <t>Real-time monitoring</t>
  </si>
  <si>
    <t>Costs</t>
  </si>
  <si>
    <t>Free</t>
  </si>
  <si>
    <t>Free (Community rulesets)</t>
  </si>
  <si>
    <t>Content Matching</t>
  </si>
  <si>
    <t>Protocol Analysis</t>
  </si>
  <si>
    <t>Compatibility</t>
  </si>
  <si>
    <t>Rules are simple to apply</t>
  </si>
  <si>
    <t>Real-time traffic monitor</t>
  </si>
  <si>
    <t>packet recording</t>
  </si>
  <si>
    <t>THANOS</t>
  </si>
  <si>
    <t>can detect anamolies</t>
  </si>
  <si>
    <t>Disadvantages of firewall</t>
  </si>
  <si>
    <t>cannot do packet sniffing</t>
  </si>
  <si>
    <t>Our system</t>
  </si>
  <si>
    <t>protocol (tcp, udp, icmp, http)</t>
  </si>
  <si>
    <t xml:space="preserve">extensive header filters including port numbers, ip addresses, </t>
  </si>
  <si>
    <t>IPS</t>
  </si>
  <si>
    <t>Open-Source (OISF)</t>
  </si>
  <si>
    <t>Protocol Detection</t>
  </si>
  <si>
    <t>Multi-threading</t>
  </si>
  <si>
    <t>Yes, SW</t>
  </si>
  <si>
    <t>Customizable, Lua</t>
  </si>
  <si>
    <t>Customizable, perl</t>
  </si>
  <si>
    <t>Complexity</t>
  </si>
  <si>
    <t>Hard</t>
  </si>
  <si>
    <t>Easier</t>
  </si>
  <si>
    <t>Community</t>
  </si>
  <si>
    <t>Large</t>
  </si>
  <si>
    <t>Small</t>
  </si>
  <si>
    <t>implies robustness</t>
  </si>
  <si>
    <t>links</t>
  </si>
  <si>
    <t>https://www.sunnyvalley.io/docs/network-security-tutorials/what-is-snort</t>
  </si>
  <si>
    <t>Snort with pfSense</t>
  </si>
  <si>
    <t>Same as Snort</t>
  </si>
  <si>
    <t>Features/Capabilities</t>
  </si>
  <si>
    <t>Comparison</t>
  </si>
  <si>
    <t>Yes, HW based</t>
  </si>
  <si>
    <t>Cisco ASA5585-S20P20-K8</t>
  </si>
  <si>
    <t>Cisco L-ASA5585-40TAMC5Y ASA with FirePOWER Services IPS, Advanced Malware Protection and URL Filtering</t>
  </si>
  <si>
    <t>Cisco FirePOWER 2110 NGFW - firewall</t>
  </si>
  <si>
    <t>Single 6-core at 1.9 G</t>
  </si>
  <si>
    <t>https://www.cisco.com/c/en/us/td/docs/security/firepower/2100/hw/guide/b_install_guide_2100/overview.html</t>
  </si>
  <si>
    <t>reference</t>
  </si>
  <si>
    <t>Firepower 2110
4 physical cores (8 logical cores) Single Xeon D-1526 1.8GHz
16GB 2133MHz RAM
One disk 100GB SSD storage (Optional 800GB for AMP)</t>
  </si>
  <si>
    <t>https://www.cisco.com/c/en/us/products/collateral/security/firepower-2100-series/datasheet-c78-742473.html</t>
  </si>
  <si>
    <t>3.5 gbps</t>
  </si>
  <si>
    <t>IPS throughput (1024 bytes)</t>
  </si>
  <si>
    <t>61 MHz</t>
  </si>
  <si>
    <t>Frequency</t>
  </si>
  <si>
    <t>1.9G</t>
  </si>
  <si>
    <t>Packet size (bytes)</t>
  </si>
  <si>
    <t>Time required for 1 packet</t>
  </si>
  <si>
    <t>Cycles</t>
  </si>
  <si>
    <t>Time required for 1 packet (bytes)</t>
  </si>
  <si>
    <t>ips throughput</t>
  </si>
  <si>
    <t xml:space="preserve"> </t>
  </si>
  <si>
    <t>Mbps</t>
  </si>
  <si>
    <t>Frequency (in MHz)</t>
  </si>
  <si>
    <t>Actual Results</t>
  </si>
  <si>
    <t>IPS Throughput</t>
  </si>
  <si>
    <t>Window size: 1024 Bytes</t>
  </si>
  <si>
    <t>Bandwidth (Mbps)</t>
  </si>
  <si>
    <t>Platform</t>
  </si>
  <si>
    <t>Local CPU</t>
  </si>
  <si>
    <t>NetFPGA1G</t>
  </si>
  <si>
    <t>NetFPGA10G*</t>
  </si>
  <si>
    <t>Cost</t>
  </si>
  <si>
    <t>Vendor</t>
  </si>
  <si>
    <t>4Q22 Revenue</t>
  </si>
  <si>
    <t>4Q22 Market Share</t>
  </si>
  <si>
    <t>4Q21 Revenue</t>
  </si>
  <si>
    <t>4Q21 Market Share</t>
  </si>
  <si>
    <t>4Q22/4Q21 Growth</t>
  </si>
  <si>
    <t>1. Palo Alto Networks</t>
  </si>
  <si>
    <t>3. Fortinet</t>
  </si>
  <si>
    <t>2. Cisco</t>
  </si>
  <si>
    <t>4. Check Point</t>
  </si>
  <si>
    <t>5. SonicWALL</t>
  </si>
  <si>
    <t>Rest of Market</t>
  </si>
  <si>
    <t>Total</t>
  </si>
  <si>
    <t>Cisco After Tax Profit Margin</t>
  </si>
  <si>
    <t>https://www.forbes.com/sites/johndorfman/2022/09/06/cisco-biogen-four-fat-margin-buys/?sh=22430ee23a00</t>
  </si>
  <si>
    <t>Cisco Revenue* (Mn. USD)</t>
  </si>
  <si>
    <t>Cisco profit margin* (Mn. USD)</t>
  </si>
  <si>
    <t>Total Market Size* (Mn. USD)</t>
  </si>
  <si>
    <t>* yearly for security appliance business</t>
  </si>
  <si>
    <t>Header Inspection</t>
  </si>
  <si>
    <t>Window Size (Bytes)</t>
  </si>
  <si>
    <t>Bytes</t>
  </si>
  <si>
    <t>Bits</t>
  </si>
  <si>
    <t>KB</t>
  </si>
  <si>
    <t>Packet Size</t>
  </si>
  <si>
    <t>Header Size</t>
  </si>
  <si>
    <t>Payload inspection</t>
  </si>
  <si>
    <t>Time Period</t>
  </si>
  <si>
    <t>Number of Packets</t>
  </si>
  <si>
    <t>Avg. offset for Signature (half-way)</t>
  </si>
  <si>
    <t>clock cycles</t>
  </si>
  <si>
    <t>bytes</t>
  </si>
  <si>
    <t>Payload</t>
  </si>
  <si>
    <t>MHz</t>
  </si>
  <si>
    <t>NetFPGA 1G Frequency</t>
  </si>
  <si>
    <t>sec</t>
  </si>
  <si>
    <t>Number</t>
  </si>
  <si>
    <t>bits</t>
  </si>
  <si>
    <t>Parameter</t>
  </si>
  <si>
    <t>Unit</t>
  </si>
  <si>
    <t>Value</t>
  </si>
  <si>
    <t>Bandwidth: 1024M</t>
  </si>
  <si>
    <t>Bandwidth: 1024k</t>
  </si>
  <si>
    <t>Cost of NetFPGA1G based System</t>
  </si>
  <si>
    <t>Dual Core Processor</t>
  </si>
  <si>
    <t>Memory</t>
  </si>
  <si>
    <t>NetFPGA Chip Costs</t>
  </si>
  <si>
    <t>Peripherals</t>
  </si>
  <si>
    <t>Toatl Cost of Software based System</t>
  </si>
  <si>
    <t>https://www.sdxcentral.com/articles/news/top-5-security-appliance-vendors-show-growth-the-rest-of-the-market-not-so-much/2023/03/</t>
  </si>
  <si>
    <t>https://www.idc.com/getdoc.jsp?containerId=US48372121&amp;pageType=PRINTFRIENDLY</t>
  </si>
  <si>
    <t>https://docs.netgate.com/pfsense/en/latest/hardware/size.html</t>
  </si>
  <si>
    <t>NetFPGA-SUME</t>
  </si>
  <si>
    <t>NetFPGA-1G</t>
  </si>
  <si>
    <t>SNORT-based Firepower*</t>
  </si>
  <si>
    <t>IPS Bandwidth (Mbps)</t>
  </si>
  <si>
    <t>Device Cost (USD)</t>
  </si>
  <si>
    <t>Mbps/Dollar</t>
  </si>
  <si>
    <t>IDC Tracker, Q2 2022</t>
  </si>
  <si>
    <t>Yearly Business</t>
  </si>
  <si>
    <t>Field</t>
  </si>
  <si>
    <t>Cisco Firepower 3110</t>
  </si>
  <si>
    <t>SNORT NetFPGA10G-</t>
  </si>
  <si>
    <t>Target Market Share</t>
  </si>
  <si>
    <t>Time frame (Years)</t>
  </si>
  <si>
    <t>Number of Quarters</t>
  </si>
  <si>
    <t>Market Share per Quarter</t>
  </si>
  <si>
    <t>Q3, 2023</t>
  </si>
  <si>
    <t>Q4, 2023</t>
  </si>
  <si>
    <t>Q4, 2024</t>
  </si>
  <si>
    <t>Q3, 2024</t>
  </si>
  <si>
    <t>Q2, 2024</t>
  </si>
  <si>
    <t>Q1, 2024</t>
  </si>
  <si>
    <t>Q1, 2025</t>
  </si>
  <si>
    <t>Q2, 2025</t>
  </si>
  <si>
    <t>Q3, 2025</t>
  </si>
  <si>
    <t>Q4, 2025</t>
  </si>
  <si>
    <t>Q1, 2026</t>
  </si>
  <si>
    <t>Q2, 2026</t>
  </si>
  <si>
    <t>Avg. ASP per device (USD)</t>
  </si>
  <si>
    <t>Number of Devices</t>
  </si>
  <si>
    <t>Number of Devices yearly</t>
  </si>
  <si>
    <t>Profit Margin</t>
  </si>
  <si>
    <t>Cost Price</t>
  </si>
  <si>
    <t>Gross Profit Margin</t>
  </si>
  <si>
    <t>Selling Price</t>
  </si>
  <si>
    <t>Nearest Competitor</t>
  </si>
  <si>
    <t>Offering similar IPS bandwidth</t>
  </si>
  <si>
    <t>Price Advantage</t>
  </si>
  <si>
    <t>Yearly Market Size growth Rate</t>
  </si>
  <si>
    <t>Quarterly Total market vol.</t>
  </si>
  <si>
    <t>ASP per Device</t>
  </si>
  <si>
    <t>Total Market Volume (Yearly )</t>
  </si>
  <si>
    <t>THANOS Total Revenue (Mn. USD)</t>
  </si>
  <si>
    <t>Cisco Firepower 3120</t>
  </si>
  <si>
    <t>Competitor's device price (USD)</t>
  </si>
  <si>
    <t>Values</t>
  </si>
  <si>
    <t>Net Profit margin</t>
  </si>
  <si>
    <t>Net Profit per Device</t>
  </si>
  <si>
    <t>THANOS Net Profit (Mn. USD)</t>
  </si>
  <si>
    <t>1st Quarter's volume</t>
  </si>
  <si>
    <t>1st Quarter's net profit (Mn. USD)</t>
  </si>
  <si>
    <t>Cisco Firepower 3120 claimed IPS banwidth is 21Gbps</t>
  </si>
  <si>
    <t>scriptimp.sh</t>
  </si>
  <si>
    <t/>
  </si>
  <si>
    <t>Field Name</t>
  </si>
  <si>
    <t>Word Order</t>
  </si>
  <si>
    <t>Bit Width Offset</t>
  </si>
  <si>
    <t>Actual Bit Width</t>
  </si>
  <si>
    <t>Width of Logic Analyzer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</si>
</sst>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1010F"/>
      <name val="Arial"/>
      <family val="2"/>
    </font>
    <font>
      <b/>
      <sz val="8"/>
      <color rgb="FF01010F"/>
      <name val="Arial"/>
      <family val="2"/>
    </font>
    <font>
      <sz val="8"/>
      <name val="Calibri"/>
      <family val="2"/>
      <scheme val="minor"/>
    </font>
    <font>
      <b/>
      <sz val="10"/>
      <color rgb="FF01010F"/>
      <name val="Courier New"/>
      <family val="3"/>
    </font>
    <font>
      <sz val="10"/>
      <color rgb="FF01010F"/>
      <name val="Courier New"/>
      <family val="3"/>
    </font>
    <font>
      <u/>
      <sz val="10"/>
      <color theme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/>
    <xf numFmtId="46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0" xfId="2"/>
    <xf numFmtId="44" fontId="3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8" fillId="3" borderId="12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8" fontId="8" fillId="4" borderId="12" xfId="0" applyNumberFormat="1" applyFont="1" applyFill="1" applyBorder="1" applyAlignment="1">
      <alignment vertical="center" wrapText="1"/>
    </xf>
    <xf numFmtId="10" fontId="8" fillId="4" borderId="12" xfId="0" applyNumberFormat="1" applyFont="1" applyFill="1" applyBorder="1" applyAlignment="1">
      <alignment vertical="center" wrapText="1"/>
    </xf>
    <xf numFmtId="8" fontId="8" fillId="3" borderId="12" xfId="0" applyNumberFormat="1" applyFont="1" applyFill="1" applyBorder="1" applyAlignment="1">
      <alignment vertical="center" wrapText="1"/>
    </xf>
    <xf numFmtId="10" fontId="8" fillId="3" borderId="12" xfId="0" applyNumberFormat="1" applyFont="1" applyFill="1" applyBorder="1" applyAlignment="1">
      <alignment vertical="center" wrapText="1"/>
    </xf>
    <xf numFmtId="0" fontId="9" fillId="4" borderId="12" xfId="0" applyFont="1" applyFill="1" applyBorder="1" applyAlignment="1">
      <alignment vertical="center" wrapText="1"/>
    </xf>
    <xf numFmtId="8" fontId="9" fillId="4" borderId="12" xfId="0" applyNumberFormat="1" applyFont="1" applyFill="1" applyBorder="1" applyAlignment="1">
      <alignment vertical="center" wrapTex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9" fontId="3" fillId="0" borderId="0" xfId="0" applyNumberFormat="1" applyFont="1"/>
    <xf numFmtId="44" fontId="3" fillId="0" borderId="0" xfId="0" applyNumberFormat="1" applyFont="1"/>
    <xf numFmtId="0" fontId="3" fillId="0" borderId="15" xfId="0" applyFont="1" applyBorder="1"/>
    <xf numFmtId="0" fontId="12" fillId="0" borderId="12" xfId="0" applyFont="1" applyBorder="1" applyAlignment="1">
      <alignment vertical="center" wrapText="1"/>
    </xf>
    <xf numFmtId="8" fontId="12" fillId="0" borderId="12" xfId="0" applyNumberFormat="1" applyFont="1" applyBorder="1" applyAlignment="1">
      <alignment vertical="center" wrapText="1"/>
    </xf>
    <xf numFmtId="10" fontId="12" fillId="0" borderId="12" xfId="0" applyNumberFormat="1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8" fontId="11" fillId="0" borderId="12" xfId="0" applyNumberFormat="1" applyFont="1" applyBorder="1" applyAlignment="1">
      <alignment vertical="center" wrapText="1"/>
    </xf>
    <xf numFmtId="0" fontId="3" fillId="0" borderId="16" xfId="0" applyFont="1" applyBorder="1"/>
    <xf numFmtId="0" fontId="3" fillId="0" borderId="17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13" fillId="0" borderId="0" xfId="2" applyFont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0" fontId="3" fillId="0" borderId="0" xfId="0" applyFont="1" applyAlignment="1">
      <alignment horizontal="center"/>
    </xf>
    <xf numFmtId="10" fontId="3" fillId="0" borderId="1" xfId="0" applyNumberFormat="1" applyFont="1" applyBorder="1"/>
    <xf numFmtId="9" fontId="3" fillId="0" borderId="1" xfId="4" applyFont="1" applyBorder="1"/>
    <xf numFmtId="10" fontId="3" fillId="0" borderId="1" xfId="4" applyNumberFormat="1" applyFont="1" applyBorder="1"/>
    <xf numFmtId="165" fontId="3" fillId="0" borderId="1" xfId="3" applyNumberFormat="1" applyFont="1" applyBorder="1"/>
    <xf numFmtId="164" fontId="3" fillId="0" borderId="1" xfId="1" applyNumberFormat="1" applyFont="1" applyBorder="1"/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4" borderId="13" xfId="0" applyFont="1" applyFill="1" applyBorder="1" applyAlignment="1">
      <alignment vertical="center" wrapText="1"/>
    </xf>
    <xf numFmtId="0" fontId="9" fillId="4" borderId="14" xfId="0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IPS Bandwidth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Sheet1!$C$179:$E$179</c:f>
              <c:strCache>
                <c:ptCount val="3"/>
                <c:pt idx="0">
                  <c:v>NetFPGA-SUME</c:v>
                </c:pt>
                <c:pt idx="1">
                  <c:v>NetFPGA-1G</c:v>
                </c:pt>
                <c:pt idx="2">
                  <c:v>SNORT-based Firepower*</c:v>
                </c:pt>
              </c:strCache>
            </c:strRef>
          </c:cat>
          <c:val>
            <c:numRef>
              <c:f>Sheet1!$C$180:$E$180</c:f>
              <c:numCache>
                <c:formatCode>General</c:formatCode>
                <c:ptCount val="3"/>
                <c:pt idx="0">
                  <c:v>22600</c:v>
                </c:pt>
                <c:pt idx="1">
                  <c:v>2260</c:v>
                </c:pt>
                <c:pt idx="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6-4FE3-85BE-5225534F9B20}"/>
            </c:ext>
          </c:extLst>
        </c:ser>
        <c:ser>
          <c:idx val="1"/>
          <c:order val="1"/>
          <c:tx>
            <c:strRef>
              <c:f>Sheet1!$B$181</c:f>
              <c:strCache>
                <c:ptCount val="1"/>
                <c:pt idx="0">
                  <c:v>Device Cost (USD)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Sheet1!$C$179:$E$179</c:f>
              <c:strCache>
                <c:ptCount val="3"/>
                <c:pt idx="0">
                  <c:v>NetFPGA-SUME</c:v>
                </c:pt>
                <c:pt idx="1">
                  <c:v>NetFPGA-1G</c:v>
                </c:pt>
                <c:pt idx="2">
                  <c:v>SNORT-based Firepower*</c:v>
                </c:pt>
              </c:strCache>
            </c:strRef>
          </c:cat>
          <c:val>
            <c:numRef>
              <c:f>Sheet1!$C$181:$E$181</c:f>
              <c:numCache>
                <c:formatCode>General</c:formatCode>
                <c:ptCount val="3"/>
                <c:pt idx="0">
                  <c:v>6995</c:v>
                </c:pt>
                <c:pt idx="1">
                  <c:v>1599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6-4FE3-85BE-5225534F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571072"/>
        <c:axId val="676642208"/>
      </c:barChart>
      <c:lineChart>
        <c:grouping val="standard"/>
        <c:varyColors val="0"/>
        <c:ser>
          <c:idx val="2"/>
          <c:order val="2"/>
          <c:tx>
            <c:strRef>
              <c:f>Sheet1!$B$182</c:f>
              <c:strCache>
                <c:ptCount val="1"/>
                <c:pt idx="0">
                  <c:v>Mbps/Dollar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Sheet1!$C$179:$E$179</c:f>
              <c:strCache>
                <c:ptCount val="3"/>
                <c:pt idx="0">
                  <c:v>NetFPGA-SUME</c:v>
                </c:pt>
                <c:pt idx="1">
                  <c:v>NetFPGA-1G</c:v>
                </c:pt>
                <c:pt idx="2">
                  <c:v>SNORT-based Firepower*</c:v>
                </c:pt>
              </c:strCache>
            </c:strRef>
          </c:cat>
          <c:val>
            <c:numRef>
              <c:f>Sheet1!$C$182:$E$182</c:f>
              <c:numCache>
                <c:formatCode>General</c:formatCode>
                <c:ptCount val="3"/>
                <c:pt idx="0">
                  <c:v>3.2</c:v>
                </c:pt>
                <c:pt idx="1">
                  <c:v>1.4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6-4FE3-85BE-5225534F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96912"/>
        <c:axId val="381798448"/>
      </c:lineChart>
      <c:catAx>
        <c:axId val="5735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2208"/>
        <c:crosses val="autoZero"/>
        <c:auto val="1"/>
        <c:lblAlgn val="ctr"/>
        <c:lblOffset val="100"/>
        <c:noMultiLvlLbl val="0"/>
      </c:catAx>
      <c:valAx>
        <c:axId val="6766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Cost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71072"/>
        <c:crosses val="autoZero"/>
        <c:crossBetween val="between"/>
      </c:valAx>
      <c:valAx>
        <c:axId val="38179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Mbps/USD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6912"/>
        <c:crosses val="max"/>
        <c:crossBetween val="between"/>
      </c:valAx>
      <c:catAx>
        <c:axId val="57879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984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Devices Snapshot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Sheet2!$I$46</c:f>
              <c:strCache>
                <c:ptCount val="1"/>
                <c:pt idx="0">
                  <c:v>Total Market Volume (Yearly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Sheet2!$J$45:$U$45</c:f>
              <c:strCache>
                <c:ptCount val="12"/>
                <c:pt idx="0">
                  <c:v>Q3, 2023</c:v>
                </c:pt>
                <c:pt idx="1">
                  <c:v>Q4, 2023</c:v>
                </c:pt>
                <c:pt idx="2">
                  <c:v>Q1, 2024</c:v>
                </c:pt>
                <c:pt idx="3">
                  <c:v>Q2, 2024</c:v>
                </c:pt>
                <c:pt idx="4">
                  <c:v>Q3, 2024</c:v>
                </c:pt>
                <c:pt idx="5">
                  <c:v>Q4, 2024</c:v>
                </c:pt>
                <c:pt idx="6">
                  <c:v>Q1, 2025</c:v>
                </c:pt>
                <c:pt idx="7">
                  <c:v>Q2, 2025</c:v>
                </c:pt>
                <c:pt idx="8">
                  <c:v>Q3, 2025</c:v>
                </c:pt>
                <c:pt idx="9">
                  <c:v>Q4, 2025</c:v>
                </c:pt>
                <c:pt idx="10">
                  <c:v>Q1, 2026</c:v>
                </c:pt>
                <c:pt idx="11">
                  <c:v>Q2, 2026</c:v>
                </c:pt>
              </c:strCache>
            </c:strRef>
          </c:cat>
          <c:val>
            <c:numRef>
              <c:f>Sheet2!$J$46:$U$46</c:f>
              <c:numCache>
                <c:formatCode>_(* #,##0_);_(* \(#,##0\);_(* "-"??_);_(@_)</c:formatCode>
                <c:ptCount val="12"/>
                <c:pt idx="0">
                  <c:v>6100000</c:v>
                </c:pt>
                <c:pt idx="1">
                  <c:v>6100000</c:v>
                </c:pt>
                <c:pt idx="2">
                  <c:v>6588000</c:v>
                </c:pt>
                <c:pt idx="3">
                  <c:v>6588000</c:v>
                </c:pt>
                <c:pt idx="4">
                  <c:v>6588000</c:v>
                </c:pt>
                <c:pt idx="5">
                  <c:v>6588000</c:v>
                </c:pt>
                <c:pt idx="6">
                  <c:v>7115040.0000000009</c:v>
                </c:pt>
                <c:pt idx="7">
                  <c:v>7115040.0000000009</c:v>
                </c:pt>
                <c:pt idx="8">
                  <c:v>7115040.0000000009</c:v>
                </c:pt>
                <c:pt idx="9">
                  <c:v>7115040.0000000009</c:v>
                </c:pt>
                <c:pt idx="10">
                  <c:v>7684243.2000000011</c:v>
                </c:pt>
                <c:pt idx="11">
                  <c:v>7684243.2000000011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400-AC4A-77052195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797648"/>
        <c:axId val="431517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Sheet2!$I$47</c15:sqref>
                        </c15:formulaRef>
                      </c:ext>
                    </c:extLst>
                    <c:strCache>
                      <c:ptCount val="1"/>
                      <c:pt idx="0">
                        <c:v>Yearly Market Size growth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Sheet2!$J$47:$U$47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 formatCode="0%">
                        <c:v>0.08</c:v>
                      </c:pt>
                      <c:pt idx="6" formatCode="0%">
                        <c:v>0.08</c:v>
                      </c:pt>
                      <c:pt idx="10" formatCode="0%">
                        <c:v>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14-4400-AC4A-77052195A1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Sheet2!$I$48</c15:sqref>
                        </c15:formulaRef>
                      </c:ext>
                    </c:extLst>
                    <c:strCache>
                      <c:ptCount val="1"/>
                      <c:pt idx="0">
                        <c:v>Quarterly Total market vol.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Sheet2!$J$48:$U$48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1525000</c:v>
                      </c:pt>
                      <c:pt idx="1">
                        <c:v>1525000</c:v>
                      </c:pt>
                      <c:pt idx="2">
                        <c:v>1647000</c:v>
                      </c:pt>
                      <c:pt idx="3">
                        <c:v>1647000</c:v>
                      </c:pt>
                      <c:pt idx="4">
                        <c:v>1647000</c:v>
                      </c:pt>
                      <c:pt idx="5">
                        <c:v>1647000</c:v>
                      </c:pt>
                      <c:pt idx="6">
                        <c:v>1778760</c:v>
                      </c:pt>
                      <c:pt idx="7">
                        <c:v>1778760</c:v>
                      </c:pt>
                      <c:pt idx="8">
                        <c:v>1778760</c:v>
                      </c:pt>
                      <c:pt idx="9">
                        <c:v>1778760</c:v>
                      </c:pt>
                      <c:pt idx="10">
                        <c:v>1921061</c:v>
                      </c:pt>
                      <c:pt idx="11">
                        <c:v>1921061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14-4400-AC4A-77052195A1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Sheet2!$I$49</c15:sqref>
                        </c15:formulaRef>
                      </c:ext>
                    </c:extLst>
                    <c:strCache>
                      <c:ptCount val="1"/>
                      <c:pt idx="0">
                        <c:v>Target Market Share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Sheet2!$J$49:$U$49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14-4400-AC4A-77052195A12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Sheet2!$I$50</c15:sqref>
                        </c15:formulaRef>
                      </c:ext>
                    </c:extLst>
                    <c:strCache>
                      <c:ptCount val="1"/>
                      <c:pt idx="0">
                        <c:v>Number of Devices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Sheet2!$J$50:$U$50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25417</c:v>
                      </c:pt>
                      <c:pt idx="1">
                        <c:v>50833</c:v>
                      </c:pt>
                      <c:pt idx="2">
                        <c:v>82350</c:v>
                      </c:pt>
                      <c:pt idx="3">
                        <c:v>109800</c:v>
                      </c:pt>
                      <c:pt idx="4">
                        <c:v>137250</c:v>
                      </c:pt>
                      <c:pt idx="5">
                        <c:v>164700</c:v>
                      </c:pt>
                      <c:pt idx="6">
                        <c:v>207522</c:v>
                      </c:pt>
                      <c:pt idx="7">
                        <c:v>237168</c:v>
                      </c:pt>
                      <c:pt idx="8">
                        <c:v>266814</c:v>
                      </c:pt>
                      <c:pt idx="9">
                        <c:v>296460</c:v>
                      </c:pt>
                      <c:pt idx="10">
                        <c:v>352195</c:v>
                      </c:pt>
                      <c:pt idx="11">
                        <c:v>384212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14-4400-AC4A-77052195A1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Sheet2!$I$51</c15:sqref>
                        </c15:formulaRef>
                      </c:ext>
                    </c:extLst>
                    <c:strCache>
                      <c:ptCount val="1"/>
                      <c:pt idx="0">
                        <c:v>ASP per Device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Sheet2!$J$51:$U$51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8394</c:v>
                      </c:pt>
                      <c:pt idx="1">
                        <c:v>8394</c:v>
                      </c:pt>
                      <c:pt idx="2">
                        <c:v>8394</c:v>
                      </c:pt>
                      <c:pt idx="3">
                        <c:v>8394</c:v>
                      </c:pt>
                      <c:pt idx="4">
                        <c:v>8394</c:v>
                      </c:pt>
                      <c:pt idx="5">
                        <c:v>8394</c:v>
                      </c:pt>
                      <c:pt idx="6">
                        <c:v>8394</c:v>
                      </c:pt>
                      <c:pt idx="7">
                        <c:v>8394</c:v>
                      </c:pt>
                      <c:pt idx="8">
                        <c:v>8394</c:v>
                      </c:pt>
                      <c:pt idx="9">
                        <c:v>8394</c:v>
                      </c:pt>
                      <c:pt idx="10">
                        <c:v>8394</c:v>
                      </c:pt>
                      <c:pt idx="11">
                        <c:v>8394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14-4400-AC4A-77052195A12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Sheet2!$I$53</c15:sqref>
                        </c15:formulaRef>
                      </c:ext>
                    </c:extLst>
                    <c:strCache>
                      <c:ptCount val="1"/>
                      <c:pt idx="0">
                        <c:v>Net Profit margin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Sheet2!$J$53:$U$53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14-4400-AC4A-77052195A1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Sheet2!$I$54</c15:sqref>
                        </c15:formulaRef>
                      </c:ext>
                    </c:extLst>
                    <c:strCache>
                      <c:ptCount val="1"/>
                      <c:pt idx="0">
                        <c:v>Net Profit per Device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Sheet2!$J$45:$U$45</c15:sqref>
                        </c15:formulaRef>
                      </c:ext>
                    </c:extLst>
                    <c:strCache>
                      <c:ptCount val="12"/>
                      <c:pt idx="0">
                        <c:v>Q3, 2023</c:v>
                      </c:pt>
                      <c:pt idx="1">
                        <c:v>Q4, 2023</c:v>
                      </c:pt>
                      <c:pt idx="2">
                        <c:v>Q1, 2024</c:v>
                      </c:pt>
                      <c:pt idx="3">
                        <c:v>Q2, 2024</c:v>
                      </c:pt>
                      <c:pt idx="4">
                        <c:v>Q3, 2024</c:v>
                      </c:pt>
                      <c:pt idx="5">
                        <c:v>Q4, 2024</c:v>
                      </c:pt>
                      <c:pt idx="6">
                        <c:v>Q1, 2025</c:v>
                      </c:pt>
                      <c:pt idx="7">
                        <c:v>Q2, 2025</c:v>
                      </c:pt>
                      <c:pt idx="8">
                        <c:v>Q3, 2025</c:v>
                      </c:pt>
                      <c:pt idx="9">
                        <c:v>Q4, 2025</c:v>
                      </c:pt>
                      <c:pt idx="10">
                        <c:v>Q1, 2026</c:v>
                      </c:pt>
                      <c:pt idx="11">
                        <c:v>Q2, 2026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Sheet2!$J$54:$U$54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1679</c:v>
                      </c:pt>
                      <c:pt idx="1">
                        <c:v>1679</c:v>
                      </c:pt>
                      <c:pt idx="2">
                        <c:v>1679</c:v>
                      </c:pt>
                      <c:pt idx="3">
                        <c:v>1679</c:v>
                      </c:pt>
                      <c:pt idx="4">
                        <c:v>1679</c:v>
                      </c:pt>
                      <c:pt idx="5">
                        <c:v>1679</c:v>
                      </c:pt>
                      <c:pt idx="6">
                        <c:v>1679</c:v>
                      </c:pt>
                      <c:pt idx="7">
                        <c:v>1679</c:v>
                      </c:pt>
                      <c:pt idx="8">
                        <c:v>1679</c:v>
                      </c:pt>
                      <c:pt idx="9">
                        <c:v>1679</c:v>
                      </c:pt>
                      <c:pt idx="10">
                        <c:v>1679</c:v>
                      </c:pt>
                      <c:pt idx="11">
                        <c:v>1679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14-4400-AC4A-77052195A12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Sheet2!$I$52</c:f>
              <c:strCache>
                <c:ptCount val="1"/>
                <c:pt idx="0">
                  <c:v>THANOS Total Revenue (Mn. USD)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Sheet2!$J$45:$U$45</c:f>
              <c:strCache>
                <c:ptCount val="12"/>
                <c:pt idx="0">
                  <c:v>Q3, 2023</c:v>
                </c:pt>
                <c:pt idx="1">
                  <c:v>Q4, 2023</c:v>
                </c:pt>
                <c:pt idx="2">
                  <c:v>Q1, 2024</c:v>
                </c:pt>
                <c:pt idx="3">
                  <c:v>Q2, 2024</c:v>
                </c:pt>
                <c:pt idx="4">
                  <c:v>Q3, 2024</c:v>
                </c:pt>
                <c:pt idx="5">
                  <c:v>Q4, 2024</c:v>
                </c:pt>
                <c:pt idx="6">
                  <c:v>Q1, 2025</c:v>
                </c:pt>
                <c:pt idx="7">
                  <c:v>Q2, 2025</c:v>
                </c:pt>
                <c:pt idx="8">
                  <c:v>Q3, 2025</c:v>
                </c:pt>
                <c:pt idx="9">
                  <c:v>Q4, 2025</c:v>
                </c:pt>
                <c:pt idx="10">
                  <c:v>Q1, 2026</c:v>
                </c:pt>
                <c:pt idx="11">
                  <c:v>Q2, 2026</c:v>
                </c:pt>
              </c:strCache>
            </c:strRef>
          </c:cat>
          <c:val>
            <c:numRef>
              <c:f>Sheet2!$J$52:$U$52</c:f>
              <c:numCache>
                <c:formatCode>General</c:formatCode>
                <c:ptCount val="12"/>
                <c:pt idx="0">
                  <c:v>213</c:v>
                </c:pt>
                <c:pt idx="1">
                  <c:v>427</c:v>
                </c:pt>
                <c:pt idx="2">
                  <c:v>691</c:v>
                </c:pt>
                <c:pt idx="3">
                  <c:v>922</c:v>
                </c:pt>
                <c:pt idx="4">
                  <c:v>1152</c:v>
                </c:pt>
                <c:pt idx="5">
                  <c:v>1382</c:v>
                </c:pt>
                <c:pt idx="6">
                  <c:v>1742</c:v>
                </c:pt>
                <c:pt idx="7">
                  <c:v>1991</c:v>
                </c:pt>
                <c:pt idx="8">
                  <c:v>2240</c:v>
                </c:pt>
                <c:pt idx="9">
                  <c:v>2488</c:v>
                </c:pt>
                <c:pt idx="10">
                  <c:v>2956</c:v>
                </c:pt>
                <c:pt idx="11">
                  <c:v>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4-4400-AC4A-77052195A127}"/>
            </c:ext>
          </c:extLst>
        </c:ser>
        <c:ser>
          <c:idx val="9"/>
          <c:order val="9"/>
          <c:tx>
            <c:strRef>
              <c:f>Sheet2!$I$55</c:f>
              <c:strCache>
                <c:ptCount val="1"/>
                <c:pt idx="0">
                  <c:v>THANOS Net Profit (Mn. 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Sheet2!$J$45:$U$45</c:f>
              <c:strCache>
                <c:ptCount val="12"/>
                <c:pt idx="0">
                  <c:v>Q3, 2023</c:v>
                </c:pt>
                <c:pt idx="1">
                  <c:v>Q4, 2023</c:v>
                </c:pt>
                <c:pt idx="2">
                  <c:v>Q1, 2024</c:v>
                </c:pt>
                <c:pt idx="3">
                  <c:v>Q2, 2024</c:v>
                </c:pt>
                <c:pt idx="4">
                  <c:v>Q3, 2024</c:v>
                </c:pt>
                <c:pt idx="5">
                  <c:v>Q4, 2024</c:v>
                </c:pt>
                <c:pt idx="6">
                  <c:v>Q1, 2025</c:v>
                </c:pt>
                <c:pt idx="7">
                  <c:v>Q2, 2025</c:v>
                </c:pt>
                <c:pt idx="8">
                  <c:v>Q3, 2025</c:v>
                </c:pt>
                <c:pt idx="9">
                  <c:v>Q4, 2025</c:v>
                </c:pt>
                <c:pt idx="10">
                  <c:v>Q1, 2026</c:v>
                </c:pt>
                <c:pt idx="11">
                  <c:v>Q2, 2026</c:v>
                </c:pt>
              </c:strCache>
            </c:strRef>
          </c:cat>
          <c:val>
            <c:numRef>
              <c:f>Sheet2!$J$55:$U$55</c:f>
              <c:numCache>
                <c:formatCode>General</c:formatCode>
                <c:ptCount val="12"/>
                <c:pt idx="0">
                  <c:v>43</c:v>
                </c:pt>
                <c:pt idx="1">
                  <c:v>85</c:v>
                </c:pt>
                <c:pt idx="2">
                  <c:v>138</c:v>
                </c:pt>
                <c:pt idx="3">
                  <c:v>184</c:v>
                </c:pt>
                <c:pt idx="4">
                  <c:v>230</c:v>
                </c:pt>
                <c:pt idx="5">
                  <c:v>277</c:v>
                </c:pt>
                <c:pt idx="6">
                  <c:v>348</c:v>
                </c:pt>
                <c:pt idx="7">
                  <c:v>398</c:v>
                </c:pt>
                <c:pt idx="8">
                  <c:v>448</c:v>
                </c:pt>
                <c:pt idx="9">
                  <c:v>498</c:v>
                </c:pt>
                <c:pt idx="10">
                  <c:v>591</c:v>
                </c:pt>
                <c:pt idx="11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14-4400-AC4A-77052195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757952"/>
        <c:axId val="137004512"/>
      </c:lineChart>
      <c:catAx>
        <c:axId val="4327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7088"/>
        <c:crosses val="autoZero"/>
        <c:auto val="1"/>
        <c:lblAlgn val="ctr"/>
        <c:lblOffset val="100"/>
        <c:noMultiLvlLbl val="0"/>
      </c:catAx>
      <c:valAx>
        <c:axId val="4315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Market Yearly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7648"/>
        <c:crosses val="autoZero"/>
        <c:crossBetween val="between"/>
      </c:valAx>
      <c:valAx>
        <c:axId val="13700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(Mn.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57952"/>
        <c:crosses val="max"/>
        <c:crossBetween val="between"/>
      </c:valAx>
      <c:catAx>
        <c:axId val="3097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0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891540</xdr:colOff>
      <xdr:row>192</xdr:row>
      <xdr:rowOff>152400</xdr:rowOff>
    </xdr:from>
    <xdr:to>
      <xdr:col>8</xdr:col>
      <xdr:colOff>571500</xdr:colOff>
      <xdr:row>219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E6C58-BCF9-E010-6EA7-D8B66D85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349175</xdr:colOff>
      <xdr:row>15</xdr:row>
      <xdr:rowOff>147470</xdr:rowOff>
    </xdr:from>
    <xdr:to>
      <xdr:col>18</xdr:col>
      <xdr:colOff>658458</xdr:colOff>
      <xdr:row>40</xdr:row>
      <xdr:rowOff>139850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CA5D7-A28A-4A83-7F48-856B5FD45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sco.com/c/en/us/products/collateral/security/firepower-2100-series/datasheet-c78-742473.html" TargetMode="External"/><Relationship Id="rId2" Type="http://schemas.openxmlformats.org/officeDocument/2006/relationships/hyperlink" Target="https://www.cisco.com/c/en/us/td/docs/security/firepower/2100/hw/guide/b_install_guide_2100/overview.html" TargetMode="External"/><Relationship Id="rId1" Type="http://schemas.openxmlformats.org/officeDocument/2006/relationships/hyperlink" Target="https://www.sunnyvalley.io/docs/network-security-tutorials/what-is-snor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forbes.com/sites/johndorfman/2022/09/06/cisco-biogen-four-fat-margin-buys/?sh=22430ee23a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forbes.com/sites/johndorfman/2022/09/06/cisco-biogen-four-fat-margin-buys/?sh=22430ee23a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3B60-3C82-4E9D-8861-118DDA848928}">
  <dimension ref="A1:T53"/>
  <sheetViews>
    <sheetView topLeftCell="A20" workbookViewId="0">
      <selection activeCell="A28" sqref="A28:E45"/>
    </sheetView>
  </sheetViews>
  <sheetFormatPr defaultRowHeight="14.4" x14ac:dyDescent="0.3"/>
  <cols>
    <col min="1" max="1" width="30.88671875" style="6" bestFit="1" customWidth="1"/>
    <col min="2" max="2" width="19.5546875" style="2" bestFit="1" customWidth="1"/>
    <col min="3" max="8" width="19.5546875" style="2" customWidth="1"/>
    <col min="9" max="9" width="18.33203125" style="2" bestFit="1" customWidth="1"/>
    <col min="10" max="10" width="20.77734375" style="1" bestFit="1" customWidth="1"/>
    <col min="11" max="14" width="8.88671875" style="1"/>
    <col min="15" max="15" width="11.6640625" style="1" bestFit="1" customWidth="1"/>
    <col min="16" max="20" width="18.109375" style="3" customWidth="1"/>
    <col min="21" max="16384" width="8.88671875" style="1"/>
  </cols>
  <sheetData>
    <row r="1" spans="1:14" s="3" customFormat="1" ht="57.6" x14ac:dyDescent="0.3">
      <c r="A1" s="31" t="s">
        <v>61</v>
      </c>
      <c r="B1" s="4" t="s">
        <v>63</v>
      </c>
      <c r="C1" s="4" t="s">
        <v>65</v>
      </c>
      <c r="D1" s="4" t="s">
        <v>62</v>
      </c>
      <c r="E1" s="4" t="s">
        <v>64</v>
      </c>
      <c r="F1" s="4" t="s">
        <v>66</v>
      </c>
      <c r="G1" s="4" t="s">
        <v>69</v>
      </c>
      <c r="H1" s="4" t="s">
        <v>67</v>
      </c>
      <c r="I1" s="4" t="s">
        <v>60</v>
      </c>
      <c r="J1" s="3" t="s">
        <v>0</v>
      </c>
    </row>
    <row r="2" spans="1:14" x14ac:dyDescent="0.3">
      <c r="A2" s="6">
        <v>1</v>
      </c>
      <c r="B2" s="2">
        <v>0</v>
      </c>
      <c r="C2" s="2">
        <v>74</v>
      </c>
      <c r="D2" s="2">
        <f t="shared" ref="D2:D8" si="0">ROUNDUP(C2/8,0)</f>
        <v>10</v>
      </c>
      <c r="E2" s="2">
        <f t="shared" ref="E2:E8" si="1">B2+D2</f>
        <v>10</v>
      </c>
    </row>
    <row r="3" spans="1:14" x14ac:dyDescent="0.3">
      <c r="A3" s="6">
        <v>2</v>
      </c>
      <c r="B3" s="2">
        <f t="shared" ref="B3:B8" si="2">E2+1</f>
        <v>11</v>
      </c>
      <c r="C3" s="2">
        <v>66</v>
      </c>
      <c r="D3" s="2">
        <f t="shared" si="0"/>
        <v>9</v>
      </c>
      <c r="E3" s="2">
        <f t="shared" si="1"/>
        <v>20</v>
      </c>
    </row>
    <row r="4" spans="1:14" x14ac:dyDescent="0.3">
      <c r="A4" s="6">
        <v>3</v>
      </c>
      <c r="B4" s="2">
        <f t="shared" si="2"/>
        <v>21</v>
      </c>
      <c r="C4" s="2">
        <v>94</v>
      </c>
      <c r="D4" s="2">
        <f t="shared" si="0"/>
        <v>12</v>
      </c>
      <c r="E4" s="2">
        <f t="shared" si="1"/>
        <v>33</v>
      </c>
    </row>
    <row r="5" spans="1:14" x14ac:dyDescent="0.3">
      <c r="A5" s="6">
        <v>4</v>
      </c>
      <c r="B5" s="2">
        <f t="shared" si="2"/>
        <v>34</v>
      </c>
      <c r="C5" s="2">
        <v>5858</v>
      </c>
      <c r="D5" s="2">
        <f t="shared" si="0"/>
        <v>733</v>
      </c>
      <c r="E5" s="2">
        <f t="shared" si="1"/>
        <v>767</v>
      </c>
      <c r="F5" s="2">
        <f>14+20+32</f>
        <v>66</v>
      </c>
      <c r="G5" s="2">
        <f>F5+6</f>
        <v>72</v>
      </c>
      <c r="H5" s="2">
        <f>ROUNDUP(G5/8,0)+1</f>
        <v>10</v>
      </c>
    </row>
    <row r="6" spans="1:14" x14ac:dyDescent="0.3">
      <c r="A6" s="6">
        <v>5</v>
      </c>
      <c r="B6" s="2">
        <f t="shared" si="2"/>
        <v>768</v>
      </c>
      <c r="C6" s="2">
        <v>2466</v>
      </c>
      <c r="D6" s="2">
        <f t="shared" si="0"/>
        <v>309</v>
      </c>
      <c r="E6" s="2">
        <f t="shared" si="1"/>
        <v>1077</v>
      </c>
    </row>
    <row r="7" spans="1:14" x14ac:dyDescent="0.3">
      <c r="A7" s="6">
        <v>6</v>
      </c>
      <c r="B7" s="2">
        <f t="shared" si="2"/>
        <v>1078</v>
      </c>
      <c r="C7" s="2">
        <v>66</v>
      </c>
      <c r="D7" s="2">
        <f t="shared" si="0"/>
        <v>9</v>
      </c>
      <c r="E7" s="2">
        <f t="shared" si="1"/>
        <v>1087</v>
      </c>
    </row>
    <row r="8" spans="1:14" x14ac:dyDescent="0.3">
      <c r="A8" s="6">
        <v>7</v>
      </c>
      <c r="B8" s="2">
        <f t="shared" si="2"/>
        <v>1088</v>
      </c>
      <c r="C8" s="2">
        <v>66</v>
      </c>
      <c r="D8" s="2">
        <f t="shared" si="0"/>
        <v>9</v>
      </c>
      <c r="E8" s="2">
        <f t="shared" si="1"/>
        <v>1097</v>
      </c>
    </row>
    <row r="9" spans="1:14" x14ac:dyDescent="0.3">
      <c r="L9" s="71"/>
      <c r="M9" s="71"/>
      <c r="N9" s="71"/>
    </row>
    <row r="10" spans="1:14" x14ac:dyDescent="0.3">
      <c r="B10" s="2">
        <f>8*16</f>
        <v>128</v>
      </c>
      <c r="F10" s="2" t="s">
        <v>68</v>
      </c>
    </row>
    <row r="13" spans="1:14" x14ac:dyDescent="0.3">
      <c r="D13" s="5" t="s">
        <v>70</v>
      </c>
      <c r="E13" s="2">
        <f>B5+H5</f>
        <v>44</v>
      </c>
    </row>
    <row r="14" spans="1:14" x14ac:dyDescent="0.3">
      <c r="D14" s="5" t="s">
        <v>71</v>
      </c>
      <c r="E14" s="2">
        <f>16</f>
        <v>16</v>
      </c>
    </row>
    <row r="15" spans="1:14" x14ac:dyDescent="0.3">
      <c r="D15" s="5" t="s">
        <v>71</v>
      </c>
      <c r="E15" s="2">
        <f>E13+E14-1</f>
        <v>59</v>
      </c>
    </row>
    <row r="16" spans="1:14" x14ac:dyDescent="0.3">
      <c r="D16" s="5" t="s">
        <v>72</v>
      </c>
      <c r="E16" s="2">
        <f>E15+1</f>
        <v>60</v>
      </c>
    </row>
    <row r="20" spans="1:10" x14ac:dyDescent="0.3">
      <c r="A20" s="6" t="s">
        <v>73</v>
      </c>
    </row>
    <row r="22" spans="1:10" x14ac:dyDescent="0.3">
      <c r="A22" s="32"/>
      <c r="B22" s="1"/>
      <c r="C22" s="1"/>
      <c r="D22" s="1"/>
      <c r="E22" s="1" t="s">
        <v>74</v>
      </c>
      <c r="F22" s="1" t="s">
        <v>75</v>
      </c>
      <c r="G22" s="1"/>
      <c r="H22" s="1"/>
      <c r="I22" s="1"/>
    </row>
    <row r="23" spans="1:10" x14ac:dyDescent="0.3">
      <c r="A23" s="32"/>
      <c r="B23" s="1"/>
      <c r="C23" s="1"/>
      <c r="D23" s="1"/>
      <c r="E23" s="1"/>
      <c r="F23" s="1"/>
      <c r="G23" s="1"/>
      <c r="H23" s="1"/>
      <c r="I23" s="1"/>
    </row>
    <row r="24" spans="1:10" x14ac:dyDescent="0.3">
      <c r="A24" s="32"/>
      <c r="B24" s="1" t="s">
        <v>76</v>
      </c>
      <c r="C24" s="1" t="s">
        <v>77</v>
      </c>
      <c r="D24" s="1" t="s">
        <v>78</v>
      </c>
      <c r="E24" s="1" t="s">
        <v>79</v>
      </c>
      <c r="F24" s="1" t="s">
        <v>80</v>
      </c>
      <c r="G24" s="1" t="s">
        <v>81</v>
      </c>
      <c r="H24" s="1" t="s">
        <v>82</v>
      </c>
      <c r="I24" s="1"/>
    </row>
    <row r="25" spans="1:10" x14ac:dyDescent="0.3">
      <c r="A25" s="32"/>
      <c r="B25" s="30" t="s">
        <v>83</v>
      </c>
      <c r="C25" s="30" t="s">
        <v>84</v>
      </c>
      <c r="D25" s="30" t="s">
        <v>84</v>
      </c>
      <c r="E25" s="30" t="s">
        <v>85</v>
      </c>
      <c r="F25" s="30" t="s">
        <v>86</v>
      </c>
      <c r="G25" s="30" t="s">
        <v>84</v>
      </c>
      <c r="H25" s="30" t="s">
        <v>85</v>
      </c>
      <c r="I25" s="1"/>
    </row>
    <row r="26" spans="1:10" x14ac:dyDescent="0.3">
      <c r="A26" s="32">
        <f>SUM(B26:H26)</f>
        <v>171</v>
      </c>
      <c r="B26" s="1">
        <v>2</v>
      </c>
      <c r="C26" s="1">
        <v>8</v>
      </c>
      <c r="D26" s="1">
        <v>8</v>
      </c>
      <c r="E26" s="1">
        <v>72</v>
      </c>
      <c r="F26" s="1">
        <v>1</v>
      </c>
      <c r="G26" s="1">
        <v>8</v>
      </c>
      <c r="H26" s="1">
        <f>72</f>
        <v>72</v>
      </c>
      <c r="I26" s="1"/>
    </row>
    <row r="27" spans="1:10" x14ac:dyDescent="0.3">
      <c r="A27" s="32"/>
      <c r="B27" s="1"/>
      <c r="C27" s="1"/>
      <c r="D27" s="1"/>
      <c r="E27" s="1"/>
      <c r="F27" s="1"/>
      <c r="G27" s="1"/>
      <c r="H27" s="1"/>
      <c r="I27" s="1"/>
    </row>
    <row r="28" spans="1:10" x14ac:dyDescent="0.3">
      <c r="A28" s="87" t="s">
        <v>361</v>
      </c>
      <c r="B28" s="87"/>
      <c r="C28" s="87"/>
      <c r="D28" s="87"/>
      <c r="E28" s="87"/>
      <c r="F28" s="1"/>
    </row>
    <row r="29" spans="1:10" x14ac:dyDescent="0.3">
      <c r="A29" s="88"/>
      <c r="B29" s="89" t="s">
        <v>132</v>
      </c>
      <c r="C29" s="89" t="s">
        <v>133</v>
      </c>
      <c r="D29" s="89" t="s">
        <v>134</v>
      </c>
      <c r="E29" s="89"/>
      <c r="F29" s="1"/>
      <c r="G29" s="85" t="s">
        <v>355</v>
      </c>
      <c r="H29" s="85"/>
      <c r="I29" s="85"/>
      <c r="J29" s="85"/>
    </row>
    <row r="30" spans="1:10" x14ac:dyDescent="0.3">
      <c r="A30" s="88" t="s">
        <v>135</v>
      </c>
      <c r="B30" s="89"/>
      <c r="C30" s="89"/>
      <c r="D30" s="89">
        <v>1</v>
      </c>
      <c r="E30" s="89">
        <f t="shared" ref="E30:E44" si="3">SUM(B30:D30)</f>
        <v>1</v>
      </c>
      <c r="F30" s="1"/>
      <c r="G30" s="2" t="s">
        <v>358</v>
      </c>
      <c r="H30" s="2" t="s">
        <v>359</v>
      </c>
      <c r="I30" s="2" t="s">
        <v>357</v>
      </c>
      <c r="J30" s="1" t="s">
        <v>360</v>
      </c>
    </row>
    <row r="31" spans="1:10" x14ac:dyDescent="0.3">
      <c r="A31" s="88" t="s">
        <v>136</v>
      </c>
      <c r="B31" s="89"/>
      <c r="C31" s="89"/>
      <c r="D31" s="89">
        <v>1</v>
      </c>
      <c r="E31" s="89">
        <f t="shared" si="3"/>
        <v>1</v>
      </c>
      <c r="F31" s="1"/>
      <c r="G31" s="1" t="s">
        <v>87</v>
      </c>
      <c r="H31" s="86" t="s">
        <v>356</v>
      </c>
      <c r="I31" s="1" t="s">
        <v>88</v>
      </c>
      <c r="J31" s="1">
        <v>32</v>
      </c>
    </row>
    <row r="32" spans="1:10" x14ac:dyDescent="0.3">
      <c r="A32" s="88" t="s">
        <v>137</v>
      </c>
      <c r="B32" s="89"/>
      <c r="C32" s="89"/>
      <c r="D32" s="89">
        <v>2</v>
      </c>
      <c r="E32" s="89">
        <f t="shared" si="3"/>
        <v>2</v>
      </c>
      <c r="F32" s="1"/>
      <c r="G32" s="1" t="s">
        <v>89</v>
      </c>
      <c r="H32" s="1">
        <v>32</v>
      </c>
      <c r="I32" s="1" t="s">
        <v>90</v>
      </c>
      <c r="J32" s="1">
        <v>32</v>
      </c>
    </row>
    <row r="33" spans="1:11" x14ac:dyDescent="0.3">
      <c r="A33" s="88" t="s">
        <v>138</v>
      </c>
      <c r="B33" s="89">
        <v>1</v>
      </c>
      <c r="C33" s="89">
        <v>1</v>
      </c>
      <c r="D33" s="89">
        <v>1</v>
      </c>
      <c r="E33" s="89">
        <f t="shared" si="3"/>
        <v>3</v>
      </c>
      <c r="F33" s="1"/>
      <c r="G33" s="1" t="s">
        <v>91</v>
      </c>
      <c r="H33" s="1" t="s">
        <v>84</v>
      </c>
      <c r="I33" s="1" t="s">
        <v>92</v>
      </c>
      <c r="J33" s="1">
        <v>8</v>
      </c>
    </row>
    <row r="34" spans="1:11" x14ac:dyDescent="0.3">
      <c r="A34" s="88" t="s">
        <v>139</v>
      </c>
      <c r="B34" s="89"/>
      <c r="C34" s="89"/>
      <c r="D34" s="89">
        <v>1</v>
      </c>
      <c r="E34" s="89">
        <f t="shared" si="3"/>
        <v>1</v>
      </c>
      <c r="F34" s="1"/>
      <c r="G34" s="1" t="s">
        <v>91</v>
      </c>
      <c r="H34" s="1" t="s">
        <v>93</v>
      </c>
      <c r="I34" s="1" t="s">
        <v>94</v>
      </c>
      <c r="J34" s="1">
        <v>8</v>
      </c>
    </row>
    <row r="35" spans="1:11" x14ac:dyDescent="0.3">
      <c r="A35" s="88" t="s">
        <v>140</v>
      </c>
      <c r="B35" s="89"/>
      <c r="C35" s="89"/>
      <c r="D35" s="89">
        <v>1</v>
      </c>
      <c r="E35" s="89">
        <f t="shared" si="3"/>
        <v>1</v>
      </c>
      <c r="F35" s="1"/>
      <c r="G35" s="1" t="s">
        <v>91</v>
      </c>
      <c r="H35" s="1" t="s">
        <v>95</v>
      </c>
      <c r="I35" s="1" t="s">
        <v>96</v>
      </c>
      <c r="J35" s="1">
        <v>1</v>
      </c>
    </row>
    <row r="36" spans="1:11" x14ac:dyDescent="0.3">
      <c r="A36" s="88" t="s">
        <v>141</v>
      </c>
      <c r="B36" s="89"/>
      <c r="C36" s="89"/>
      <c r="D36" s="89">
        <v>2</v>
      </c>
      <c r="E36" s="89">
        <f t="shared" si="3"/>
        <v>2</v>
      </c>
      <c r="F36" s="1"/>
      <c r="G36" s="1" t="s">
        <v>91</v>
      </c>
      <c r="H36" s="1" t="s">
        <v>97</v>
      </c>
      <c r="I36" s="1" t="s">
        <v>98</v>
      </c>
      <c r="J36" s="1">
        <f>31-17+1</f>
        <v>15</v>
      </c>
    </row>
    <row r="37" spans="1:11" x14ac:dyDescent="0.3">
      <c r="A37" s="88" t="s">
        <v>142</v>
      </c>
      <c r="B37" s="89">
        <v>2</v>
      </c>
      <c r="C37" s="89">
        <v>2</v>
      </c>
      <c r="D37" s="89"/>
      <c r="E37" s="89">
        <f t="shared" si="3"/>
        <v>4</v>
      </c>
      <c r="F37" s="1"/>
      <c r="G37" s="1" t="s">
        <v>99</v>
      </c>
      <c r="H37" s="1" t="s">
        <v>100</v>
      </c>
      <c r="I37" s="1" t="s">
        <v>101</v>
      </c>
      <c r="J37" s="1">
        <f>16-0+1</f>
        <v>17</v>
      </c>
      <c r="K37" s="1">
        <f>SUM(J36:J37)</f>
        <v>32</v>
      </c>
    </row>
    <row r="38" spans="1:11" x14ac:dyDescent="0.3">
      <c r="A38" s="88" t="s">
        <v>143</v>
      </c>
      <c r="B38" s="89">
        <v>2</v>
      </c>
      <c r="C38" s="89">
        <v>2</v>
      </c>
      <c r="D38" s="89"/>
      <c r="E38" s="89">
        <f t="shared" si="3"/>
        <v>4</v>
      </c>
      <c r="F38" s="1"/>
      <c r="G38" s="1" t="s">
        <v>99</v>
      </c>
      <c r="H38" s="1" t="s">
        <v>97</v>
      </c>
      <c r="I38" s="1" t="s">
        <v>102</v>
      </c>
      <c r="J38" s="1">
        <f>31-17+1</f>
        <v>15</v>
      </c>
    </row>
    <row r="39" spans="1:11" x14ac:dyDescent="0.3">
      <c r="A39" s="88" t="s">
        <v>144</v>
      </c>
      <c r="B39" s="89">
        <v>8</v>
      </c>
      <c r="C39" s="89">
        <v>8</v>
      </c>
      <c r="D39" s="89"/>
      <c r="E39" s="89">
        <f t="shared" si="3"/>
        <v>16</v>
      </c>
      <c r="F39" s="1"/>
      <c r="G39" s="1" t="s">
        <v>103</v>
      </c>
      <c r="H39" s="1" t="s">
        <v>100</v>
      </c>
      <c r="I39" s="1" t="s">
        <v>104</v>
      </c>
      <c r="J39" s="1">
        <f>16-0+1</f>
        <v>17</v>
      </c>
      <c r="K39" s="1">
        <f>SUM(J38:J39)</f>
        <v>32</v>
      </c>
    </row>
    <row r="40" spans="1:11" x14ac:dyDescent="0.3">
      <c r="A40" s="88" t="s">
        <v>145</v>
      </c>
      <c r="B40" s="89">
        <v>8</v>
      </c>
      <c r="C40" s="89">
        <v>8</v>
      </c>
      <c r="D40" s="89"/>
      <c r="E40" s="89">
        <f t="shared" si="3"/>
        <v>16</v>
      </c>
      <c r="F40" s="1"/>
      <c r="G40" s="1" t="s">
        <v>103</v>
      </c>
      <c r="H40" s="1" t="s">
        <v>105</v>
      </c>
      <c r="I40" s="1" t="s">
        <v>106</v>
      </c>
      <c r="J40" s="1">
        <f>24-17+1</f>
        <v>8</v>
      </c>
    </row>
    <row r="41" spans="1:11" x14ac:dyDescent="0.3">
      <c r="A41" s="88" t="s">
        <v>146</v>
      </c>
      <c r="B41" s="89">
        <v>72</v>
      </c>
      <c r="C41" s="89">
        <v>72</v>
      </c>
      <c r="D41" s="89"/>
      <c r="E41" s="89">
        <f t="shared" si="3"/>
        <v>144</v>
      </c>
      <c r="F41" s="1"/>
      <c r="G41" s="1" t="s">
        <v>103</v>
      </c>
      <c r="H41" s="1" t="s">
        <v>107</v>
      </c>
      <c r="I41" s="1" t="s">
        <v>108</v>
      </c>
      <c r="J41" s="1">
        <f>31-25+1</f>
        <v>7</v>
      </c>
    </row>
    <row r="42" spans="1:11" x14ac:dyDescent="0.3">
      <c r="A42" s="88" t="s">
        <v>147</v>
      </c>
      <c r="B42" s="89">
        <v>1</v>
      </c>
      <c r="C42" s="89">
        <v>1</v>
      </c>
      <c r="D42" s="89"/>
      <c r="E42" s="89">
        <f t="shared" si="3"/>
        <v>2</v>
      </c>
      <c r="G42" s="1" t="s">
        <v>109</v>
      </c>
      <c r="H42" s="1" t="s">
        <v>110</v>
      </c>
      <c r="I42" s="1" t="s">
        <v>108</v>
      </c>
      <c r="J42" s="1">
        <v>1</v>
      </c>
    </row>
    <row r="43" spans="1:11" x14ac:dyDescent="0.3">
      <c r="A43" s="88" t="s">
        <v>148</v>
      </c>
      <c r="B43" s="89">
        <v>8</v>
      </c>
      <c r="C43" s="89">
        <v>8</v>
      </c>
      <c r="D43" s="89"/>
      <c r="E43" s="89">
        <f t="shared" si="3"/>
        <v>16</v>
      </c>
      <c r="G43" s="1" t="s">
        <v>109</v>
      </c>
      <c r="H43" s="1" t="s">
        <v>111</v>
      </c>
      <c r="I43" s="1" t="s">
        <v>112</v>
      </c>
      <c r="J43" s="1">
        <f>8-1+1</f>
        <v>8</v>
      </c>
    </row>
    <row r="44" spans="1:11" x14ac:dyDescent="0.3">
      <c r="A44" s="88" t="s">
        <v>149</v>
      </c>
      <c r="B44" s="89">
        <v>72</v>
      </c>
      <c r="C44" s="89">
        <v>72</v>
      </c>
      <c r="D44" s="89"/>
      <c r="E44" s="89">
        <f t="shared" si="3"/>
        <v>144</v>
      </c>
      <c r="G44" s="1" t="s">
        <v>109</v>
      </c>
      <c r="H44" s="1" t="s">
        <v>113</v>
      </c>
      <c r="I44" s="1" t="s">
        <v>114</v>
      </c>
      <c r="J44" s="1">
        <v>2</v>
      </c>
    </row>
    <row r="45" spans="1:11" x14ac:dyDescent="0.3">
      <c r="A45" s="88"/>
      <c r="B45" s="89"/>
      <c r="C45" s="89"/>
      <c r="D45" s="89"/>
      <c r="E45" s="89">
        <f>SUM(B30:B44,$D30:$D44)</f>
        <v>183</v>
      </c>
      <c r="G45" s="1" t="s">
        <v>109</v>
      </c>
      <c r="H45" s="1" t="s">
        <v>131</v>
      </c>
      <c r="I45" s="2" t="s">
        <v>130</v>
      </c>
      <c r="J45" s="1">
        <v>2</v>
      </c>
    </row>
    <row r="46" spans="1:11" x14ac:dyDescent="0.3">
      <c r="G46" s="1" t="s">
        <v>109</v>
      </c>
      <c r="H46" s="1" t="s">
        <v>151</v>
      </c>
      <c r="I46" s="2" t="s">
        <v>150</v>
      </c>
      <c r="J46" s="1">
        <v>2</v>
      </c>
    </row>
    <row r="47" spans="1:11" x14ac:dyDescent="0.3">
      <c r="G47" s="1" t="s">
        <v>109</v>
      </c>
      <c r="H47" s="1" t="s">
        <v>153</v>
      </c>
      <c r="I47" s="2" t="s">
        <v>152</v>
      </c>
      <c r="J47" s="1">
        <v>1</v>
      </c>
    </row>
    <row r="48" spans="1:11" x14ac:dyDescent="0.3">
      <c r="G48" s="1" t="s">
        <v>109</v>
      </c>
      <c r="H48" s="1" t="s">
        <v>155</v>
      </c>
      <c r="I48" s="2" t="s">
        <v>154</v>
      </c>
      <c r="J48" s="1">
        <v>1</v>
      </c>
    </row>
    <row r="49" spans="6:10" x14ac:dyDescent="0.3">
      <c r="G49" s="1" t="s">
        <v>109</v>
      </c>
      <c r="H49" s="1" t="s">
        <v>158</v>
      </c>
      <c r="I49" s="2" t="s">
        <v>156</v>
      </c>
      <c r="J49" s="1">
        <v>1</v>
      </c>
    </row>
    <row r="50" spans="6:10" x14ac:dyDescent="0.3">
      <c r="G50" s="1" t="s">
        <v>109</v>
      </c>
      <c r="H50" s="1" t="s">
        <v>159</v>
      </c>
      <c r="I50" s="2" t="s">
        <v>157</v>
      </c>
      <c r="J50" s="1">
        <v>1</v>
      </c>
    </row>
    <row r="51" spans="6:10" x14ac:dyDescent="0.3">
      <c r="G51" s="1" t="s">
        <v>109</v>
      </c>
      <c r="H51" s="1" t="s">
        <v>161</v>
      </c>
      <c r="I51" s="2" t="s">
        <v>160</v>
      </c>
      <c r="J51" s="1">
        <v>2</v>
      </c>
    </row>
    <row r="52" spans="6:10" x14ac:dyDescent="0.3">
      <c r="F52" s="2">
        <f>218-26+1</f>
        <v>193</v>
      </c>
      <c r="G52" s="1" t="s">
        <v>109</v>
      </c>
      <c r="H52" s="1" t="s">
        <v>163</v>
      </c>
      <c r="I52" s="2" t="s">
        <v>162</v>
      </c>
      <c r="J52" s="1">
        <v>1</v>
      </c>
    </row>
    <row r="53" spans="6:10" x14ac:dyDescent="0.3">
      <c r="G53" s="1" t="s">
        <v>109</v>
      </c>
      <c r="H53" s="1" t="s">
        <v>165</v>
      </c>
      <c r="I53" s="2" t="s">
        <v>164</v>
      </c>
      <c r="J53" s="1">
        <v>1</v>
      </c>
    </row>
  </sheetData>
  <mergeCells count="3">
    <mergeCell ref="L9:N9"/>
    <mergeCell ref="G29:J29"/>
    <mergeCell ref="A28:E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8A4F-0024-4945-B628-DE4466340293}">
  <sheetPr filterMode="1"/>
  <dimension ref="A1:K38"/>
  <sheetViews>
    <sheetView showGridLines="0" workbookViewId="0">
      <pane ySplit="9" topLeftCell="A10" activePane="bottomLeft" state="frozen"/>
      <selection pane="bottomLeft" sqref="A1:J38"/>
    </sheetView>
  </sheetViews>
  <sheetFormatPr defaultRowHeight="13.8" x14ac:dyDescent="0.3"/>
  <cols>
    <col min="1" max="1" width="5.88671875" style="7" bestFit="1" customWidth="1"/>
    <col min="2" max="2" width="15.77734375" style="7" bestFit="1" customWidth="1"/>
    <col min="3" max="3" width="46" style="7" bestFit="1" customWidth="1"/>
    <col min="4" max="4" width="15.5546875" style="7" bestFit="1" customWidth="1"/>
    <col min="5" max="6" width="15.77734375" style="7" bestFit="1" customWidth="1"/>
    <col min="7" max="7" width="25.88671875" style="7" bestFit="1" customWidth="1"/>
    <col min="8" max="8" width="19.5546875" style="7" bestFit="1" customWidth="1"/>
    <col min="9" max="9" width="10.77734375" style="7" bestFit="1" customWidth="1"/>
    <col min="10" max="10" width="12" style="7" bestFit="1" customWidth="1"/>
    <col min="11" max="11" width="16.6640625" style="7" bestFit="1" customWidth="1"/>
    <col min="12" max="16384" width="8.88671875" style="7"/>
  </cols>
  <sheetData>
    <row r="1" spans="1:11" x14ac:dyDescent="0.3">
      <c r="A1" s="15" t="s">
        <v>1</v>
      </c>
      <c r="B1" s="75" t="s">
        <v>2</v>
      </c>
      <c r="C1" s="76"/>
      <c r="D1" s="76"/>
      <c r="E1" s="76"/>
      <c r="F1" s="76"/>
      <c r="G1" s="76"/>
      <c r="H1" s="76"/>
      <c r="I1" s="16"/>
      <c r="J1" s="17"/>
    </row>
    <row r="2" spans="1:11" x14ac:dyDescent="0.3">
      <c r="A2" s="15"/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6"/>
      <c r="J2" s="17"/>
    </row>
    <row r="3" spans="1:11" x14ac:dyDescent="0.3">
      <c r="A3" s="15"/>
      <c r="B3" s="18" t="s">
        <v>10</v>
      </c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  <c r="H3" s="18" t="s">
        <v>16</v>
      </c>
      <c r="I3" s="16"/>
      <c r="J3" s="17"/>
    </row>
    <row r="4" spans="1:11" x14ac:dyDescent="0.3">
      <c r="A4" s="15"/>
      <c r="B4" s="18" t="s">
        <v>17</v>
      </c>
      <c r="C4" s="75" t="s">
        <v>18</v>
      </c>
      <c r="D4" s="77"/>
      <c r="E4" s="18" t="s">
        <v>13</v>
      </c>
      <c r="F4" s="18" t="s">
        <v>14</v>
      </c>
      <c r="G4" s="18" t="s">
        <v>15</v>
      </c>
      <c r="H4" s="18" t="s">
        <v>16</v>
      </c>
      <c r="I4" s="16"/>
      <c r="J4" s="17"/>
    </row>
    <row r="5" spans="1:11" x14ac:dyDescent="0.3">
      <c r="A5" s="15"/>
      <c r="B5" s="18" t="s">
        <v>19</v>
      </c>
      <c r="C5" s="18" t="s">
        <v>20</v>
      </c>
      <c r="D5" s="18" t="s">
        <v>12</v>
      </c>
      <c r="E5" s="18" t="s">
        <v>13</v>
      </c>
      <c r="F5" s="18" t="s">
        <v>14</v>
      </c>
      <c r="G5" s="18" t="s">
        <v>21</v>
      </c>
      <c r="H5" s="18" t="s">
        <v>16</v>
      </c>
      <c r="I5" s="16"/>
      <c r="J5" s="17"/>
    </row>
    <row r="6" spans="1:11" x14ac:dyDescent="0.3">
      <c r="A6" s="15"/>
      <c r="B6" s="18" t="s">
        <v>22</v>
      </c>
      <c r="C6" s="18" t="s">
        <v>23</v>
      </c>
      <c r="D6" s="18" t="s">
        <v>12</v>
      </c>
      <c r="E6" s="18" t="s">
        <v>13</v>
      </c>
      <c r="F6" s="18" t="s">
        <v>14</v>
      </c>
      <c r="G6" s="18" t="s">
        <v>24</v>
      </c>
      <c r="H6" s="18" t="s">
        <v>16</v>
      </c>
      <c r="I6" s="16"/>
      <c r="J6" s="17"/>
    </row>
    <row r="7" spans="1:11" x14ac:dyDescent="0.3">
      <c r="A7" s="15"/>
      <c r="B7" s="18" t="s">
        <v>25</v>
      </c>
      <c r="C7" s="75" t="s">
        <v>26</v>
      </c>
      <c r="D7" s="76"/>
      <c r="E7" s="76"/>
      <c r="F7" s="77"/>
      <c r="G7" s="18" t="s">
        <v>15</v>
      </c>
      <c r="H7" s="18" t="s">
        <v>16</v>
      </c>
      <c r="I7" s="16"/>
      <c r="J7" s="17"/>
    </row>
    <row r="8" spans="1:11" x14ac:dyDescent="0.3">
      <c r="A8" s="15"/>
      <c r="B8" s="18" t="s">
        <v>27</v>
      </c>
      <c r="C8" s="75" t="s">
        <v>28</v>
      </c>
      <c r="D8" s="76"/>
      <c r="E8" s="76"/>
      <c r="F8" s="77"/>
      <c r="G8" s="18" t="s">
        <v>15</v>
      </c>
      <c r="H8" s="18" t="s">
        <v>16</v>
      </c>
      <c r="I8" s="19"/>
      <c r="J8" s="20"/>
    </row>
    <row r="9" spans="1:11" s="8" customFormat="1" x14ac:dyDescent="0.3">
      <c r="A9" s="26"/>
      <c r="B9" s="27" t="s">
        <v>3</v>
      </c>
      <c r="C9" s="27"/>
      <c r="D9" s="27"/>
      <c r="E9" s="27"/>
      <c r="F9" s="27"/>
      <c r="G9" s="27"/>
      <c r="H9" s="27"/>
      <c r="I9" s="28" t="s">
        <v>29</v>
      </c>
      <c r="J9" s="29" t="s">
        <v>57</v>
      </c>
      <c r="K9" s="29" t="s">
        <v>128</v>
      </c>
    </row>
    <row r="10" spans="1:11" x14ac:dyDescent="0.3">
      <c r="A10" s="21">
        <v>1</v>
      </c>
      <c r="B10" s="22" t="s">
        <v>30</v>
      </c>
      <c r="C10" s="22" t="s">
        <v>23</v>
      </c>
      <c r="D10" s="22" t="s">
        <v>12</v>
      </c>
      <c r="E10" s="22" t="s">
        <v>13</v>
      </c>
      <c r="F10" s="23" t="s">
        <v>117</v>
      </c>
      <c r="G10" s="22" t="s">
        <v>24</v>
      </c>
      <c r="H10" s="22">
        <v>1100011</v>
      </c>
      <c r="I10" s="24" t="s">
        <v>22</v>
      </c>
      <c r="J10" s="25" t="s">
        <v>33</v>
      </c>
    </row>
    <row r="11" spans="1:11" hidden="1" x14ac:dyDescent="0.3">
      <c r="A11" s="12">
        <v>2</v>
      </c>
      <c r="B11" s="12" t="s">
        <v>31</v>
      </c>
      <c r="C11" s="12" t="s">
        <v>23</v>
      </c>
      <c r="D11" s="12" t="s">
        <v>12</v>
      </c>
      <c r="E11" s="12" t="s">
        <v>13</v>
      </c>
      <c r="F11" s="12">
        <v>1</v>
      </c>
      <c r="G11" s="12" t="s">
        <v>24</v>
      </c>
      <c r="H11" s="12">
        <v>1100011</v>
      </c>
      <c r="I11" s="13" t="s">
        <v>22</v>
      </c>
      <c r="J11" s="14"/>
    </row>
    <row r="12" spans="1:11" x14ac:dyDescent="0.3">
      <c r="A12" s="21">
        <v>3</v>
      </c>
      <c r="B12" s="22" t="s">
        <v>32</v>
      </c>
      <c r="C12" s="22" t="s">
        <v>23</v>
      </c>
      <c r="D12" s="22" t="s">
        <v>12</v>
      </c>
      <c r="E12" s="22" t="s">
        <v>13</v>
      </c>
      <c r="F12" s="22">
        <v>100</v>
      </c>
      <c r="G12" s="22" t="s">
        <v>24</v>
      </c>
      <c r="H12" s="22">
        <v>1100011</v>
      </c>
      <c r="I12" s="24" t="s">
        <v>22</v>
      </c>
      <c r="J12" s="25" t="s">
        <v>33</v>
      </c>
    </row>
    <row r="13" spans="1:11" hidden="1" x14ac:dyDescent="0.3">
      <c r="A13" s="12">
        <v>4</v>
      </c>
      <c r="B13" s="12" t="s">
        <v>34</v>
      </c>
      <c r="C13" s="12" t="s">
        <v>23</v>
      </c>
      <c r="D13" s="12" t="s">
        <v>12</v>
      </c>
      <c r="E13" s="12" t="s">
        <v>13</v>
      </c>
      <c r="F13" s="12">
        <v>101</v>
      </c>
      <c r="G13" s="12" t="s">
        <v>24</v>
      </c>
      <c r="H13" s="12">
        <v>1100011</v>
      </c>
      <c r="I13" s="13" t="s">
        <v>22</v>
      </c>
      <c r="J13" s="14"/>
    </row>
    <row r="14" spans="1:11" hidden="1" x14ac:dyDescent="0.3">
      <c r="A14" s="9">
        <v>5</v>
      </c>
      <c r="B14" s="9" t="s">
        <v>35</v>
      </c>
      <c r="C14" s="9" t="s">
        <v>23</v>
      </c>
      <c r="D14" s="9" t="s">
        <v>12</v>
      </c>
      <c r="E14" s="9" t="s">
        <v>13</v>
      </c>
      <c r="F14" s="9">
        <v>110</v>
      </c>
      <c r="G14" s="9" t="s">
        <v>24</v>
      </c>
      <c r="H14" s="9">
        <v>1100011</v>
      </c>
      <c r="I14" s="10" t="s">
        <v>22</v>
      </c>
      <c r="J14" s="11"/>
    </row>
    <row r="15" spans="1:11" hidden="1" x14ac:dyDescent="0.3">
      <c r="A15" s="9">
        <v>6</v>
      </c>
      <c r="B15" s="9" t="s">
        <v>36</v>
      </c>
      <c r="C15" s="9" t="s">
        <v>23</v>
      </c>
      <c r="D15" s="9" t="s">
        <v>12</v>
      </c>
      <c r="E15" s="9" t="s">
        <v>13</v>
      </c>
      <c r="F15" s="9">
        <v>111</v>
      </c>
      <c r="G15" s="9" t="s">
        <v>24</v>
      </c>
      <c r="H15" s="9">
        <v>1100011</v>
      </c>
      <c r="I15" s="10" t="s">
        <v>22</v>
      </c>
      <c r="J15" s="11"/>
    </row>
    <row r="16" spans="1:11" x14ac:dyDescent="0.3">
      <c r="A16" s="21">
        <v>7</v>
      </c>
      <c r="B16" s="22" t="s">
        <v>37</v>
      </c>
      <c r="C16" s="72" t="s">
        <v>28</v>
      </c>
      <c r="D16" s="72"/>
      <c r="E16" s="72"/>
      <c r="F16" s="72"/>
      <c r="G16" s="22" t="s">
        <v>15</v>
      </c>
      <c r="H16" s="22">
        <v>1101111</v>
      </c>
      <c r="I16" s="24" t="s">
        <v>27</v>
      </c>
      <c r="J16" s="25" t="s">
        <v>33</v>
      </c>
    </row>
    <row r="17" spans="1:10" hidden="1" x14ac:dyDescent="0.3">
      <c r="A17" s="12">
        <v>8</v>
      </c>
      <c r="B17" s="12" t="s">
        <v>38</v>
      </c>
      <c r="C17" s="73" t="s">
        <v>18</v>
      </c>
      <c r="D17" s="73"/>
      <c r="E17" s="12" t="s">
        <v>13</v>
      </c>
      <c r="F17" s="12">
        <v>0</v>
      </c>
      <c r="G17" s="12" t="s">
        <v>15</v>
      </c>
      <c r="H17" s="12">
        <v>1100111</v>
      </c>
      <c r="I17" s="13" t="s">
        <v>27</v>
      </c>
      <c r="J17" s="14"/>
    </row>
    <row r="18" spans="1:10" x14ac:dyDescent="0.3">
      <c r="A18" s="21">
        <v>9</v>
      </c>
      <c r="B18" s="22" t="s">
        <v>39</v>
      </c>
      <c r="C18" s="22" t="s">
        <v>20</v>
      </c>
      <c r="D18" s="22" t="s">
        <v>12</v>
      </c>
      <c r="E18" s="22" t="s">
        <v>13</v>
      </c>
      <c r="F18" s="23" t="s">
        <v>119</v>
      </c>
      <c r="G18" s="22" t="s">
        <v>21</v>
      </c>
      <c r="H18" s="23" t="s">
        <v>118</v>
      </c>
      <c r="I18" s="24" t="s">
        <v>19</v>
      </c>
      <c r="J18" s="25" t="s">
        <v>33</v>
      </c>
    </row>
    <row r="19" spans="1:10" x14ac:dyDescent="0.3">
      <c r="A19" s="21">
        <v>10</v>
      </c>
      <c r="B19" s="22" t="s">
        <v>40</v>
      </c>
      <c r="C19" s="72" t="s">
        <v>18</v>
      </c>
      <c r="D19" s="72"/>
      <c r="E19" s="22" t="s">
        <v>13</v>
      </c>
      <c r="F19" s="23" t="s">
        <v>119</v>
      </c>
      <c r="G19" s="22" t="s">
        <v>15</v>
      </c>
      <c r="H19" s="23" t="s">
        <v>120</v>
      </c>
      <c r="I19" s="24" t="s">
        <v>17</v>
      </c>
      <c r="J19" s="25" t="s">
        <v>33</v>
      </c>
    </row>
    <row r="20" spans="1:10" x14ac:dyDescent="0.3">
      <c r="A20" s="21">
        <v>11</v>
      </c>
      <c r="B20" s="22" t="s">
        <v>41</v>
      </c>
      <c r="C20" s="72" t="s">
        <v>18</v>
      </c>
      <c r="D20" s="72"/>
      <c r="E20" s="22" t="s">
        <v>13</v>
      </c>
      <c r="F20" s="23" t="s">
        <v>117</v>
      </c>
      <c r="G20" s="22" t="s">
        <v>15</v>
      </c>
      <c r="H20" s="23" t="s">
        <v>121</v>
      </c>
      <c r="I20" s="24" t="s">
        <v>17</v>
      </c>
      <c r="J20" s="25" t="s">
        <v>33</v>
      </c>
    </row>
    <row r="21" spans="1:10" hidden="1" x14ac:dyDescent="0.3">
      <c r="A21" s="12">
        <v>12</v>
      </c>
      <c r="B21" s="12" t="s">
        <v>42</v>
      </c>
      <c r="C21" s="73" t="s">
        <v>18</v>
      </c>
      <c r="D21" s="73"/>
      <c r="E21" s="12" t="s">
        <v>13</v>
      </c>
      <c r="F21" s="12">
        <v>10</v>
      </c>
      <c r="G21" s="12" t="s">
        <v>15</v>
      </c>
      <c r="H21" s="12">
        <v>10011</v>
      </c>
      <c r="I21" s="13" t="s">
        <v>17</v>
      </c>
      <c r="J21" s="14"/>
    </row>
    <row r="22" spans="1:10" hidden="1" x14ac:dyDescent="0.3">
      <c r="A22" s="9">
        <v>13</v>
      </c>
      <c r="B22" s="9" t="s">
        <v>43</v>
      </c>
      <c r="C22" s="74" t="s">
        <v>18</v>
      </c>
      <c r="D22" s="74"/>
      <c r="E22" s="9" t="s">
        <v>13</v>
      </c>
      <c r="F22" s="9">
        <v>11</v>
      </c>
      <c r="G22" s="9" t="s">
        <v>15</v>
      </c>
      <c r="H22" s="9">
        <v>10011</v>
      </c>
      <c r="I22" s="10" t="s">
        <v>17</v>
      </c>
      <c r="J22" s="11"/>
    </row>
    <row r="23" spans="1:10" hidden="1" x14ac:dyDescent="0.3">
      <c r="A23" s="9">
        <v>14</v>
      </c>
      <c r="B23" s="9" t="s">
        <v>44</v>
      </c>
      <c r="C23" s="74" t="s">
        <v>18</v>
      </c>
      <c r="D23" s="74"/>
      <c r="E23" s="9" t="s">
        <v>13</v>
      </c>
      <c r="F23" s="9">
        <v>100</v>
      </c>
      <c r="G23" s="9" t="s">
        <v>15</v>
      </c>
      <c r="H23" s="9">
        <v>10011</v>
      </c>
      <c r="I23" s="10" t="s">
        <v>17</v>
      </c>
      <c r="J23" s="11"/>
    </row>
    <row r="24" spans="1:10" x14ac:dyDescent="0.3">
      <c r="A24" s="21">
        <v>15</v>
      </c>
      <c r="B24" s="22" t="s">
        <v>45</v>
      </c>
      <c r="C24" s="72" t="s">
        <v>18</v>
      </c>
      <c r="D24" s="72"/>
      <c r="E24" s="22" t="s">
        <v>13</v>
      </c>
      <c r="F24" s="22">
        <v>110</v>
      </c>
      <c r="G24" s="22" t="s">
        <v>15</v>
      </c>
      <c r="H24" s="23" t="s">
        <v>121</v>
      </c>
      <c r="I24" s="24" t="s">
        <v>17</v>
      </c>
      <c r="J24" s="25" t="s">
        <v>33</v>
      </c>
    </row>
    <row r="25" spans="1:10" x14ac:dyDescent="0.3">
      <c r="A25" s="21">
        <v>16</v>
      </c>
      <c r="B25" s="22" t="s">
        <v>46</v>
      </c>
      <c r="C25" s="72" t="s">
        <v>18</v>
      </c>
      <c r="D25" s="72"/>
      <c r="E25" s="22" t="s">
        <v>13</v>
      </c>
      <c r="F25" s="22">
        <v>111</v>
      </c>
      <c r="G25" s="22" t="s">
        <v>15</v>
      </c>
      <c r="H25" s="23" t="s">
        <v>121</v>
      </c>
      <c r="I25" s="24" t="s">
        <v>17</v>
      </c>
      <c r="J25" s="25" t="s">
        <v>33</v>
      </c>
    </row>
    <row r="26" spans="1:10" x14ac:dyDescent="0.3">
      <c r="A26" s="21">
        <v>17</v>
      </c>
      <c r="B26" s="22" t="s">
        <v>47</v>
      </c>
      <c r="C26" s="23" t="s">
        <v>127</v>
      </c>
      <c r="D26" s="22" t="s">
        <v>123</v>
      </c>
      <c r="E26" s="22" t="s">
        <v>13</v>
      </c>
      <c r="F26" s="23" t="s">
        <v>122</v>
      </c>
      <c r="G26" s="22" t="s">
        <v>15</v>
      </c>
      <c r="H26" s="23" t="s">
        <v>121</v>
      </c>
      <c r="I26" s="24" t="s">
        <v>17</v>
      </c>
      <c r="J26" s="25" t="s">
        <v>33</v>
      </c>
    </row>
    <row r="27" spans="1:10" hidden="1" x14ac:dyDescent="0.3">
      <c r="A27" s="12">
        <v>18</v>
      </c>
      <c r="B27" s="12" t="s">
        <v>49</v>
      </c>
      <c r="C27" s="12">
        <v>0</v>
      </c>
      <c r="D27" s="12" t="s">
        <v>48</v>
      </c>
      <c r="E27" s="12" t="s">
        <v>13</v>
      </c>
      <c r="F27" s="12">
        <v>101</v>
      </c>
      <c r="G27" s="12" t="s">
        <v>15</v>
      </c>
      <c r="H27" s="12">
        <v>10011</v>
      </c>
      <c r="I27" s="13" t="s">
        <v>17</v>
      </c>
      <c r="J27" s="14"/>
    </row>
    <row r="28" spans="1:10" x14ac:dyDescent="0.3">
      <c r="A28" s="21">
        <v>19</v>
      </c>
      <c r="B28" s="22" t="s">
        <v>50</v>
      </c>
      <c r="C28" s="23" t="s">
        <v>129</v>
      </c>
      <c r="D28" s="22" t="s">
        <v>123</v>
      </c>
      <c r="E28" s="22" t="s">
        <v>13</v>
      </c>
      <c r="F28" s="22">
        <v>101</v>
      </c>
      <c r="G28" s="22" t="s">
        <v>15</v>
      </c>
      <c r="H28" s="23" t="s">
        <v>121</v>
      </c>
      <c r="I28" s="24" t="s">
        <v>17</v>
      </c>
      <c r="J28" s="25" t="s">
        <v>33</v>
      </c>
    </row>
    <row r="29" spans="1:10" x14ac:dyDescent="0.3">
      <c r="A29" s="21">
        <v>20</v>
      </c>
      <c r="B29" s="22" t="s">
        <v>51</v>
      </c>
      <c r="C29" s="23" t="s">
        <v>125</v>
      </c>
      <c r="D29" s="22" t="s">
        <v>12</v>
      </c>
      <c r="E29" s="22" t="s">
        <v>13</v>
      </c>
      <c r="F29" s="23" t="s">
        <v>117</v>
      </c>
      <c r="G29" s="22" t="s">
        <v>15</v>
      </c>
      <c r="H29" s="23" t="s">
        <v>124</v>
      </c>
      <c r="I29" s="24" t="s">
        <v>10</v>
      </c>
      <c r="J29" s="25" t="s">
        <v>33</v>
      </c>
    </row>
    <row r="30" spans="1:10" x14ac:dyDescent="0.3">
      <c r="A30" s="21">
        <v>21</v>
      </c>
      <c r="B30" s="22" t="s">
        <v>52</v>
      </c>
      <c r="C30" s="23" t="s">
        <v>126</v>
      </c>
      <c r="D30" s="22" t="s">
        <v>12</v>
      </c>
      <c r="E30" s="22" t="s">
        <v>13</v>
      </c>
      <c r="F30" s="23" t="s">
        <v>117</v>
      </c>
      <c r="G30" s="22" t="s">
        <v>15</v>
      </c>
      <c r="H30" s="23" t="s">
        <v>124</v>
      </c>
      <c r="I30" s="24" t="s">
        <v>10</v>
      </c>
      <c r="J30" s="25" t="s">
        <v>33</v>
      </c>
    </row>
    <row r="31" spans="1:10" x14ac:dyDescent="0.3">
      <c r="A31" s="21">
        <v>22</v>
      </c>
      <c r="B31" s="22" t="s">
        <v>53</v>
      </c>
      <c r="C31" s="23" t="s">
        <v>125</v>
      </c>
      <c r="D31" s="22" t="s">
        <v>12</v>
      </c>
      <c r="E31" s="22" t="s">
        <v>13</v>
      </c>
      <c r="F31" s="23" t="s">
        <v>122</v>
      </c>
      <c r="G31" s="22" t="s">
        <v>15</v>
      </c>
      <c r="H31" s="23" t="s">
        <v>124</v>
      </c>
      <c r="I31" s="24" t="s">
        <v>10</v>
      </c>
      <c r="J31" s="25" t="s">
        <v>33</v>
      </c>
    </row>
    <row r="32" spans="1:10" hidden="1" x14ac:dyDescent="0.3">
      <c r="A32" s="12">
        <v>23</v>
      </c>
      <c r="B32" s="12" t="s">
        <v>54</v>
      </c>
      <c r="C32" s="12">
        <v>0</v>
      </c>
      <c r="D32" s="12" t="s">
        <v>12</v>
      </c>
      <c r="E32" s="12" t="s">
        <v>13</v>
      </c>
      <c r="F32" s="12">
        <v>10</v>
      </c>
      <c r="G32" s="12" t="s">
        <v>15</v>
      </c>
      <c r="H32" s="12">
        <v>110011</v>
      </c>
      <c r="I32" s="13" t="s">
        <v>10</v>
      </c>
      <c r="J32" s="14"/>
    </row>
    <row r="33" spans="1:10" hidden="1" x14ac:dyDescent="0.3">
      <c r="A33" s="9">
        <v>24</v>
      </c>
      <c r="B33" s="9" t="s">
        <v>55</v>
      </c>
      <c r="C33" s="9">
        <v>0</v>
      </c>
      <c r="D33" s="9" t="s">
        <v>12</v>
      </c>
      <c r="E33" s="9" t="s">
        <v>13</v>
      </c>
      <c r="F33" s="9">
        <v>11</v>
      </c>
      <c r="G33" s="9" t="s">
        <v>15</v>
      </c>
      <c r="H33" s="9">
        <v>110011</v>
      </c>
      <c r="I33" s="10" t="s">
        <v>10</v>
      </c>
      <c r="J33" s="11"/>
    </row>
    <row r="34" spans="1:10" hidden="1" x14ac:dyDescent="0.3">
      <c r="A34" s="9">
        <v>25</v>
      </c>
      <c r="B34" s="9" t="s">
        <v>56</v>
      </c>
      <c r="C34" s="9">
        <v>0</v>
      </c>
      <c r="D34" s="9" t="s">
        <v>12</v>
      </c>
      <c r="E34" s="9" t="s">
        <v>13</v>
      </c>
      <c r="F34" s="9">
        <v>100</v>
      </c>
      <c r="G34" s="9" t="s">
        <v>15</v>
      </c>
      <c r="H34" s="9">
        <v>110011</v>
      </c>
      <c r="I34" s="10" t="s">
        <v>10</v>
      </c>
      <c r="J34" s="11"/>
    </row>
    <row r="35" spans="1:10" hidden="1" x14ac:dyDescent="0.3">
      <c r="A35" s="9">
        <v>26</v>
      </c>
      <c r="B35" s="9" t="s">
        <v>115</v>
      </c>
      <c r="C35" s="9">
        <v>0</v>
      </c>
      <c r="D35" s="9" t="s">
        <v>12</v>
      </c>
      <c r="E35" s="9" t="s">
        <v>13</v>
      </c>
      <c r="F35" s="9">
        <v>101</v>
      </c>
      <c r="G35" s="9" t="s">
        <v>15</v>
      </c>
      <c r="H35" s="9">
        <v>110011</v>
      </c>
      <c r="I35" s="10" t="s">
        <v>10</v>
      </c>
      <c r="J35" s="11"/>
    </row>
    <row r="36" spans="1:10" x14ac:dyDescent="0.3">
      <c r="A36" s="21">
        <v>27</v>
      </c>
      <c r="B36" s="22" t="s">
        <v>58</v>
      </c>
      <c r="C36" s="23" t="s">
        <v>126</v>
      </c>
      <c r="D36" s="22" t="s">
        <v>12</v>
      </c>
      <c r="E36" s="22" t="s">
        <v>13</v>
      </c>
      <c r="F36" s="22">
        <v>101</v>
      </c>
      <c r="G36" s="22" t="s">
        <v>15</v>
      </c>
      <c r="H36" s="23" t="s">
        <v>124</v>
      </c>
      <c r="I36" s="24" t="s">
        <v>10</v>
      </c>
      <c r="J36" s="25" t="s">
        <v>33</v>
      </c>
    </row>
    <row r="37" spans="1:10" x14ac:dyDescent="0.3">
      <c r="A37" s="21">
        <v>28</v>
      </c>
      <c r="B37" s="22" t="s">
        <v>59</v>
      </c>
      <c r="C37" s="23" t="s">
        <v>125</v>
      </c>
      <c r="D37" s="22" t="s">
        <v>12</v>
      </c>
      <c r="E37" s="22" t="s">
        <v>13</v>
      </c>
      <c r="F37" s="22">
        <v>110</v>
      </c>
      <c r="G37" s="22" t="s">
        <v>15</v>
      </c>
      <c r="H37" s="23" t="s">
        <v>124</v>
      </c>
      <c r="I37" s="24" t="s">
        <v>10</v>
      </c>
      <c r="J37" s="25" t="s">
        <v>33</v>
      </c>
    </row>
    <row r="38" spans="1:10" x14ac:dyDescent="0.3">
      <c r="A38" s="21">
        <v>29</v>
      </c>
      <c r="B38" s="22" t="s">
        <v>116</v>
      </c>
      <c r="C38" s="23" t="s">
        <v>125</v>
      </c>
      <c r="D38" s="22" t="s">
        <v>12</v>
      </c>
      <c r="E38" s="22" t="s">
        <v>13</v>
      </c>
      <c r="F38" s="22">
        <v>111</v>
      </c>
      <c r="G38" s="22" t="s">
        <v>15</v>
      </c>
      <c r="H38" s="23" t="s">
        <v>124</v>
      </c>
      <c r="I38" s="24" t="s">
        <v>10</v>
      </c>
      <c r="J38" s="25" t="s">
        <v>33</v>
      </c>
    </row>
  </sheetData>
  <autoFilter ref="A9:J38" xr:uid="{99E28A4F-0024-4945-B628-DE4466340293}">
    <filterColumn colId="2" showButton="0"/>
    <filterColumn colId="3" showButton="0"/>
    <filterColumn colId="4" showButton="0"/>
    <filterColumn colId="9">
      <customFilters>
        <customFilter operator="notEqual" val=" "/>
      </customFilters>
    </filterColumn>
  </autoFilter>
  <mergeCells count="13">
    <mergeCell ref="C17:D17"/>
    <mergeCell ref="B1:H1"/>
    <mergeCell ref="C4:D4"/>
    <mergeCell ref="C7:F7"/>
    <mergeCell ref="C8:F8"/>
    <mergeCell ref="C16:F16"/>
    <mergeCell ref="C25:D25"/>
    <mergeCell ref="C19:D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6613-E2B9-482B-929A-06E0F7975A05}">
  <dimension ref="A1:S184"/>
  <sheetViews>
    <sheetView topLeftCell="A198" zoomScaleNormal="100" workbookViewId="0">
      <selection activeCell="C189" sqref="C189"/>
    </sheetView>
  </sheetViews>
  <sheetFormatPr defaultRowHeight="13.8" x14ac:dyDescent="0.3"/>
  <cols>
    <col min="1" max="1" width="8.88671875" style="7"/>
    <col min="2" max="2" width="41.88671875" style="7" customWidth="1"/>
    <col min="3" max="6" width="28.6640625" style="7" customWidth="1"/>
    <col min="7" max="7" width="29.88671875" style="7" customWidth="1"/>
    <col min="8" max="8" width="13.33203125" style="7" bestFit="1" customWidth="1"/>
    <col min="9" max="16" width="8.88671875" style="7"/>
    <col min="17" max="17" width="30.44140625" style="7" bestFit="1" customWidth="1"/>
    <col min="18" max="19" width="13.33203125" style="7" bestFit="1" customWidth="1"/>
    <col min="20" max="16384" width="8.88671875" style="7"/>
  </cols>
  <sheetData>
    <row r="1" spans="1:9" x14ac:dyDescent="0.3">
      <c r="C1" s="7" t="s">
        <v>168</v>
      </c>
      <c r="D1" s="7" t="s">
        <v>217</v>
      </c>
      <c r="E1" s="7" t="s">
        <v>167</v>
      </c>
      <c r="F1" s="7" t="s">
        <v>194</v>
      </c>
      <c r="G1" s="7" t="s">
        <v>176</v>
      </c>
    </row>
    <row r="2" spans="1:9" x14ac:dyDescent="0.3">
      <c r="A2" s="7" t="s">
        <v>180</v>
      </c>
    </row>
    <row r="3" spans="1:9" x14ac:dyDescent="0.3">
      <c r="B3" s="7" t="s">
        <v>204</v>
      </c>
      <c r="C3" s="7" t="s">
        <v>205</v>
      </c>
      <c r="E3" s="7" t="s">
        <v>205</v>
      </c>
      <c r="F3" s="7" t="s">
        <v>221</v>
      </c>
    </row>
    <row r="10" spans="1:9" x14ac:dyDescent="0.3">
      <c r="B10" s="7" t="s">
        <v>181</v>
      </c>
      <c r="C10" s="7" t="s">
        <v>207</v>
      </c>
      <c r="E10" s="7" t="s">
        <v>206</v>
      </c>
      <c r="F10" s="7" t="s">
        <v>218</v>
      </c>
      <c r="G10" s="7" t="s">
        <v>178</v>
      </c>
    </row>
    <row r="11" spans="1:9" x14ac:dyDescent="0.3">
      <c r="B11" s="7" t="s">
        <v>182</v>
      </c>
      <c r="C11" s="7" t="s">
        <v>183</v>
      </c>
      <c r="E11" s="7" t="s">
        <v>183</v>
      </c>
    </row>
    <row r="12" spans="1:9" x14ac:dyDescent="0.3">
      <c r="B12" s="7" t="s">
        <v>184</v>
      </c>
      <c r="C12" s="7" t="s">
        <v>172</v>
      </c>
    </row>
    <row r="13" spans="1:9" x14ac:dyDescent="0.3">
      <c r="B13" s="7" t="s">
        <v>185</v>
      </c>
      <c r="C13" s="7" t="s">
        <v>187</v>
      </c>
      <c r="E13" s="7" t="s">
        <v>187</v>
      </c>
    </row>
    <row r="14" spans="1:9" x14ac:dyDescent="0.3">
      <c r="B14" s="7" t="s">
        <v>211</v>
      </c>
      <c r="C14" s="7" t="s">
        <v>212</v>
      </c>
      <c r="E14" s="7" t="s">
        <v>213</v>
      </c>
      <c r="F14" s="7" t="s">
        <v>212</v>
      </c>
      <c r="G14" s="7" t="s">
        <v>214</v>
      </c>
    </row>
    <row r="15" spans="1:9" x14ac:dyDescent="0.3">
      <c r="A15" s="7" t="s">
        <v>179</v>
      </c>
      <c r="I15" s="7" t="s">
        <v>198</v>
      </c>
    </row>
    <row r="16" spans="1:9" x14ac:dyDescent="0.3">
      <c r="B16" s="7" t="s">
        <v>174</v>
      </c>
      <c r="C16" s="7" t="s">
        <v>172</v>
      </c>
      <c r="I16" s="7" t="s">
        <v>200</v>
      </c>
    </row>
    <row r="17" spans="1:9" x14ac:dyDescent="0.3">
      <c r="B17" s="7" t="s">
        <v>208</v>
      </c>
      <c r="C17" s="7" t="s">
        <v>210</v>
      </c>
      <c r="E17" s="7" t="s">
        <v>209</v>
      </c>
      <c r="F17" s="7" t="s">
        <v>210</v>
      </c>
      <c r="I17" s="7" t="s">
        <v>199</v>
      </c>
    </row>
    <row r="22" spans="1:9" x14ac:dyDescent="0.3">
      <c r="I22" s="7" t="s">
        <v>196</v>
      </c>
    </row>
    <row r="23" spans="1:9" x14ac:dyDescent="0.3">
      <c r="I23" s="7" t="s">
        <v>197</v>
      </c>
    </row>
    <row r="25" spans="1:9" x14ac:dyDescent="0.3">
      <c r="A25" s="7" t="s">
        <v>219</v>
      </c>
    </row>
    <row r="26" spans="1:9" x14ac:dyDescent="0.3">
      <c r="B26" s="7" t="s">
        <v>188</v>
      </c>
      <c r="F26" s="7" t="s">
        <v>172</v>
      </c>
    </row>
    <row r="27" spans="1:9" x14ac:dyDescent="0.3">
      <c r="B27" s="7" t="s">
        <v>189</v>
      </c>
      <c r="D27" s="7">
        <f>128*1024/8</f>
        <v>16384</v>
      </c>
      <c r="F27" s="7" t="s">
        <v>172</v>
      </c>
      <c r="G27" s="7" t="s">
        <v>195</v>
      </c>
    </row>
    <row r="28" spans="1:9" x14ac:dyDescent="0.3">
      <c r="B28" s="7" t="s">
        <v>190</v>
      </c>
      <c r="D28" s="7">
        <f>256*8</f>
        <v>2048</v>
      </c>
    </row>
    <row r="29" spans="1:9" x14ac:dyDescent="0.3">
      <c r="B29" s="7" t="s">
        <v>186</v>
      </c>
    </row>
    <row r="30" spans="1:9" x14ac:dyDescent="0.3">
      <c r="B30" s="7" t="s">
        <v>191</v>
      </c>
    </row>
    <row r="31" spans="1:9" x14ac:dyDescent="0.3">
      <c r="B31" s="7" t="s">
        <v>192</v>
      </c>
    </row>
    <row r="32" spans="1:9" x14ac:dyDescent="0.3">
      <c r="B32" s="7" t="s">
        <v>193</v>
      </c>
    </row>
    <row r="34" spans="1:19" x14ac:dyDescent="0.3">
      <c r="A34" s="7" t="s">
        <v>220</v>
      </c>
    </row>
    <row r="35" spans="1:19" x14ac:dyDescent="0.3">
      <c r="B35" s="7" t="s">
        <v>175</v>
      </c>
      <c r="C35" s="7" t="s">
        <v>169</v>
      </c>
      <c r="E35" s="7" t="s">
        <v>202</v>
      </c>
      <c r="G35" s="7" t="s">
        <v>177</v>
      </c>
    </row>
    <row r="36" spans="1:19" x14ac:dyDescent="0.3">
      <c r="B36" s="7" t="s">
        <v>171</v>
      </c>
      <c r="C36" s="7" t="s">
        <v>172</v>
      </c>
      <c r="E36" s="7" t="s">
        <v>172</v>
      </c>
      <c r="F36" s="7" t="s">
        <v>172</v>
      </c>
    </row>
    <row r="37" spans="1:19" x14ac:dyDescent="0.3">
      <c r="B37" s="7" t="s">
        <v>170</v>
      </c>
      <c r="C37" s="7" t="s">
        <v>172</v>
      </c>
      <c r="F37" s="7" t="s">
        <v>172</v>
      </c>
    </row>
    <row r="38" spans="1:19" x14ac:dyDescent="0.3">
      <c r="B38" s="7" t="s">
        <v>173</v>
      </c>
      <c r="C38" s="7" t="s">
        <v>172</v>
      </c>
      <c r="F38" s="7" t="s">
        <v>172</v>
      </c>
    </row>
    <row r="39" spans="1:19" x14ac:dyDescent="0.3">
      <c r="B39" s="7" t="s">
        <v>201</v>
      </c>
      <c r="C39" s="7" t="s">
        <v>172</v>
      </c>
      <c r="F39" s="7" t="s">
        <v>172</v>
      </c>
    </row>
    <row r="40" spans="1:19" x14ac:dyDescent="0.3">
      <c r="B40" s="7" t="s">
        <v>203</v>
      </c>
      <c r="C40" s="7" t="s">
        <v>172</v>
      </c>
      <c r="E40" s="7" t="s">
        <v>172</v>
      </c>
      <c r="F40" s="7" t="s">
        <v>172</v>
      </c>
    </row>
    <row r="44" spans="1:19" x14ac:dyDescent="0.3">
      <c r="A44" s="7" t="s">
        <v>215</v>
      </c>
    </row>
    <row r="45" spans="1:19" ht="14.4" x14ac:dyDescent="0.3">
      <c r="B45" s="33" t="s">
        <v>216</v>
      </c>
    </row>
    <row r="48" spans="1:19" x14ac:dyDescent="0.3">
      <c r="Q48" s="7" t="s">
        <v>233</v>
      </c>
      <c r="R48" s="7" t="s">
        <v>232</v>
      </c>
      <c r="S48" s="7" t="s">
        <v>234</v>
      </c>
    </row>
    <row r="49" spans="2:18" x14ac:dyDescent="0.3">
      <c r="B49" s="7" t="s">
        <v>185</v>
      </c>
      <c r="Q49" s="7" t="s">
        <v>235</v>
      </c>
      <c r="R49" s="7">
        <v>450</v>
      </c>
    </row>
    <row r="50" spans="2:18" x14ac:dyDescent="0.3">
      <c r="B50" s="7" t="s">
        <v>222</v>
      </c>
      <c r="C50" s="34">
        <v>95000</v>
      </c>
      <c r="Q50" s="7" t="s">
        <v>237</v>
      </c>
      <c r="R50" s="7">
        <f>R49-14-40</f>
        <v>396</v>
      </c>
    </row>
    <row r="51" spans="2:18" x14ac:dyDescent="0.3">
      <c r="B51" s="7" t="s">
        <v>223</v>
      </c>
      <c r="C51" s="34">
        <v>130000</v>
      </c>
      <c r="Q51" s="7" t="s">
        <v>238</v>
      </c>
      <c r="R51" s="7">
        <f>1/(1.9*10^9)*R50</f>
        <v>2.0842105263157893E-7</v>
      </c>
    </row>
    <row r="52" spans="2:18" x14ac:dyDescent="0.3">
      <c r="Q52" s="7" t="s">
        <v>239</v>
      </c>
      <c r="R52" s="7">
        <f>1/(R51/8)/10^9</f>
        <v>3.8383838383838388E-2</v>
      </c>
    </row>
    <row r="53" spans="2:18" x14ac:dyDescent="0.3">
      <c r="G53" s="7">
        <f>1024-14-20-20</f>
        <v>970</v>
      </c>
    </row>
    <row r="54" spans="2:18" x14ac:dyDescent="0.3">
      <c r="B54" s="7" t="s">
        <v>224</v>
      </c>
      <c r="D54" s="7" t="s">
        <v>227</v>
      </c>
      <c r="G54" s="7">
        <f>G53-13</f>
        <v>957</v>
      </c>
      <c r="I54" s="7">
        <f>I55/10^9</f>
        <v>6.3740856844305113E-8</v>
      </c>
    </row>
    <row r="55" spans="2:18" x14ac:dyDescent="0.3">
      <c r="B55" s="7" t="s">
        <v>231</v>
      </c>
      <c r="C55" s="7" t="s">
        <v>230</v>
      </c>
      <c r="E55" s="7">
        <f>8</f>
        <v>8</v>
      </c>
      <c r="G55" s="7">
        <f>1/(61*10^3)</f>
        <v>1.6393442622950821E-5</v>
      </c>
      <c r="H55" s="7">
        <f>G55*G54</f>
        <v>1.5688524590163937E-2</v>
      </c>
      <c r="I55" s="7">
        <f>1/H55</f>
        <v>63.740856844305107</v>
      </c>
      <c r="R55" s="7" t="s">
        <v>240</v>
      </c>
    </row>
    <row r="56" spans="2:18" ht="14.4" x14ac:dyDescent="0.3">
      <c r="C56" s="7" t="s">
        <v>225</v>
      </c>
      <c r="D56" s="33" t="s">
        <v>226</v>
      </c>
    </row>
    <row r="57" spans="2:18" ht="110.4" x14ac:dyDescent="0.3">
      <c r="C57" s="35" t="s">
        <v>228</v>
      </c>
    </row>
    <row r="58" spans="2:18" ht="14.4" x14ac:dyDescent="0.3">
      <c r="C58" s="34">
        <v>6000</v>
      </c>
      <c r="D58" s="33" t="s">
        <v>229</v>
      </c>
    </row>
    <row r="59" spans="2:18" x14ac:dyDescent="0.3">
      <c r="D59" s="7" t="s">
        <v>301</v>
      </c>
    </row>
    <row r="60" spans="2:18" x14ac:dyDescent="0.3">
      <c r="D60" s="7" t="s">
        <v>302</v>
      </c>
    </row>
    <row r="61" spans="2:18" x14ac:dyDescent="0.3">
      <c r="D61" s="7" t="s">
        <v>303</v>
      </c>
    </row>
    <row r="72" spans="2:5" x14ac:dyDescent="0.3">
      <c r="B72" s="7" t="s">
        <v>243</v>
      </c>
      <c r="C72" s="7" t="s">
        <v>244</v>
      </c>
    </row>
    <row r="74" spans="2:5" x14ac:dyDescent="0.3">
      <c r="B74" s="7" t="s">
        <v>245</v>
      </c>
      <c r="C74" s="7" t="s">
        <v>166</v>
      </c>
      <c r="D74" s="7" t="s">
        <v>194</v>
      </c>
    </row>
    <row r="75" spans="2:5" x14ac:dyDescent="0.3">
      <c r="B75" s="7" t="s">
        <v>247</v>
      </c>
      <c r="C75" s="36" t="s">
        <v>248</v>
      </c>
      <c r="D75" s="36" t="s">
        <v>249</v>
      </c>
      <c r="E75" s="36" t="s">
        <v>250</v>
      </c>
    </row>
    <row r="76" spans="2:5" x14ac:dyDescent="0.3">
      <c r="B76" s="7" t="s">
        <v>246</v>
      </c>
      <c r="C76" s="7">
        <v>20.9</v>
      </c>
      <c r="D76" s="7">
        <v>30.4</v>
      </c>
      <c r="E76" s="7">
        <f>ROUND(E77/D77*D76,1)</f>
        <v>99.7</v>
      </c>
    </row>
    <row r="77" spans="2:5" x14ac:dyDescent="0.3">
      <c r="B77" s="7" t="s">
        <v>242</v>
      </c>
      <c r="C77" s="7">
        <v>2133</v>
      </c>
      <c r="D77" s="7">
        <v>61</v>
      </c>
      <c r="E77" s="7">
        <v>200</v>
      </c>
    </row>
    <row r="80" spans="2:5" x14ac:dyDescent="0.3">
      <c r="B80" s="7" t="s">
        <v>251</v>
      </c>
      <c r="C80" s="37"/>
      <c r="D80" s="37">
        <v>1500</v>
      </c>
    </row>
    <row r="83" spans="2:8" x14ac:dyDescent="0.3">
      <c r="B83" s="7" t="s">
        <v>310</v>
      </c>
    </row>
    <row r="85" spans="2:8" ht="14.4" x14ac:dyDescent="0.3">
      <c r="B85" s="78" t="s">
        <v>252</v>
      </c>
      <c r="C85" s="78" t="s">
        <v>253</v>
      </c>
      <c r="D85" s="78" t="s">
        <v>254</v>
      </c>
      <c r="E85" s="78" t="s">
        <v>255</v>
      </c>
      <c r="F85" s="78" t="s">
        <v>256</v>
      </c>
      <c r="G85" s="78" t="s">
        <v>257</v>
      </c>
      <c r="H85" s="46"/>
    </row>
    <row r="86" spans="2:8" x14ac:dyDescent="0.3">
      <c r="B86" s="79"/>
      <c r="C86" s="79"/>
      <c r="D86" s="79"/>
      <c r="E86" s="79"/>
      <c r="F86" s="79"/>
      <c r="G86" s="79"/>
      <c r="H86" s="38"/>
    </row>
    <row r="87" spans="2:8" x14ac:dyDescent="0.3">
      <c r="B87" s="39" t="s">
        <v>258</v>
      </c>
      <c r="C87" s="40">
        <v>973.75</v>
      </c>
      <c r="D87" s="41">
        <v>0.159</v>
      </c>
      <c r="E87" s="40">
        <v>883.35</v>
      </c>
      <c r="F87" s="41">
        <v>0.151</v>
      </c>
      <c r="G87" s="41">
        <v>0.10199999999999999</v>
      </c>
      <c r="H87" s="39"/>
    </row>
    <row r="88" spans="2:8" x14ac:dyDescent="0.3">
      <c r="B88" s="38" t="s">
        <v>259</v>
      </c>
      <c r="C88" s="42">
        <v>966.61</v>
      </c>
      <c r="D88" s="43">
        <v>0.158</v>
      </c>
      <c r="E88" s="42">
        <v>776.23</v>
      </c>
      <c r="F88" s="43">
        <v>0.13300000000000001</v>
      </c>
      <c r="G88" s="43">
        <v>0.245</v>
      </c>
      <c r="H88" s="38"/>
    </row>
    <row r="89" spans="2:8" x14ac:dyDescent="0.3">
      <c r="B89" s="39" t="s">
        <v>260</v>
      </c>
      <c r="C89" s="40">
        <v>921.08</v>
      </c>
      <c r="D89" s="41">
        <v>0.158</v>
      </c>
      <c r="E89" s="40">
        <v>885.79</v>
      </c>
      <c r="F89" s="41">
        <v>0.152</v>
      </c>
      <c r="G89" s="41">
        <v>0.04</v>
      </c>
      <c r="H89" s="39"/>
    </row>
    <row r="90" spans="2:8" x14ac:dyDescent="0.3">
      <c r="B90" s="38" t="s">
        <v>261</v>
      </c>
      <c r="C90" s="42">
        <v>473.04</v>
      </c>
      <c r="D90" s="43">
        <v>7.6999999999999999E-2</v>
      </c>
      <c r="E90" s="42">
        <v>462.55</v>
      </c>
      <c r="F90" s="43">
        <v>7.9000000000000001E-2</v>
      </c>
      <c r="G90" s="43">
        <v>2.3E-2</v>
      </c>
      <c r="H90" s="38"/>
    </row>
    <row r="91" spans="2:8" x14ac:dyDescent="0.3">
      <c r="B91" s="39" t="s">
        <v>262</v>
      </c>
      <c r="C91" s="40">
        <v>194.16</v>
      </c>
      <c r="D91" s="41">
        <v>3.2000000000000001E-2</v>
      </c>
      <c r="E91" s="40">
        <v>183.5</v>
      </c>
      <c r="F91" s="41">
        <v>3.1E-2</v>
      </c>
      <c r="G91" s="41">
        <v>5.8000000000000003E-2</v>
      </c>
      <c r="H91" s="39"/>
    </row>
    <row r="92" spans="2:8" x14ac:dyDescent="0.3">
      <c r="B92" s="38" t="s">
        <v>263</v>
      </c>
      <c r="C92" s="42">
        <v>2582.0500000000002</v>
      </c>
      <c r="D92" s="43">
        <v>0.42299999999999999</v>
      </c>
      <c r="E92" s="42">
        <v>2645.27</v>
      </c>
      <c r="F92" s="43">
        <v>0.45300000000000001</v>
      </c>
      <c r="G92" s="43">
        <v>-2.4E-2</v>
      </c>
      <c r="H92" s="38"/>
    </row>
    <row r="93" spans="2:8" ht="14.4" x14ac:dyDescent="0.3">
      <c r="B93" s="44" t="s">
        <v>264</v>
      </c>
      <c r="C93" s="45">
        <v>6110.69</v>
      </c>
      <c r="D93" s="47"/>
      <c r="E93" s="47"/>
      <c r="F93" s="47"/>
      <c r="G93" s="47"/>
      <c r="H93" s="48"/>
    </row>
    <row r="94" spans="2:8" x14ac:dyDescent="0.3">
      <c r="C94" s="7">
        <f>C87/C93</f>
        <v>0.15935188988477569</v>
      </c>
    </row>
    <row r="97" spans="2:5" x14ac:dyDescent="0.3">
      <c r="B97" s="7" t="s">
        <v>269</v>
      </c>
      <c r="C97" s="7">
        <f>6100*4</f>
        <v>24400</v>
      </c>
    </row>
    <row r="98" spans="2:5" ht="14.4" x14ac:dyDescent="0.3">
      <c r="B98" s="7" t="s">
        <v>265</v>
      </c>
      <c r="C98" s="49">
        <v>0.2</v>
      </c>
      <c r="D98" s="33" t="s">
        <v>266</v>
      </c>
    </row>
    <row r="99" spans="2:5" x14ac:dyDescent="0.3">
      <c r="B99" s="7" t="s">
        <v>267</v>
      </c>
      <c r="C99" s="7">
        <f>943*4</f>
        <v>3772</v>
      </c>
    </row>
    <row r="100" spans="2:5" x14ac:dyDescent="0.3">
      <c r="B100" s="7" t="s">
        <v>268</v>
      </c>
      <c r="C100" s="7">
        <f>C98*C99</f>
        <v>754.40000000000009</v>
      </c>
    </row>
    <row r="101" spans="2:5" x14ac:dyDescent="0.3">
      <c r="B101" s="7" t="s">
        <v>270</v>
      </c>
      <c r="C101" s="49"/>
    </row>
    <row r="106" spans="2:5" x14ac:dyDescent="0.3">
      <c r="C106" s="7">
        <f>920</f>
        <v>920</v>
      </c>
      <c r="D106" s="7">
        <f>C106*4</f>
        <v>3680</v>
      </c>
      <c r="E106" s="7">
        <f>30.4/30.6</f>
        <v>0.99346405228758161</v>
      </c>
    </row>
    <row r="107" spans="2:5" x14ac:dyDescent="0.3">
      <c r="E107" s="7">
        <f>D106*E106</f>
        <v>3655.9477124183004</v>
      </c>
    </row>
    <row r="113" spans="2:4" x14ac:dyDescent="0.3">
      <c r="B113" s="7" t="s">
        <v>290</v>
      </c>
      <c r="C113" s="7" t="s">
        <v>291</v>
      </c>
      <c r="D113" s="7" t="s">
        <v>292</v>
      </c>
    </row>
    <row r="114" spans="2:4" x14ac:dyDescent="0.3">
      <c r="B114" s="7" t="s">
        <v>271</v>
      </c>
      <c r="C114" s="7" t="s">
        <v>282</v>
      </c>
      <c r="D114" s="7">
        <v>1</v>
      </c>
    </row>
    <row r="115" spans="2:4" x14ac:dyDescent="0.3">
      <c r="B115" s="7" t="s">
        <v>276</v>
      </c>
      <c r="C115" s="7" t="s">
        <v>283</v>
      </c>
      <c r="D115" s="7">
        <v>1500</v>
      </c>
    </row>
    <row r="116" spans="2:4" x14ac:dyDescent="0.3">
      <c r="B116" s="7" t="s">
        <v>277</v>
      </c>
      <c r="C116" s="7" t="s">
        <v>283</v>
      </c>
      <c r="D116" s="7">
        <v>40</v>
      </c>
    </row>
    <row r="117" spans="2:4" x14ac:dyDescent="0.3">
      <c r="B117" s="7" t="s">
        <v>284</v>
      </c>
      <c r="C117" s="7" t="s">
        <v>283</v>
      </c>
      <c r="D117" s="7">
        <f>D115-D116</f>
        <v>1460</v>
      </c>
    </row>
    <row r="118" spans="2:4" x14ac:dyDescent="0.3">
      <c r="B118" s="7" t="s">
        <v>281</v>
      </c>
      <c r="D118" s="7">
        <f>50%*D117</f>
        <v>730</v>
      </c>
    </row>
    <row r="119" spans="2:4" x14ac:dyDescent="0.3">
      <c r="B119" s="7" t="s">
        <v>278</v>
      </c>
      <c r="C119" s="7" t="s">
        <v>282</v>
      </c>
      <c r="D119" s="7">
        <f>D118-13</f>
        <v>717</v>
      </c>
    </row>
    <row r="120" spans="2:4" x14ac:dyDescent="0.3">
      <c r="B120" s="7" t="s">
        <v>286</v>
      </c>
      <c r="C120" s="7" t="s">
        <v>285</v>
      </c>
      <c r="D120" s="7">
        <v>125</v>
      </c>
    </row>
    <row r="121" spans="2:4" x14ac:dyDescent="0.3">
      <c r="B121" s="7" t="s">
        <v>279</v>
      </c>
      <c r="C121" s="7" t="s">
        <v>287</v>
      </c>
      <c r="D121" s="7">
        <f>1/(D120*10^6)</f>
        <v>8.0000000000000005E-9</v>
      </c>
    </row>
    <row r="122" spans="2:4" x14ac:dyDescent="0.3">
      <c r="B122" s="7" t="s">
        <v>236</v>
      </c>
      <c r="C122" s="7" t="s">
        <v>287</v>
      </c>
      <c r="D122" s="7">
        <f>D121*D119</f>
        <v>5.7360000000000006E-6</v>
      </c>
    </row>
    <row r="123" spans="2:4" x14ac:dyDescent="0.3">
      <c r="B123" s="7" t="s">
        <v>280</v>
      </c>
      <c r="C123" s="7" t="s">
        <v>288</v>
      </c>
      <c r="D123" s="7">
        <f>1/D122</f>
        <v>174337.51743375172</v>
      </c>
    </row>
    <row r="124" spans="2:4" x14ac:dyDescent="0.3">
      <c r="B124" s="7" t="s">
        <v>280</v>
      </c>
      <c r="C124" s="7" t="s">
        <v>289</v>
      </c>
      <c r="D124" s="7">
        <f>D123*D115*8</f>
        <v>2092050209.2050207</v>
      </c>
    </row>
    <row r="125" spans="2:4" x14ac:dyDescent="0.3">
      <c r="B125" s="7" t="s">
        <v>280</v>
      </c>
      <c r="C125" s="7" t="s">
        <v>241</v>
      </c>
      <c r="D125" s="7">
        <f>D124/10^6</f>
        <v>2092.0502092050206</v>
      </c>
    </row>
    <row r="128" spans="2:4" x14ac:dyDescent="0.3">
      <c r="B128" s="7" t="s">
        <v>272</v>
      </c>
      <c r="C128" s="7">
        <v>536</v>
      </c>
    </row>
    <row r="129" spans="2:7" x14ac:dyDescent="0.3">
      <c r="E129" s="7" t="s">
        <v>274</v>
      </c>
      <c r="F129" s="7" t="s">
        <v>273</v>
      </c>
      <c r="G129" s="7" t="s">
        <v>275</v>
      </c>
    </row>
    <row r="130" spans="2:7" x14ac:dyDescent="0.3">
      <c r="C130" s="7">
        <f>920*10^6</f>
        <v>920000000</v>
      </c>
      <c r="D130" s="7">
        <f>0.293*10^(-3)</f>
        <v>2.9299999999999997E-4</v>
      </c>
      <c r="E130" s="7">
        <f>C130*D130</f>
        <v>269559.99999999994</v>
      </c>
      <c r="F130" s="7">
        <f>E130/8</f>
        <v>33694.999999999993</v>
      </c>
      <c r="G130" s="7">
        <f>F130/1024</f>
        <v>32.905273437499993</v>
      </c>
    </row>
    <row r="131" spans="2:7" x14ac:dyDescent="0.3">
      <c r="G131" s="7">
        <f>F130/1500</f>
        <v>22.463333333333328</v>
      </c>
    </row>
    <row r="138" spans="2:7" x14ac:dyDescent="0.3">
      <c r="C138" s="7" t="s">
        <v>166</v>
      </c>
    </row>
    <row r="139" spans="2:7" x14ac:dyDescent="0.3">
      <c r="B139" s="7" t="s">
        <v>293</v>
      </c>
      <c r="C139" s="7">
        <v>190</v>
      </c>
      <c r="D139" s="7" t="s">
        <v>241</v>
      </c>
    </row>
    <row r="140" spans="2:7" x14ac:dyDescent="0.3">
      <c r="B140" s="7" t="s">
        <v>294</v>
      </c>
      <c r="C140" s="7">
        <v>1.02</v>
      </c>
      <c r="D140" s="7" t="s">
        <v>241</v>
      </c>
    </row>
    <row r="152" spans="2:3" x14ac:dyDescent="0.3">
      <c r="B152" s="7" t="s">
        <v>298</v>
      </c>
      <c r="C152" s="34">
        <v>75</v>
      </c>
    </row>
    <row r="153" spans="2:3" x14ac:dyDescent="0.3">
      <c r="B153" s="7" t="s">
        <v>299</v>
      </c>
      <c r="C153" s="34">
        <v>200</v>
      </c>
    </row>
    <row r="154" spans="2:3" x14ac:dyDescent="0.3">
      <c r="B154" s="7" t="s">
        <v>295</v>
      </c>
      <c r="C154" s="34">
        <f>SUM(C152:C153)</f>
        <v>275</v>
      </c>
    </row>
    <row r="159" spans="2:3" x14ac:dyDescent="0.3">
      <c r="B159" s="7" t="s">
        <v>296</v>
      </c>
      <c r="C159" s="34">
        <v>130</v>
      </c>
    </row>
    <row r="160" spans="2:3" x14ac:dyDescent="0.3">
      <c r="B160" s="7" t="s">
        <v>297</v>
      </c>
      <c r="C160" s="34">
        <v>250</v>
      </c>
    </row>
    <row r="161" spans="2:3" x14ac:dyDescent="0.3">
      <c r="B161" s="7" t="s">
        <v>299</v>
      </c>
      <c r="C161" s="34">
        <v>200</v>
      </c>
    </row>
    <row r="162" spans="2:3" x14ac:dyDescent="0.3">
      <c r="B162" s="7" t="s">
        <v>300</v>
      </c>
      <c r="C162" s="50">
        <f>SUM(C159:C161)</f>
        <v>580</v>
      </c>
    </row>
    <row r="163" spans="2:3" x14ac:dyDescent="0.3">
      <c r="C163" s="7">
        <f>C162/C154</f>
        <v>2.1090909090909089</v>
      </c>
    </row>
    <row r="179" spans="2:5" x14ac:dyDescent="0.3">
      <c r="B179" s="7" t="s">
        <v>312</v>
      </c>
      <c r="C179" s="7" t="s">
        <v>304</v>
      </c>
      <c r="D179" s="7" t="s">
        <v>305</v>
      </c>
      <c r="E179" s="7" t="s">
        <v>306</v>
      </c>
    </row>
    <row r="180" spans="2:5" x14ac:dyDescent="0.3">
      <c r="B180" s="7" t="s">
        <v>307</v>
      </c>
      <c r="C180" s="7">
        <f>D180*10</f>
        <v>22600</v>
      </c>
      <c r="D180" s="7">
        <v>2260</v>
      </c>
      <c r="E180" s="7">
        <v>21000</v>
      </c>
    </row>
    <row r="181" spans="2:5" x14ac:dyDescent="0.3">
      <c r="B181" s="7" t="s">
        <v>308</v>
      </c>
      <c r="C181" s="7">
        <v>6995</v>
      </c>
      <c r="D181" s="7">
        <v>1599</v>
      </c>
      <c r="E181" s="7">
        <v>30000</v>
      </c>
    </row>
    <row r="182" spans="2:5" x14ac:dyDescent="0.3">
      <c r="B182" s="7" t="s">
        <v>309</v>
      </c>
      <c r="C182" s="7">
        <f>ROUND(C180/C181,1)</f>
        <v>3.2</v>
      </c>
      <c r="D182" s="7">
        <f>ROUND(D180/D181,1)</f>
        <v>1.4</v>
      </c>
      <c r="E182" s="7">
        <f>ROUND(E180/E181,1)</f>
        <v>0.7</v>
      </c>
    </row>
    <row r="184" spans="2:5" x14ac:dyDescent="0.3">
      <c r="C184" s="7" t="s">
        <v>354</v>
      </c>
    </row>
  </sheetData>
  <mergeCells count="6">
    <mergeCell ref="G85:G86"/>
    <mergeCell ref="B85:B86"/>
    <mergeCell ref="C85:C86"/>
    <mergeCell ref="D85:D86"/>
    <mergeCell ref="E85:E86"/>
    <mergeCell ref="F85:F86"/>
  </mergeCells>
  <hyperlinks>
    <hyperlink ref="B45" r:id="rId1" xr:uid="{5DEB0E0D-E269-4CB7-AD00-DD9D464D9037}"/>
    <hyperlink ref="D56" r:id="rId2" xr:uid="{400CF1F3-B606-41A3-9339-DD9445713E48}"/>
    <hyperlink ref="D58" r:id="rId3" xr:uid="{3F461CFB-8E7F-4649-9AD1-54BE28251DB5}"/>
    <hyperlink ref="D98" r:id="rId4" xr:uid="{4A24420B-3EB4-49A6-8C0C-B37FAEC07B72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1A79-2AFF-4F64-A180-BAB681E4D165}">
  <dimension ref="B5:U55"/>
  <sheetViews>
    <sheetView tabSelected="1" topLeftCell="A36" zoomScale="85" zoomScaleNormal="85" workbookViewId="0">
      <selection activeCell="U52" sqref="U52"/>
    </sheetView>
  </sheetViews>
  <sheetFormatPr defaultRowHeight="13.8" x14ac:dyDescent="0.3"/>
  <cols>
    <col min="1" max="1" width="8.88671875" style="7"/>
    <col min="2" max="2" width="38.44140625" style="7" bestFit="1" customWidth="1"/>
    <col min="3" max="3" width="28.44140625" style="7" bestFit="1" customWidth="1"/>
    <col min="4" max="4" width="15.33203125" style="7" customWidth="1"/>
    <col min="5" max="5" width="14.88671875" style="7" customWidth="1"/>
    <col min="6" max="6" width="14.44140625" style="7" customWidth="1"/>
    <col min="7" max="7" width="15.5546875" style="7" customWidth="1"/>
    <col min="8" max="8" width="14.5546875" style="7" bestFit="1" customWidth="1"/>
    <col min="9" max="9" width="32.21875" style="7" customWidth="1"/>
    <col min="10" max="14" width="14.6640625" style="7" bestFit="1" customWidth="1"/>
    <col min="15" max="21" width="13.33203125" style="7" bestFit="1" customWidth="1"/>
    <col min="22" max="16384" width="8.88671875" style="7"/>
  </cols>
  <sheetData>
    <row r="5" spans="2:8" x14ac:dyDescent="0.3">
      <c r="B5" s="8" t="s">
        <v>310</v>
      </c>
    </row>
    <row r="7" spans="2:8" x14ac:dyDescent="0.3">
      <c r="B7" s="83" t="s">
        <v>252</v>
      </c>
      <c r="C7" s="83" t="s">
        <v>253</v>
      </c>
      <c r="D7" s="83" t="s">
        <v>254</v>
      </c>
      <c r="E7" s="83" t="s">
        <v>255</v>
      </c>
      <c r="F7" s="83" t="s">
        <v>256</v>
      </c>
      <c r="G7" s="83" t="s">
        <v>257</v>
      </c>
      <c r="H7" s="51"/>
    </row>
    <row r="8" spans="2:8" x14ac:dyDescent="0.3">
      <c r="B8" s="84"/>
      <c r="C8" s="84"/>
      <c r="D8" s="84"/>
      <c r="E8" s="84"/>
      <c r="F8" s="84"/>
      <c r="G8" s="84"/>
      <c r="H8" s="52"/>
    </row>
    <row r="9" spans="2:8" x14ac:dyDescent="0.3">
      <c r="B9" s="52" t="s">
        <v>258</v>
      </c>
      <c r="C9" s="53">
        <v>973.75</v>
      </c>
      <c r="D9" s="54">
        <v>0.159</v>
      </c>
      <c r="E9" s="53">
        <v>883.35</v>
      </c>
      <c r="F9" s="54">
        <v>0.151</v>
      </c>
      <c r="G9" s="54">
        <v>0.10199999999999999</v>
      </c>
      <c r="H9" s="52"/>
    </row>
    <row r="10" spans="2:8" x14ac:dyDescent="0.3">
      <c r="B10" s="52" t="s">
        <v>259</v>
      </c>
      <c r="C10" s="53">
        <v>966.61</v>
      </c>
      <c r="D10" s="54">
        <v>0.158</v>
      </c>
      <c r="E10" s="53">
        <v>776.23</v>
      </c>
      <c r="F10" s="54">
        <v>0.13300000000000001</v>
      </c>
      <c r="G10" s="54">
        <v>0.245</v>
      </c>
      <c r="H10" s="52"/>
    </row>
    <row r="11" spans="2:8" x14ac:dyDescent="0.3">
      <c r="B11" s="52" t="s">
        <v>260</v>
      </c>
      <c r="C11" s="53">
        <v>921.08</v>
      </c>
      <c r="D11" s="54">
        <v>0.158</v>
      </c>
      <c r="E11" s="53">
        <v>885.79</v>
      </c>
      <c r="F11" s="54">
        <v>0.152</v>
      </c>
      <c r="G11" s="54">
        <v>0.04</v>
      </c>
      <c r="H11" s="52"/>
    </row>
    <row r="12" spans="2:8" x14ac:dyDescent="0.3">
      <c r="B12" s="52" t="s">
        <v>261</v>
      </c>
      <c r="C12" s="53">
        <v>473.04</v>
      </c>
      <c r="D12" s="54">
        <v>7.6999999999999999E-2</v>
      </c>
      <c r="E12" s="53">
        <v>462.55</v>
      </c>
      <c r="F12" s="54">
        <v>7.9000000000000001E-2</v>
      </c>
      <c r="G12" s="54">
        <v>2.3E-2</v>
      </c>
      <c r="H12" s="52"/>
    </row>
    <row r="13" spans="2:8" x14ac:dyDescent="0.3">
      <c r="B13" s="52" t="s">
        <v>262</v>
      </c>
      <c r="C13" s="53">
        <v>194.16</v>
      </c>
      <c r="D13" s="54">
        <v>3.2000000000000001E-2</v>
      </c>
      <c r="E13" s="53">
        <v>183.5</v>
      </c>
      <c r="F13" s="54">
        <v>3.1E-2</v>
      </c>
      <c r="G13" s="54">
        <v>5.8000000000000003E-2</v>
      </c>
      <c r="H13" s="52"/>
    </row>
    <row r="14" spans="2:8" x14ac:dyDescent="0.3">
      <c r="B14" s="52" t="s">
        <v>263</v>
      </c>
      <c r="C14" s="53">
        <v>2582.0500000000002</v>
      </c>
      <c r="D14" s="54">
        <v>0.42299999999999999</v>
      </c>
      <c r="E14" s="53">
        <v>2645.27</v>
      </c>
      <c r="F14" s="54">
        <v>0.45300000000000001</v>
      </c>
      <c r="G14" s="54">
        <v>-2.4E-2</v>
      </c>
      <c r="H14" s="52"/>
    </row>
    <row r="15" spans="2:8" x14ac:dyDescent="0.3">
      <c r="B15" s="55" t="s">
        <v>264</v>
      </c>
      <c r="C15" s="56">
        <v>6110.69</v>
      </c>
      <c r="D15" s="57"/>
      <c r="E15" s="57"/>
      <c r="F15" s="57"/>
      <c r="G15" s="57"/>
      <c r="H15" s="58"/>
    </row>
    <row r="18" spans="2:4" x14ac:dyDescent="0.3">
      <c r="B18" s="81" t="s">
        <v>311</v>
      </c>
      <c r="C18" s="81"/>
    </row>
    <row r="19" spans="2:4" x14ac:dyDescent="0.3">
      <c r="B19" s="59" t="s">
        <v>312</v>
      </c>
      <c r="C19" s="59" t="s">
        <v>292</v>
      </c>
    </row>
    <row r="20" spans="2:4" x14ac:dyDescent="0.3">
      <c r="B20" s="60" t="s">
        <v>269</v>
      </c>
      <c r="C20" s="60">
        <f>6100*4</f>
        <v>24400</v>
      </c>
      <c r="D20" s="7" t="s">
        <v>175</v>
      </c>
    </row>
    <row r="21" spans="2:4" x14ac:dyDescent="0.3">
      <c r="B21" s="60" t="s">
        <v>265</v>
      </c>
      <c r="C21" s="61">
        <v>0.2</v>
      </c>
      <c r="D21" s="62" t="s">
        <v>266</v>
      </c>
    </row>
    <row r="22" spans="2:4" x14ac:dyDescent="0.3">
      <c r="B22" s="60" t="s">
        <v>267</v>
      </c>
      <c r="C22" s="60">
        <f>943*4</f>
        <v>3772</v>
      </c>
    </row>
    <row r="23" spans="2:4" x14ac:dyDescent="0.3">
      <c r="B23" s="60" t="s">
        <v>268</v>
      </c>
      <c r="C23" s="60">
        <f>C21*C22</f>
        <v>754.40000000000009</v>
      </c>
    </row>
    <row r="26" spans="2:4" x14ac:dyDescent="0.3">
      <c r="C26" s="7" t="s">
        <v>314</v>
      </c>
      <c r="D26" s="7" t="s">
        <v>313</v>
      </c>
    </row>
    <row r="28" spans="2:4" x14ac:dyDescent="0.3">
      <c r="B28" s="60" t="s">
        <v>312</v>
      </c>
      <c r="C28" s="60" t="s">
        <v>348</v>
      </c>
    </row>
    <row r="29" spans="2:4" x14ac:dyDescent="0.3">
      <c r="B29" s="60" t="s">
        <v>269</v>
      </c>
      <c r="C29" s="60">
        <f>6100*4</f>
        <v>24400</v>
      </c>
    </row>
    <row r="30" spans="2:4" x14ac:dyDescent="0.3">
      <c r="B30" s="60" t="s">
        <v>315</v>
      </c>
      <c r="C30" s="61">
        <v>0.2</v>
      </c>
    </row>
    <row r="31" spans="2:4" x14ac:dyDescent="0.3">
      <c r="B31" s="60" t="s">
        <v>316</v>
      </c>
      <c r="C31" s="60">
        <v>3</v>
      </c>
    </row>
    <row r="32" spans="2:4" x14ac:dyDescent="0.3">
      <c r="B32" s="60" t="s">
        <v>317</v>
      </c>
      <c r="C32" s="60">
        <f>C31*4</f>
        <v>12</v>
      </c>
    </row>
    <row r="33" spans="2:21" x14ac:dyDescent="0.3">
      <c r="B33" s="60" t="s">
        <v>318</v>
      </c>
      <c r="C33" s="68">
        <f>C30/C32</f>
        <v>1.6666666666666666E-2</v>
      </c>
    </row>
    <row r="34" spans="2:21" x14ac:dyDescent="0.3">
      <c r="B34" s="60" t="s">
        <v>331</v>
      </c>
      <c r="C34" s="69">
        <v>4000</v>
      </c>
    </row>
    <row r="35" spans="2:21" x14ac:dyDescent="0.3">
      <c r="B35" s="60" t="s">
        <v>333</v>
      </c>
      <c r="C35" s="69">
        <f>C20*10^6/C34</f>
        <v>6100000</v>
      </c>
    </row>
    <row r="36" spans="2:21" x14ac:dyDescent="0.3">
      <c r="B36" s="60" t="s">
        <v>334</v>
      </c>
      <c r="C36" s="68">
        <v>0.2</v>
      </c>
    </row>
    <row r="37" spans="2:21" x14ac:dyDescent="0.3">
      <c r="B37" s="60" t="s">
        <v>335</v>
      </c>
      <c r="C37" s="69">
        <v>6995</v>
      </c>
    </row>
    <row r="38" spans="2:21" x14ac:dyDescent="0.3">
      <c r="B38" s="60" t="s">
        <v>336</v>
      </c>
      <c r="C38" s="69">
        <f>C37*C36</f>
        <v>1399</v>
      </c>
    </row>
    <row r="39" spans="2:21" x14ac:dyDescent="0.3">
      <c r="B39" s="60" t="s">
        <v>337</v>
      </c>
      <c r="C39" s="69">
        <f>C37+C38</f>
        <v>8394</v>
      </c>
    </row>
    <row r="40" spans="2:21" x14ac:dyDescent="0.3">
      <c r="B40" s="60" t="s">
        <v>338</v>
      </c>
      <c r="C40" s="69" t="s">
        <v>346</v>
      </c>
      <c r="E40" s="7" t="s">
        <v>339</v>
      </c>
    </row>
    <row r="41" spans="2:21" x14ac:dyDescent="0.3">
      <c r="B41" s="60" t="s">
        <v>347</v>
      </c>
      <c r="C41" s="70">
        <f>38000</f>
        <v>38000</v>
      </c>
    </row>
    <row r="42" spans="2:21" x14ac:dyDescent="0.3">
      <c r="B42" s="60" t="s">
        <v>340</v>
      </c>
      <c r="C42" s="69">
        <f>C41/C39</f>
        <v>4.5270431260424111</v>
      </c>
    </row>
    <row r="43" spans="2:21" x14ac:dyDescent="0.3">
      <c r="B43" s="60" t="s">
        <v>352</v>
      </c>
      <c r="C43" s="64">
        <f>J50</f>
        <v>25417</v>
      </c>
    </row>
    <row r="44" spans="2:21" x14ac:dyDescent="0.3">
      <c r="B44" s="60" t="s">
        <v>353</v>
      </c>
      <c r="C44" s="64">
        <f>J55</f>
        <v>43</v>
      </c>
    </row>
    <row r="45" spans="2:21" x14ac:dyDescent="0.3">
      <c r="I45" s="60"/>
      <c r="J45" s="60" t="s">
        <v>319</v>
      </c>
      <c r="K45" s="60" t="s">
        <v>320</v>
      </c>
      <c r="L45" s="60" t="s">
        <v>324</v>
      </c>
      <c r="M45" s="60" t="s">
        <v>323</v>
      </c>
      <c r="N45" s="60" t="s">
        <v>322</v>
      </c>
      <c r="O45" s="60" t="s">
        <v>321</v>
      </c>
      <c r="P45" s="60" t="s">
        <v>325</v>
      </c>
      <c r="Q45" s="60" t="s">
        <v>326</v>
      </c>
      <c r="R45" s="60" t="s">
        <v>327</v>
      </c>
      <c r="S45" s="60" t="s">
        <v>328</v>
      </c>
      <c r="T45" s="60" t="s">
        <v>329</v>
      </c>
      <c r="U45" s="60" t="s">
        <v>330</v>
      </c>
    </row>
    <row r="46" spans="2:21" s="65" customFormat="1" x14ac:dyDescent="0.3">
      <c r="I46" s="63" t="s">
        <v>344</v>
      </c>
      <c r="J46" s="64">
        <f>C35</f>
        <v>6100000</v>
      </c>
      <c r="K46" s="64">
        <f>J46</f>
        <v>6100000</v>
      </c>
      <c r="L46" s="64">
        <f>J46*(1+L47)</f>
        <v>6588000</v>
      </c>
      <c r="M46" s="64">
        <f>L46</f>
        <v>6588000</v>
      </c>
      <c r="N46" s="64">
        <f>M46</f>
        <v>6588000</v>
      </c>
      <c r="O46" s="64">
        <f>N46</f>
        <v>6588000</v>
      </c>
      <c r="P46" s="64">
        <f>L46*(1+P47)</f>
        <v>7115040.0000000009</v>
      </c>
      <c r="Q46" s="64">
        <f>P46</f>
        <v>7115040.0000000009</v>
      </c>
      <c r="R46" s="64">
        <f>Q46</f>
        <v>7115040.0000000009</v>
      </c>
      <c r="S46" s="64">
        <f>R46</f>
        <v>7115040.0000000009</v>
      </c>
      <c r="T46" s="64">
        <f>P46*(1+T47)</f>
        <v>7684243.2000000011</v>
      </c>
      <c r="U46" s="64">
        <f>T46</f>
        <v>7684243.2000000011</v>
      </c>
    </row>
    <row r="47" spans="2:21" x14ac:dyDescent="0.3">
      <c r="I47" s="60" t="s">
        <v>341</v>
      </c>
      <c r="J47" s="60"/>
      <c r="K47" s="60"/>
      <c r="L47" s="80">
        <v>0.08</v>
      </c>
      <c r="M47" s="82"/>
      <c r="N47" s="82"/>
      <c r="O47" s="82"/>
      <c r="P47" s="80">
        <v>0.08</v>
      </c>
      <c r="Q47" s="80"/>
      <c r="R47" s="80"/>
      <c r="S47" s="80"/>
      <c r="T47" s="80">
        <v>0.08</v>
      </c>
      <c r="U47" s="80"/>
    </row>
    <row r="48" spans="2:21" x14ac:dyDescent="0.3">
      <c r="I48" s="60" t="s">
        <v>342</v>
      </c>
      <c r="J48" s="64">
        <f>ROUND(J46/4,0)</f>
        <v>1525000</v>
      </c>
      <c r="K48" s="64">
        <f>ROUND(J46/4,0)</f>
        <v>1525000</v>
      </c>
      <c r="L48" s="64">
        <f>ROUND($L$46/4,0)</f>
        <v>1647000</v>
      </c>
      <c r="M48" s="64">
        <f>ROUND($L$46/4,0)</f>
        <v>1647000</v>
      </c>
      <c r="N48" s="64">
        <f>ROUND($L$46/4,0)</f>
        <v>1647000</v>
      </c>
      <c r="O48" s="64">
        <f>ROUND($L$46/4,0)</f>
        <v>1647000</v>
      </c>
      <c r="P48" s="64">
        <f>ROUND($P$46/4,0)</f>
        <v>1778760</v>
      </c>
      <c r="Q48" s="64">
        <f>ROUND($P$46/4,0)</f>
        <v>1778760</v>
      </c>
      <c r="R48" s="64">
        <f>ROUND($P$46/4,0)</f>
        <v>1778760</v>
      </c>
      <c r="S48" s="64">
        <f>ROUND($P$46/4,0)</f>
        <v>1778760</v>
      </c>
      <c r="T48" s="64">
        <f>ROUND($T$46/4,0)</f>
        <v>1921061</v>
      </c>
      <c r="U48" s="64">
        <f>ROUND($T$46/4,0)</f>
        <v>1921061</v>
      </c>
    </row>
    <row r="49" spans="9:21" x14ac:dyDescent="0.3">
      <c r="I49" s="60" t="s">
        <v>315</v>
      </c>
      <c r="J49" s="66">
        <f>C33</f>
        <v>1.6666666666666666E-2</v>
      </c>
      <c r="K49" s="66">
        <f>J49*2</f>
        <v>3.3333333333333333E-2</v>
      </c>
      <c r="L49" s="66">
        <f>J49*3</f>
        <v>0.05</v>
      </c>
      <c r="M49" s="66">
        <f>J49*4</f>
        <v>6.6666666666666666E-2</v>
      </c>
      <c r="N49" s="66">
        <f>J49*5</f>
        <v>8.3333333333333329E-2</v>
      </c>
      <c r="O49" s="66">
        <f>J49*6</f>
        <v>0.1</v>
      </c>
      <c r="P49" s="66">
        <f>J49*7</f>
        <v>0.11666666666666667</v>
      </c>
      <c r="Q49" s="66">
        <f>J49*8</f>
        <v>0.13333333333333333</v>
      </c>
      <c r="R49" s="66">
        <f>J49*9</f>
        <v>0.15</v>
      </c>
      <c r="S49" s="66">
        <f>J49*10</f>
        <v>0.16666666666666666</v>
      </c>
      <c r="T49" s="66">
        <f>J49*11</f>
        <v>0.18333333333333332</v>
      </c>
      <c r="U49" s="66">
        <f>J49*12</f>
        <v>0.2</v>
      </c>
    </row>
    <row r="50" spans="9:21" x14ac:dyDescent="0.3">
      <c r="I50" s="60" t="s">
        <v>332</v>
      </c>
      <c r="J50" s="64">
        <f t="shared" ref="J50:U50" si="0">ROUND(J49*J48,0)</f>
        <v>25417</v>
      </c>
      <c r="K50" s="64">
        <f t="shared" si="0"/>
        <v>50833</v>
      </c>
      <c r="L50" s="64">
        <f t="shared" si="0"/>
        <v>82350</v>
      </c>
      <c r="M50" s="64">
        <f t="shared" si="0"/>
        <v>109800</v>
      </c>
      <c r="N50" s="64">
        <f t="shared" si="0"/>
        <v>137250</v>
      </c>
      <c r="O50" s="64">
        <f t="shared" si="0"/>
        <v>164700</v>
      </c>
      <c r="P50" s="64">
        <f t="shared" si="0"/>
        <v>207522</v>
      </c>
      <c r="Q50" s="64">
        <f t="shared" si="0"/>
        <v>237168</v>
      </c>
      <c r="R50" s="64">
        <f t="shared" si="0"/>
        <v>266814</v>
      </c>
      <c r="S50" s="64">
        <f t="shared" si="0"/>
        <v>296460</v>
      </c>
      <c r="T50" s="64">
        <f t="shared" si="0"/>
        <v>352195</v>
      </c>
      <c r="U50" s="64">
        <f t="shared" si="0"/>
        <v>384212</v>
      </c>
    </row>
    <row r="51" spans="9:21" x14ac:dyDescent="0.3">
      <c r="I51" s="60" t="s">
        <v>343</v>
      </c>
      <c r="J51" s="64">
        <f>C39</f>
        <v>8394</v>
      </c>
      <c r="K51" s="64">
        <f>J51</f>
        <v>8394</v>
      </c>
      <c r="L51" s="64">
        <f t="shared" ref="L51:U51" si="1">K51</f>
        <v>8394</v>
      </c>
      <c r="M51" s="64">
        <f t="shared" si="1"/>
        <v>8394</v>
      </c>
      <c r="N51" s="64">
        <f t="shared" si="1"/>
        <v>8394</v>
      </c>
      <c r="O51" s="64">
        <f t="shared" si="1"/>
        <v>8394</v>
      </c>
      <c r="P51" s="64">
        <f t="shared" si="1"/>
        <v>8394</v>
      </c>
      <c r="Q51" s="64">
        <f t="shared" si="1"/>
        <v>8394</v>
      </c>
      <c r="R51" s="64">
        <f t="shared" si="1"/>
        <v>8394</v>
      </c>
      <c r="S51" s="64">
        <f t="shared" si="1"/>
        <v>8394</v>
      </c>
      <c r="T51" s="64">
        <f t="shared" si="1"/>
        <v>8394</v>
      </c>
      <c r="U51" s="64">
        <f t="shared" si="1"/>
        <v>8394</v>
      </c>
    </row>
    <row r="52" spans="9:21" x14ac:dyDescent="0.3">
      <c r="I52" s="60" t="s">
        <v>345</v>
      </c>
      <c r="J52" s="60">
        <f>ROUND(J51*J50/10^6,0)</f>
        <v>213</v>
      </c>
      <c r="K52" s="60">
        <f t="shared" ref="K52:U52" si="2">ROUND(K51*K50/10^6,0)</f>
        <v>427</v>
      </c>
      <c r="L52" s="60">
        <f t="shared" si="2"/>
        <v>691</v>
      </c>
      <c r="M52" s="60">
        <f t="shared" si="2"/>
        <v>922</v>
      </c>
      <c r="N52" s="60">
        <f t="shared" si="2"/>
        <v>1152</v>
      </c>
      <c r="O52" s="60">
        <f t="shared" si="2"/>
        <v>1382</v>
      </c>
      <c r="P52" s="60">
        <f t="shared" si="2"/>
        <v>1742</v>
      </c>
      <c r="Q52" s="60">
        <f t="shared" si="2"/>
        <v>1991</v>
      </c>
      <c r="R52" s="60">
        <f t="shared" si="2"/>
        <v>2240</v>
      </c>
      <c r="S52" s="60">
        <f t="shared" si="2"/>
        <v>2488</v>
      </c>
      <c r="T52" s="60">
        <f t="shared" si="2"/>
        <v>2956</v>
      </c>
      <c r="U52" s="60">
        <f t="shared" si="2"/>
        <v>3225</v>
      </c>
    </row>
    <row r="53" spans="9:21" x14ac:dyDescent="0.3">
      <c r="I53" s="60" t="s">
        <v>349</v>
      </c>
      <c r="J53" s="67">
        <v>0.2</v>
      </c>
      <c r="K53" s="67">
        <f>J53</f>
        <v>0.2</v>
      </c>
      <c r="L53" s="67">
        <f t="shared" ref="L53:U53" si="3">K53</f>
        <v>0.2</v>
      </c>
      <c r="M53" s="67">
        <f t="shared" si="3"/>
        <v>0.2</v>
      </c>
      <c r="N53" s="67">
        <f t="shared" si="3"/>
        <v>0.2</v>
      </c>
      <c r="O53" s="67">
        <f t="shared" si="3"/>
        <v>0.2</v>
      </c>
      <c r="P53" s="67">
        <f t="shared" si="3"/>
        <v>0.2</v>
      </c>
      <c r="Q53" s="67">
        <f t="shared" si="3"/>
        <v>0.2</v>
      </c>
      <c r="R53" s="67">
        <f t="shared" si="3"/>
        <v>0.2</v>
      </c>
      <c r="S53" s="67">
        <f t="shared" si="3"/>
        <v>0.2</v>
      </c>
      <c r="T53" s="67">
        <f t="shared" si="3"/>
        <v>0.2</v>
      </c>
      <c r="U53" s="67">
        <f t="shared" si="3"/>
        <v>0.2</v>
      </c>
    </row>
    <row r="54" spans="9:21" x14ac:dyDescent="0.3">
      <c r="I54" s="60" t="s">
        <v>350</v>
      </c>
      <c r="J54" s="64">
        <f>ROUND(J53*J51,0)</f>
        <v>1679</v>
      </c>
      <c r="K54" s="64">
        <f t="shared" ref="K54:U54" si="4">ROUND(K53*K51,0)</f>
        <v>1679</v>
      </c>
      <c r="L54" s="64">
        <f t="shared" si="4"/>
        <v>1679</v>
      </c>
      <c r="M54" s="64">
        <f t="shared" si="4"/>
        <v>1679</v>
      </c>
      <c r="N54" s="64">
        <f t="shared" si="4"/>
        <v>1679</v>
      </c>
      <c r="O54" s="64">
        <f t="shared" si="4"/>
        <v>1679</v>
      </c>
      <c r="P54" s="64">
        <f t="shared" si="4"/>
        <v>1679</v>
      </c>
      <c r="Q54" s="64">
        <f t="shared" si="4"/>
        <v>1679</v>
      </c>
      <c r="R54" s="64">
        <f t="shared" si="4"/>
        <v>1679</v>
      </c>
      <c r="S54" s="64">
        <f t="shared" si="4"/>
        <v>1679</v>
      </c>
      <c r="T54" s="64">
        <f t="shared" si="4"/>
        <v>1679</v>
      </c>
      <c r="U54" s="64">
        <f t="shared" si="4"/>
        <v>1679</v>
      </c>
    </row>
    <row r="55" spans="9:21" x14ac:dyDescent="0.3">
      <c r="I55" s="60" t="s">
        <v>351</v>
      </c>
      <c r="J55" s="60">
        <f>ROUND(J54*J50/10^6,0)</f>
        <v>43</v>
      </c>
      <c r="K55" s="60">
        <f t="shared" ref="K55:U55" si="5">ROUND(K54*K50/10^6,0)</f>
        <v>85</v>
      </c>
      <c r="L55" s="60">
        <f t="shared" si="5"/>
        <v>138</v>
      </c>
      <c r="M55" s="60">
        <f t="shared" si="5"/>
        <v>184</v>
      </c>
      <c r="N55" s="60">
        <f t="shared" si="5"/>
        <v>230</v>
      </c>
      <c r="O55" s="60">
        <f t="shared" si="5"/>
        <v>277</v>
      </c>
      <c r="P55" s="60">
        <f t="shared" si="5"/>
        <v>348</v>
      </c>
      <c r="Q55" s="60">
        <f t="shared" si="5"/>
        <v>398</v>
      </c>
      <c r="R55" s="60">
        <f t="shared" si="5"/>
        <v>448</v>
      </c>
      <c r="S55" s="60">
        <f t="shared" si="5"/>
        <v>498</v>
      </c>
      <c r="T55" s="60">
        <f t="shared" si="5"/>
        <v>591</v>
      </c>
      <c r="U55" s="60">
        <f t="shared" si="5"/>
        <v>645</v>
      </c>
    </row>
  </sheetData>
  <mergeCells count="10">
    <mergeCell ref="P47:S47"/>
    <mergeCell ref="T47:U47"/>
    <mergeCell ref="B18:C18"/>
    <mergeCell ref="L47:O47"/>
    <mergeCell ref="B7:B8"/>
    <mergeCell ref="C7:C8"/>
    <mergeCell ref="D7:D8"/>
    <mergeCell ref="E7:E8"/>
    <mergeCell ref="F7:F8"/>
    <mergeCell ref="G7:G8"/>
  </mergeCells>
  <phoneticPr fontId="10" type="noConversion"/>
  <hyperlinks>
    <hyperlink ref="D21" r:id="rId1" xr:uid="{21464250-CED6-409F-89B7-26CFBFFA318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AddressCalculation</vt:lpstr>
      <vt:lpstr>SupportedInstructions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Jasneet Singh</dc:creator>
  <cp:lastModifiedBy>Jasneet Singh</cp:lastModifiedBy>
  <dcterms:created xsi:type="dcterms:W3CDTF">2023-03-27T03:55:35Z</dcterms:created>
  <dcterms:modified xsi:type="dcterms:W3CDTF">2023-05-14T22:26:56Z</dcterms:modified>
</cp:coreProperties>
</file>