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F:\Courses\Business analysis\Chandoo\"/>
    </mc:Choice>
  </mc:AlternateContent>
  <bookViews>
    <workbookView xWindow="-120" yWindow="-120" windowWidth="29040" windowHeight="15840" firstSheet="3" activeTab="8"/>
  </bookViews>
  <sheets>
    <sheet name="Data" sheetId="1" r:id="rId1"/>
    <sheet name="India Staff" sheetId="2" r:id="rId2"/>
    <sheet name="All Staff" sheetId="4" r:id="rId3"/>
    <sheet name="Male vs Female Comparison" sheetId="5" r:id="rId4"/>
    <sheet name="Salary spread" sheetId="6" r:id="rId5"/>
    <sheet name="salary vs rating" sheetId="7" r:id="rId6"/>
    <sheet name="Employee Trend over time" sheetId="11" r:id="rId7"/>
    <sheet name="Employee Report card" sheetId="15" r:id="rId8"/>
    <sheet name="Full Dashboard" sheetId="14" r:id="rId9"/>
    <sheet name="Documentation" sheetId="17" state="hidden" r:id="rId10"/>
    <sheet name="Sheet8" sheetId="12" state="hidden" r:id="rId11"/>
  </sheets>
  <definedNames>
    <definedName name="_xlnm._FilterDatabase" localSheetId="0" hidden="1">Data!$C$5:$I$105</definedName>
    <definedName name="_xlnm._FilterDatabase" localSheetId="6" hidden="1">'Employee Trend over time'!$P$4:$S$40</definedName>
    <definedName name="_xlnm._FilterDatabase" localSheetId="1" hidden="1">'India Staff'!$B$2:$H$114</definedName>
    <definedName name="_xlchart.0" hidden="1">'All Staff'!$F$2:$F$184</definedName>
    <definedName name="_xlchart.1" hidden="1">'All Staff'!$F$2:$F$184</definedName>
    <definedName name="_xlchart.2" hidden="1">'All Staff'!$F$2:$F$184</definedName>
    <definedName name="_xlchart.3" hidden="1">'All Staff'!$F$2:$F$184</definedName>
    <definedName name="_xlcn.WorksheetConnection_blankdatafile.xlsxstaff1" hidden="1">staff[]</definedName>
    <definedName name="ExternalData_1" localSheetId="2" hidden="1">'All Staff'!$A$1:$H$184</definedName>
    <definedName name="Slicer_Country">#N/A</definedName>
  </definedNames>
  <calcPr calcId="162913"/>
  <pivotCaches>
    <pivotCache cacheId="0" r:id="rId12"/>
    <pivotCache cacheId="1" r:id="rId13"/>
    <pivotCache cacheId="2" r:id="rId14"/>
    <pivotCache cacheId="3" r:id="rId15"/>
    <pivotCache cacheId="4" r:id="rId16"/>
  </pivotCaches>
  <extLst>
    <ext xmlns:x14="http://schemas.microsoft.com/office/spreadsheetml/2009/9/main" uri="{876F7934-8845-4945-9796-88D515C7AA90}">
      <x14:pivotCaches>
        <pivotCache cacheId="5"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xlsx!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4" i="15" l="1"/>
  <c r="R14" i="15"/>
  <c r="T14" i="15" s="1"/>
  <c r="P14" i="15"/>
  <c r="N14" i="15"/>
  <c r="L14" i="15"/>
  <c r="I3" i="14" l="1"/>
  <c r="K3" i="14" s="1"/>
  <c r="M3" i="14"/>
  <c r="G3" i="14"/>
  <c r="C3" i="14"/>
  <c r="E3" i="14" s="1"/>
  <c r="R6" i="11"/>
  <c r="R7" i="11"/>
  <c r="R8" i="11"/>
  <c r="R9" i="11"/>
  <c r="R10" i="11"/>
  <c r="R11" i="11"/>
  <c r="R12" i="11"/>
  <c r="R13" i="11"/>
  <c r="R14" i="11"/>
  <c r="R15" i="11"/>
  <c r="R16" i="11"/>
  <c r="R17" i="11"/>
  <c r="R18" i="11"/>
  <c r="R19" i="11"/>
  <c r="R20" i="11"/>
  <c r="R21" i="11"/>
  <c r="R22" i="11"/>
  <c r="R23" i="11"/>
  <c r="R24" i="11"/>
  <c r="R25" i="11"/>
  <c r="R26" i="11"/>
  <c r="R27" i="11"/>
  <c r="R28" i="11"/>
  <c r="R29" i="11"/>
  <c r="R30" i="11"/>
  <c r="R31" i="11"/>
  <c r="R32" i="11"/>
  <c r="R33" i="11"/>
  <c r="R34" i="11"/>
  <c r="R35" i="11"/>
  <c r="R36" i="11"/>
  <c r="R37" i="11"/>
  <c r="R38" i="11"/>
  <c r="R39" i="11"/>
  <c r="R40" i="11"/>
  <c r="R5" i="11"/>
  <c r="S8" i="11" s="1"/>
  <c r="K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S39" i="11" l="1"/>
  <c r="S35" i="11"/>
  <c r="S31" i="11"/>
  <c r="S27" i="11"/>
  <c r="S23" i="11"/>
  <c r="S19" i="11"/>
  <c r="S15" i="11"/>
  <c r="S11" i="11"/>
  <c r="S7" i="11"/>
  <c r="S38" i="11"/>
  <c r="S34" i="11"/>
  <c r="S30" i="11"/>
  <c r="S26" i="11"/>
  <c r="S22" i="11"/>
  <c r="S18" i="11"/>
  <c r="S14" i="11"/>
  <c r="S10" i="11"/>
  <c r="S6" i="11"/>
  <c r="S5" i="11"/>
  <c r="S37" i="11"/>
  <c r="S33" i="11"/>
  <c r="S29" i="11"/>
  <c r="S25" i="11"/>
  <c r="S21" i="11"/>
  <c r="S17" i="11"/>
  <c r="S13" i="11"/>
  <c r="S9" i="11"/>
  <c r="S40" i="11"/>
  <c r="S36" i="11"/>
  <c r="S32" i="11"/>
  <c r="S28" i="11"/>
  <c r="S24" i="11"/>
  <c r="S20" i="11"/>
  <c r="S16" i="11"/>
  <c r="S12" i="11"/>
  <c r="O17" i="4"/>
  <c r="O23" i="4"/>
  <c r="O22" i="4"/>
  <c r="O20" i="4"/>
  <c r="O19" i="4"/>
  <c r="O18" i="4"/>
  <c r="O21" i="4"/>
  <c r="O9" i="4"/>
  <c r="O7" i="4"/>
  <c r="I68" i="4"/>
  <c r="J68" i="4" s="1"/>
  <c r="I70" i="4"/>
  <c r="J70" i="4" s="1"/>
  <c r="I8" i="4"/>
  <c r="J8" i="4" s="1"/>
  <c r="I28" i="4"/>
  <c r="J28" i="4" s="1"/>
  <c r="I140" i="4"/>
  <c r="J140" i="4" s="1"/>
  <c r="I183" i="4"/>
  <c r="J183" i="4" s="1"/>
  <c r="I36" i="4"/>
  <c r="J36" i="4" s="1"/>
  <c r="I24" i="4"/>
  <c r="J24" i="4" s="1"/>
  <c r="I56" i="4"/>
  <c r="J56" i="4" s="1"/>
  <c r="I96" i="4"/>
  <c r="J96" i="4" s="1"/>
  <c r="I162" i="4"/>
  <c r="J162" i="4" s="1"/>
  <c r="I136" i="4"/>
  <c r="J136" i="4" s="1"/>
  <c r="I110" i="4"/>
  <c r="I84" i="4"/>
  <c r="J84" i="4" s="1"/>
  <c r="I38" i="4"/>
  <c r="J38" i="4" s="1"/>
  <c r="I156" i="4"/>
  <c r="J156" i="4" s="1"/>
  <c r="I32" i="4"/>
  <c r="J32" i="4" s="1"/>
  <c r="I163" i="4"/>
  <c r="J163" i="4" s="1"/>
  <c r="I128" i="4"/>
  <c r="J128" i="4" s="1"/>
  <c r="I76" i="4"/>
  <c r="J76" i="4" s="1"/>
  <c r="I173" i="4"/>
  <c r="J173" i="4" s="1"/>
  <c r="I62" i="4"/>
  <c r="J62" i="4" s="1"/>
  <c r="I120" i="4"/>
  <c r="J120" i="4" s="1"/>
  <c r="I39" i="4"/>
  <c r="J39" i="4" s="1"/>
  <c r="I118" i="4"/>
  <c r="J118" i="4" s="1"/>
  <c r="I34" i="4"/>
  <c r="J34" i="4" s="1"/>
  <c r="I181" i="4"/>
  <c r="J181" i="4" s="1"/>
  <c r="I94" i="4"/>
  <c r="J94" i="4" s="1"/>
  <c r="I152" i="4"/>
  <c r="J152" i="4" s="1"/>
  <c r="I167" i="4"/>
  <c r="J167" i="4" s="1"/>
  <c r="I100" i="4"/>
  <c r="J100" i="4" s="1"/>
  <c r="I14" i="4"/>
  <c r="J14" i="4" s="1"/>
  <c r="I78" i="4"/>
  <c r="J78" i="4" s="1"/>
  <c r="I179" i="4"/>
  <c r="J179" i="4" s="1"/>
  <c r="I126" i="4"/>
  <c r="J126" i="4" s="1"/>
  <c r="I72" i="4"/>
  <c r="J72" i="4" s="1"/>
  <c r="I122" i="4"/>
  <c r="J122" i="4" s="1"/>
  <c r="I66" i="4"/>
  <c r="J66" i="4" s="1"/>
  <c r="I165" i="4"/>
  <c r="J165" i="4" s="1"/>
  <c r="I52" i="4"/>
  <c r="J52" i="4" s="1"/>
  <c r="I88" i="4"/>
  <c r="J88" i="4" s="1"/>
  <c r="I112" i="4"/>
  <c r="J112" i="4" s="1"/>
  <c r="I58" i="4"/>
  <c r="J58" i="4" s="1"/>
  <c r="I20" i="4"/>
  <c r="J20" i="4" s="1"/>
  <c r="I116" i="4"/>
  <c r="J116" i="4" s="1"/>
  <c r="I74" i="4"/>
  <c r="J74" i="4" s="1"/>
  <c r="I160" i="4"/>
  <c r="J160" i="4" s="1"/>
  <c r="I146" i="4"/>
  <c r="J146" i="4" s="1"/>
  <c r="I60" i="4"/>
  <c r="J60" i="4" s="1"/>
  <c r="I46" i="4"/>
  <c r="J46" i="4" s="1"/>
  <c r="I134" i="4"/>
  <c r="J134" i="4" s="1"/>
  <c r="I92" i="4"/>
  <c r="J92" i="4" s="1"/>
  <c r="I158" i="4"/>
  <c r="J158" i="4" s="1"/>
  <c r="I26" i="4"/>
  <c r="J26" i="4" s="1"/>
  <c r="I42" i="4"/>
  <c r="J42" i="4" s="1"/>
  <c r="I50" i="4"/>
  <c r="J50" i="4" s="1"/>
  <c r="I12" i="4"/>
  <c r="J12" i="4" s="1"/>
  <c r="I130" i="4"/>
  <c r="J130" i="4" s="1"/>
  <c r="I80" i="4"/>
  <c r="J80" i="4" s="1"/>
  <c r="I171" i="4"/>
  <c r="J171" i="4" s="1"/>
  <c r="I86" i="4"/>
  <c r="J86" i="4" s="1"/>
  <c r="I124" i="4"/>
  <c r="J124" i="4" s="1"/>
  <c r="I16" i="4"/>
  <c r="J16" i="4" s="1"/>
  <c r="I104" i="4"/>
  <c r="J104" i="4" s="1"/>
  <c r="I150" i="4"/>
  <c r="J150" i="4" s="1"/>
  <c r="I175" i="4"/>
  <c r="J175" i="4" s="1"/>
  <c r="I98" i="4"/>
  <c r="J98" i="4" s="1"/>
  <c r="I44" i="4"/>
  <c r="J44" i="4" s="1"/>
  <c r="I177" i="4"/>
  <c r="J177" i="4" s="1"/>
  <c r="I169" i="4"/>
  <c r="J169" i="4" s="1"/>
  <c r="I144" i="4"/>
  <c r="J144" i="4" s="1"/>
  <c r="I142" i="4"/>
  <c r="J142" i="4" s="1"/>
  <c r="I154" i="4"/>
  <c r="J154" i="4" s="1"/>
  <c r="I48" i="4"/>
  <c r="J48" i="4" s="1"/>
  <c r="I82" i="4"/>
  <c r="J82" i="4" s="1"/>
  <c r="I148" i="4"/>
  <c r="J148" i="4" s="1"/>
  <c r="I22" i="4"/>
  <c r="J22" i="4" s="1"/>
  <c r="I10" i="4"/>
  <c r="J10" i="4" s="1"/>
  <c r="I102" i="4"/>
  <c r="J102" i="4" s="1"/>
  <c r="I2" i="4"/>
  <c r="J2" i="4" s="1"/>
  <c r="I106" i="4"/>
  <c r="J106" i="4" s="1"/>
  <c r="I4" i="4"/>
  <c r="J4" i="4" s="1"/>
  <c r="I132" i="4"/>
  <c r="J132" i="4" s="1"/>
  <c r="I114" i="4"/>
  <c r="J114" i="4" s="1"/>
  <c r="I108" i="4"/>
  <c r="J108" i="4" s="1"/>
  <c r="I64" i="4"/>
  <c r="J64" i="4" s="1"/>
  <c r="I30" i="4"/>
  <c r="J30" i="4" s="1"/>
  <c r="I138" i="4"/>
  <c r="J138" i="4" s="1"/>
  <c r="I54" i="4"/>
  <c r="J54" i="4" s="1"/>
  <c r="I6" i="4"/>
  <c r="J6" i="4" s="1"/>
  <c r="I18" i="4"/>
  <c r="J18" i="4" s="1"/>
  <c r="I90" i="4"/>
  <c r="J90" i="4" s="1"/>
  <c r="I113" i="4"/>
  <c r="J113" i="4" s="1"/>
  <c r="I105" i="4"/>
  <c r="J105" i="4" s="1"/>
  <c r="I45" i="4"/>
  <c r="J45" i="4" s="1"/>
  <c r="I87" i="4"/>
  <c r="J87" i="4" s="1"/>
  <c r="I81" i="4"/>
  <c r="J81" i="4" s="1"/>
  <c r="I11" i="4"/>
  <c r="J11" i="4" s="1"/>
  <c r="I93" i="4"/>
  <c r="J93" i="4" s="1"/>
  <c r="I89" i="4"/>
  <c r="J89" i="4" s="1"/>
  <c r="I176" i="4"/>
  <c r="J176" i="4" s="1"/>
  <c r="I139" i="4"/>
  <c r="J139" i="4" s="1"/>
  <c r="I159" i="4"/>
  <c r="J159" i="4" s="1"/>
  <c r="I101" i="4"/>
  <c r="J101" i="4" s="1"/>
  <c r="I7" i="4"/>
  <c r="J7" i="4" s="1"/>
  <c r="I51" i="4"/>
  <c r="J51" i="4" s="1"/>
  <c r="I97" i="4"/>
  <c r="J97" i="4" s="1"/>
  <c r="I147" i="4"/>
  <c r="J147" i="4" s="1"/>
  <c r="I145" i="4"/>
  <c r="J145" i="4" s="1"/>
  <c r="I121" i="4"/>
  <c r="J121" i="4" s="1"/>
  <c r="I141" i="4"/>
  <c r="J141" i="4" s="1"/>
  <c r="I135" i="4"/>
  <c r="J135" i="4" s="1"/>
  <c r="I13" i="4"/>
  <c r="J13" i="4" s="1"/>
  <c r="I65" i="4"/>
  <c r="J65" i="4" s="1"/>
  <c r="I23" i="4"/>
  <c r="J23" i="4" s="1"/>
  <c r="I123" i="4"/>
  <c r="J123" i="4" s="1"/>
  <c r="I15" i="4"/>
  <c r="J15" i="4" s="1"/>
  <c r="I17" i="4"/>
  <c r="J17" i="4" s="1"/>
  <c r="I143" i="4"/>
  <c r="J143" i="4" s="1"/>
  <c r="I75" i="4"/>
  <c r="J75" i="4" s="1"/>
  <c r="I95" i="4"/>
  <c r="J95" i="4" s="1"/>
  <c r="I127" i="4"/>
  <c r="J127" i="4" s="1"/>
  <c r="I27" i="4"/>
  <c r="J27" i="4" s="1"/>
  <c r="I31" i="4"/>
  <c r="J31" i="4" s="1"/>
  <c r="I184" i="4"/>
  <c r="J184" i="4" s="1"/>
  <c r="I21" i="4"/>
  <c r="J21" i="4" s="1"/>
  <c r="I91" i="4"/>
  <c r="J91" i="4" s="1"/>
  <c r="I107" i="4"/>
  <c r="J107" i="4" s="1"/>
  <c r="I3" i="4"/>
  <c r="J3" i="4" s="1"/>
  <c r="I29" i="4"/>
  <c r="J29" i="4" s="1"/>
  <c r="I161" i="4"/>
  <c r="J161" i="4" s="1"/>
  <c r="I131" i="4"/>
  <c r="J131" i="4" s="1"/>
  <c r="I170" i="4"/>
  <c r="J170" i="4" s="1"/>
  <c r="I40" i="4"/>
  <c r="J40" i="4" s="1"/>
  <c r="I73" i="4"/>
  <c r="J73" i="4" s="1"/>
  <c r="I77" i="4"/>
  <c r="J77" i="4" s="1"/>
  <c r="I25" i="4"/>
  <c r="J25" i="4" s="1"/>
  <c r="I149" i="4"/>
  <c r="J149" i="4" s="1"/>
  <c r="I59" i="4"/>
  <c r="J59" i="4" s="1"/>
  <c r="I153" i="4"/>
  <c r="J153" i="4" s="1"/>
  <c r="I115" i="4"/>
  <c r="J115" i="4" s="1"/>
  <c r="I19" i="4"/>
  <c r="J19" i="4" s="1"/>
  <c r="I69" i="4"/>
  <c r="J69" i="4" s="1"/>
  <c r="I35" i="4"/>
  <c r="J35" i="4" s="1"/>
  <c r="I49" i="4"/>
  <c r="J49" i="4" s="1"/>
  <c r="I109" i="4"/>
  <c r="J109" i="4" s="1"/>
  <c r="I151" i="4"/>
  <c r="J151" i="4" s="1"/>
  <c r="I129" i="4"/>
  <c r="J129" i="4" s="1"/>
  <c r="I55" i="4"/>
  <c r="J55" i="4" s="1"/>
  <c r="I166" i="4"/>
  <c r="J166" i="4" s="1"/>
  <c r="I157" i="4"/>
  <c r="J157" i="4" s="1"/>
  <c r="I125" i="4"/>
  <c r="J125" i="4" s="1"/>
  <c r="I168" i="4"/>
  <c r="J168" i="4" s="1"/>
  <c r="I61" i="4"/>
  <c r="J61" i="4" s="1"/>
  <c r="I71" i="4"/>
  <c r="J71" i="4" s="1"/>
  <c r="I119" i="4"/>
  <c r="J119" i="4" s="1"/>
  <c r="I164" i="4"/>
  <c r="J164" i="4" s="1"/>
  <c r="I79" i="4"/>
  <c r="J79" i="4" s="1"/>
  <c r="I57" i="4"/>
  <c r="J57" i="4" s="1"/>
  <c r="I83" i="4"/>
  <c r="J83" i="4" s="1"/>
  <c r="I5" i="4"/>
  <c r="J5" i="4" s="1"/>
  <c r="I53" i="4"/>
  <c r="J53" i="4" s="1"/>
  <c r="I47" i="4"/>
  <c r="J47" i="4" s="1"/>
  <c r="I9" i="4"/>
  <c r="J9" i="4" s="1"/>
  <c r="I155" i="4"/>
  <c r="J155" i="4" s="1"/>
  <c r="I178" i="4"/>
  <c r="J178" i="4" s="1"/>
  <c r="I99" i="4"/>
  <c r="J99" i="4" s="1"/>
  <c r="I85" i="4"/>
  <c r="J85" i="4" s="1"/>
  <c r="I117" i="4"/>
  <c r="J117" i="4" s="1"/>
  <c r="I137" i="4"/>
  <c r="J137" i="4" s="1"/>
  <c r="I37" i="4"/>
  <c r="J37" i="4" s="1"/>
  <c r="I182" i="4"/>
  <c r="J182" i="4" s="1"/>
  <c r="I67" i="4"/>
  <c r="J67" i="4" s="1"/>
  <c r="I133" i="4"/>
  <c r="J133" i="4" s="1"/>
  <c r="I174" i="4"/>
  <c r="J174" i="4" s="1"/>
  <c r="I180" i="4"/>
  <c r="J180" i="4" s="1"/>
  <c r="I111" i="4"/>
  <c r="J111" i="4" s="1"/>
  <c r="I63" i="4"/>
  <c r="J63" i="4" s="1"/>
  <c r="I33" i="4"/>
  <c r="J33" i="4" s="1"/>
  <c r="I103" i="4"/>
  <c r="J103" i="4" s="1"/>
  <c r="I43" i="4"/>
  <c r="J43" i="4" s="1"/>
  <c r="I172" i="4"/>
  <c r="J172" i="4" s="1"/>
  <c r="I41" i="4"/>
  <c r="J41" i="4" s="1"/>
  <c r="P4" i="4"/>
  <c r="P3" i="4"/>
  <c r="O4" i="4"/>
  <c r="O3" i="4"/>
  <c r="O2" i="4"/>
  <c r="P9" i="4" l="1"/>
  <c r="O24" i="4"/>
  <c r="O6" i="4"/>
  <c r="J110" i="4"/>
  <c r="O5" i="4"/>
  <c r="F106" i="1"/>
  <c r="H106" i="1"/>
  <c r="I106" i="1"/>
  <c r="N17" i="4"/>
</calcChain>
</file>

<file path=xl/connections.xml><?xml version="1.0" encoding="utf-8"?>
<connections xmlns="http://schemas.openxmlformats.org/spreadsheetml/2006/main">
  <connection id="1" keepAlive="1" name="Query - nz_staff" description="Connection to the 'nz_staff' query in the workbook." type="5" refreshedVersion="6" background="1" saveData="1">
    <dbPr connection="Provider=Microsoft.Mashup.OleDb.1;Data Source=$Workbook$;Location=nz_staff;Extended Properties=&quot;&quot;" command="SELECT * FROM [nz_staff]"/>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blank-data-file.xlsx!staff" type="102" refreshedVersion="6" minRefreshableVersion="5">
    <extLst>
      <ext xmlns:x15="http://schemas.microsoft.com/office/spreadsheetml/2010/11/main" uri="{DE250136-89BD-433C-8126-D09CA5730AF9}">
        <x15:connection id="staff" autoDelete="1">
          <x15:rangePr sourceName="_xlcn.WorksheetConnection_blankdatafile.xlsxstaff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staff].[Country].&amp;[NZ]}"/>
    <s v="{[staff].[Country].&amp;[IND]}"/>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<sst xmlns="http://schemas.openxmlformats.org/spreadsheetml/2006/main" count="1958" uniqueCount="311">
  <si>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</si>
  <si>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</si>
  <si>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</si>
  <si>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</si>
  <si>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</si>
  <si>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</si>
  <si>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</si>
  <si>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</si>
  <si>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</si>
  <si>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</si>
  <si>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</si>
  <si>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</si>
  <si>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</si>
  <si>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</si>
  <si>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</si>
  <si>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</si>
  <si>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</si>
  <si>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</si>
  <si>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</si>
  <si>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</si>
  <si>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</si>
  <si>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</si>
  <si>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</si>
  <si>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</si>
  <si>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</si>
  <si>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</si>
  <si>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</si>
  <si>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</si>
  <si>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</si>
  <si>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</si>
  <si>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</si>
  <si>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</si>
  <si>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</si>
  <si>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</si>
  <si>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</si>
  <si>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</si>
  <si>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</si>
  <si>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</si>
  <si>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</si>
  <si>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</si>
  <si>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</si>
  <si>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</si>
  <si>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</si>
  <si>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</si>
  <si>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</si>
  <si>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</si>
  <si>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</si>
  <si>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</si>
  <si>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</si>
  <si>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</si>
  <si>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</si>
  <si>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</si>
  <si>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</si>
  <si>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</si>
  <si>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</si>
  <si>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</si>
  <si>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</si>
  <si>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</si>
  <si>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</si>
  <si>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</si>
  <si>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</si>
  <si>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</si>
  <si>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</si>
  <si>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</si>
  <si>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</si>
  <si>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</si>
  <si>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</si>
  <si>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</si>
  <si>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</si>
  <si>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</si>
  <si>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</si>
  <si>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</si>
  <si>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</si>
  <si>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</si>
  <si>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</si>
  <si>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</si>
  <si>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</si>
  <si>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</si>
  <si>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</si>
  <si>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</si>
  <si>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</si>
  <si>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</si>
  <si>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</si>
  <si>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</si>
  <si>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</si>
  <si>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</si>
  <si>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</si>
  <si>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</si>
  <si>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</si>
  <si>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</si>
  <si>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</si>
  <si>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</si>
  <si>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</si>
  <si>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</si>
  <si>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</si>
  <si>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</si>
  <si>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</si>
  <si>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</si>
  <si>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</si>
  <si>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</si>
  <si>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</si>
  <si>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</si>
  <si>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</si>
  <si>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</si>
  <si>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</si>
  <si>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</si>
  <si>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</si>
  <si>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</si>
  <si>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</si>
  <si>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</si>
  <si>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</si>
  <si>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</si>
  <si>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</si>
  <si>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</si>
  <si>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</si>
  <si>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</si>
  <si>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</si>
  <si>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</si>
  <si>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</si>
  <si>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</si>
  <si>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</si>
  <si>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</si>
  <si>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</si>
  <si>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</si>
  <si>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</si>
  <si>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</si>
  <si>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</si>
  <si>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</si>
  <si>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</si>
  <si>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</si>
  <si>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</si>
  <si>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</si>
  <si>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</si>
  <si>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</si>
  <si>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</si>
  <si>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</si>
  <si>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</si>
  <si>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</si>
  <si>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</si>
  <si>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</si>
  <si>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</si>
  <si>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</si>
  <si>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</si>
  <si>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</si>
  <si>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</si>
  <si>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</si>
  <si>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</si>
  <si>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</si>
  <si>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</si>
  <si>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</si>
  <si>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</si>
  <si>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</si>
  <si>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</si>
  <si>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</si>
  <si>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</si>
  <si>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</si>
  <si>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</si>
  <si>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</si>
  <si>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</si>
  <si>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</si>
  <si>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</si>
  <si>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</si>
  <si>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</si>
  <si>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</si>
  <si>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</si>
  <si>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</si>
  <si>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</si>
  <si>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</si>
  <si>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</si>
  <si>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</si>
  <si>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</si>
  <si>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</si>
  <si>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</si>
  <si>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</si>
  <si>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</si>
  <si>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</si>
  <si>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</si>
  <si>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</si>
  <si>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</si>
  <si>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</si>
  <si>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</si>
  <si>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</si>
  <si>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</si>
  <si>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</si>
  <si>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</si>
  <si>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</si>
  <si>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</si>
  <si>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</si>
  <si>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</si>
  <si>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</si>
  <si>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</si>
  <si>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</si>
  <si>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</si>
  <si>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</si>
  <si>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</si>
  <si>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</si>
  <si>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</si>
  <si>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</si>
  <si>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</si>
  <si>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</si>
  <si>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</si>
  <si>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</si>
  <si>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</si>
  <si>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</si>
  <si>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</si>
  <si>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IND</t>
  </si>
  <si>
    <t>Other</t>
  </si>
  <si>
    <t>NZ</t>
  </si>
  <si>
    <t>Tenure</t>
  </si>
  <si>
    <t>Count of Employees</t>
  </si>
  <si>
    <t>Average Salary</t>
  </si>
  <si>
    <t xml:space="preserve"> </t>
  </si>
  <si>
    <t>Averrage Age</t>
  </si>
  <si>
    <t>Average Tenure</t>
  </si>
  <si>
    <t>Female %</t>
  </si>
  <si>
    <t>Female Count</t>
  </si>
  <si>
    <t>Staff with &gt;90000 salary</t>
  </si>
  <si>
    <t xml:space="preserve">Enter Name </t>
  </si>
  <si>
    <t>Male vs Female</t>
  </si>
  <si>
    <t>Column Labels</t>
  </si>
  <si>
    <t>Count of Name</t>
  </si>
  <si>
    <t>Values</t>
  </si>
  <si>
    <t>Average of Age</t>
  </si>
  <si>
    <t>Average of Salary</t>
  </si>
  <si>
    <t>Average of Tenure</t>
  </si>
  <si>
    <t>Bonus</t>
  </si>
  <si>
    <t>Row Labels</t>
  </si>
  <si>
    <t>Grand Total</t>
  </si>
  <si>
    <t>Rating as number</t>
  </si>
  <si>
    <t>Column1</t>
  </si>
  <si>
    <t>Column2</t>
  </si>
  <si>
    <t>2020</t>
  </si>
  <si>
    <t>May</t>
  </si>
  <si>
    <t>Jun</t>
  </si>
  <si>
    <t>Jul</t>
  </si>
  <si>
    <t>Aug</t>
  </si>
  <si>
    <t>Sep</t>
  </si>
  <si>
    <t>Oct</t>
  </si>
  <si>
    <t>Nov</t>
  </si>
  <si>
    <t>Dec</t>
  </si>
  <si>
    <t>2021</t>
  </si>
  <si>
    <t>Jan</t>
  </si>
  <si>
    <t>Feb</t>
  </si>
  <si>
    <t>Mar</t>
  </si>
  <si>
    <t>Apr</t>
  </si>
  <si>
    <t>2022</t>
  </si>
  <si>
    <t>2023</t>
  </si>
  <si>
    <t>Month</t>
  </si>
  <si>
    <t xml:space="preserve"> Headcount</t>
  </si>
  <si>
    <t>Running Total</t>
  </si>
  <si>
    <t>Sr No</t>
  </si>
  <si>
    <t>Headcount by Department</t>
  </si>
  <si>
    <t>New Zealand</t>
  </si>
  <si>
    <t>India</t>
  </si>
  <si>
    <t>Salary Vs Rating</t>
  </si>
  <si>
    <t xml:space="preserve">  </t>
  </si>
  <si>
    <t>count</t>
  </si>
  <si>
    <t>Female ratio</t>
  </si>
  <si>
    <t>Average salary</t>
  </si>
  <si>
    <t>Count</t>
  </si>
  <si>
    <t>Ad-hoc analysis</t>
  </si>
  <si>
    <t>Ctrl + T</t>
  </si>
  <si>
    <t>Create table</t>
  </si>
  <si>
    <t>Created Table</t>
  </si>
  <si>
    <t>Total Row</t>
  </si>
  <si>
    <t>Design</t>
  </si>
  <si>
    <t>Named the table</t>
  </si>
  <si>
    <t>Ctrl + shift+ 4</t>
  </si>
  <si>
    <t>Currency</t>
  </si>
  <si>
    <t>Designed Table</t>
  </si>
  <si>
    <t>Ctrl + shift+ 3</t>
  </si>
  <si>
    <t>Date</t>
  </si>
  <si>
    <t>Added Total Row option</t>
  </si>
  <si>
    <t>Ctrl + shift + 5</t>
  </si>
  <si>
    <t>Percentage</t>
  </si>
  <si>
    <t>Formated all columns</t>
  </si>
  <si>
    <t>calculated necessary Averages</t>
  </si>
  <si>
    <t>Loaded Data into power query</t>
  </si>
  <si>
    <t>duplicated nz data</t>
  </si>
  <si>
    <t>changed the formula for india data</t>
  </si>
  <si>
    <t>Add column - Custom column - Add country for both tables</t>
  </si>
  <si>
    <t>Appended both tables - Home - Appendic query</t>
  </si>
  <si>
    <t>Data cleaning</t>
  </si>
  <si>
    <t>Removed Duplicates in name column</t>
  </si>
  <si>
    <t>Filled null values of Gender as other</t>
  </si>
  <si>
    <t>Changed date type</t>
  </si>
  <si>
    <t>Close and Load to</t>
  </si>
  <si>
    <t>Counted Number of employees</t>
  </si>
  <si>
    <t>Average age, salary, Tenure</t>
  </si>
  <si>
    <t>Male vs Female Comparison using pivots</t>
  </si>
  <si>
    <t>Calculated Bonus</t>
  </si>
  <si>
    <t>Understanding Salary Spread</t>
  </si>
  <si>
    <t>Applied conditional formatting on salary</t>
  </si>
  <si>
    <t>Made Histogram of salary spread by 10k</t>
  </si>
  <si>
    <t>Bins width 10k</t>
  </si>
  <si>
    <t>Underflow bin</t>
  </si>
  <si>
    <t>Box Plot</t>
  </si>
  <si>
    <t>Salary VS Rating - corelation</t>
  </si>
  <si>
    <t>Made pivot of Rating and Count , Avg salary</t>
  </si>
  <si>
    <t>Applied bar conditional formating to Avg salary</t>
  </si>
  <si>
    <t>Calculated rating as number using vlookup</t>
  </si>
  <si>
    <t>Made Scatter plot graph</t>
  </si>
  <si>
    <t>Made pivot of Date joined count</t>
  </si>
  <si>
    <t>Added Running total</t>
  </si>
  <si>
    <t>Made line chart</t>
  </si>
  <si>
    <t>Calculated Headcount and Running total using formulae</t>
  </si>
  <si>
    <t>Report card</t>
  </si>
  <si>
    <t>Made pivot</t>
  </si>
  <si>
    <t>Made charts</t>
  </si>
  <si>
    <t>Employee count, Female ratio and salary</t>
  </si>
  <si>
    <t>Documented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</si>
</sst>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4" formatCode="_(&quot;$&quot;* #,##0.00_);_(&quot;$&quot;* \(#,##0.00\);_(&quot;$&quot;* &quot;-&quot;??_);_(@_)"/>
    <numFmt numFmtId="164" formatCode="&quot;$&quot;#,##0.00"/>
    <numFmt numFmtId="165" formatCode="&quot;$&quot;#,##0"/>
  </numFmts>
  <fonts count="17">
    <font>
      <sz val="11"/>
      <color theme="1"/>
      <name val="Calibri"/>
      <family val="2"/>
      <scheme val="minor"/>
    </font>
    <font>
      <sz val="28"/>
      <color theme="1"/>
      <name val="Segoe UI Light"/>
      <family val="2"/>
    </font>
    <font>
      <sz val="11"/>
      <color theme="1"/>
      <name val="Calibri"/>
      <family val="2"/>
      <scheme val="minor"/>
    </font>
    <font>
      <b/>
      <sz val="11"/>
      <color theme="1"/>
      <name val="Calibri"/>
      <family val="2"/>
      <scheme val="minor"/>
    </font>
    <font>
      <sz val="22"/>
      <color theme="1"/>
      <name val="Calibri"/>
      <family val="2"/>
      <scheme val="minor"/>
    </font>
    <font>
      <sz val="11"/>
      <color theme="1"/>
      <name val="Segoe UI Black"/>
      <family val="2"/>
    </font>
    <font>
      <sz val="48"/>
      <color theme="0"/>
      <name val="Segoe UL Black"/>
    </font>
    <font>
      <b/>
      <sz val="18"/>
      <color theme="0"/>
      <name val="Segoe UL Black"/>
    </font>
    <font>
      <sz val="22"/>
      <color theme="1"/>
      <name val="Segoe UI Black"/>
      <family val="2"/>
    </font>
    <font>
      <sz val="48"/>
      <color theme="1"/>
      <name val="Segoe UI Black"/>
      <family val="2"/>
    </font>
    <font>
      <sz val="28"/>
      <color theme="1"/>
      <name val="Segoe UI Black"/>
      <family val="2"/>
    </font>
    <font>
      <b/>
      <sz val="28"/>
      <color theme="0"/>
      <name val="Segoe UL Black"/>
    </font>
    <font>
      <sz val="18"/>
      <color theme="1"/>
      <name val="Microsoft YaHei UI Light"/>
      <family val="2"/>
    </font>
    <font>
      <sz val="18"/>
      <name val="Segoe UL Black"/>
    </font>
    <font>
      <sz val="22"/>
      <name val="Calibri"/>
      <family val="2"/>
      <scheme val="minor"/>
    </font>
    <font>
      <sz val="18"/>
      <color theme="1"/>
      <name val="Calibri"/>
      <family val="2"/>
      <scheme val="minor"/>
    </font>
    <font>
      <sz val="10"/>
      <color theme="1"/>
      <name val="Arial"/>
      <family val="2"/>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C000"/>
        <bgColor indexed="64"/>
      </patternFill>
    </fill>
    <fill>
      <patternFill patternType="solid">
        <fgColor theme="8" tint="-0.249977111117893"/>
        <bgColor indexed="64"/>
      </patternFill>
    </fill>
    <fill>
      <patternFill patternType="solid">
        <fgColor theme="5"/>
        <bgColor indexed="64"/>
      </patternFill>
    </fill>
    <fill>
      <patternFill patternType="solid">
        <fgColor theme="0" tint="-0.14999847407452621"/>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44" fontId="2" fillId="0" borderId="0" applyFont="0" applyFill="0" applyBorder="0" applyAlignment="0" applyProtection="0"/>
  </cellStyleXfs>
  <cellXfs count="46">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44" fontId="0" fillId="0" borderId="0" xfId="1" applyFont="1"/>
    <xf numFmtId="0" fontId="0" fillId="0" borderId="0" xfId="0" applyNumberFormat="1"/>
    <xf numFmtId="14" fontId="0" fillId="0" borderId="0" xfId="0" applyNumberFormat="1"/>
    <xf numFmtId="2" fontId="0" fillId="0" borderId="0" xfId="0" applyNumberFormat="1"/>
    <xf numFmtId="9" fontId="0" fillId="0" borderId="0" xfId="0" applyNumberFormat="1"/>
    <xf numFmtId="0" fontId="0" fillId="0" borderId="1" xfId="0" applyBorder="1"/>
    <xf numFmtId="0" fontId="0" fillId="0" borderId="1" xfId="0" applyBorder="1" applyAlignment="1">
      <alignment horizontal="left" vertical="center"/>
    </xf>
    <xf numFmtId="14" fontId="0" fillId="0" borderId="1" xfId="0" applyNumberFormat="1" applyBorder="1" applyAlignment="1">
      <alignment horizontal="left" vertical="center"/>
    </xf>
    <xf numFmtId="2" fontId="0" fillId="0" borderId="1" xfId="0" applyNumberFormat="1" applyBorder="1" applyAlignment="1">
      <alignment horizontal="left" vertical="center"/>
    </xf>
    <xf numFmtId="0" fontId="3" fillId="4" borderId="0" xfId="0" applyFont="1" applyFill="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Border="1" applyAlignment="1">
      <alignment horizontal="left"/>
    </xf>
    <xf numFmtId="0" fontId="0" fillId="0" borderId="0" xfId="0" applyBorder="1"/>
    <xf numFmtId="0" fontId="0" fillId="0" borderId="2" xfId="0" applyBorder="1"/>
    <xf numFmtId="1" fontId="0" fillId="0" borderId="0" xfId="0" applyNumberFormat="1"/>
    <xf numFmtId="0" fontId="0" fillId="0" borderId="0" xfId="0" applyAlignment="1">
      <alignment horizontal="left" indent="1"/>
    </xf>
    <xf numFmtId="17" fontId="0" fillId="0" borderId="1" xfId="0" applyNumberForma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5" fillId="0" borderId="0" xfId="0" applyFont="1"/>
    <xf numFmtId="0" fontId="6" fillId="5" borderId="0" xfId="0" applyFont="1" applyFill="1" applyAlignment="1">
      <alignment horizontal="center" vertical="center"/>
    </xf>
    <xf numFmtId="6" fontId="7" fillId="5" borderId="0" xfId="0" applyNumberFormat="1" applyFont="1" applyFill="1" applyAlignment="1">
      <alignment horizontal="center" vertical="center"/>
    </xf>
    <xf numFmtId="0" fontId="4" fillId="0" borderId="0" xfId="0" applyFont="1" applyAlignment="1">
      <alignment horizontal="center" vertical="center"/>
    </xf>
    <xf numFmtId="9" fontId="11" fillId="5" borderId="0" xfId="0" applyNumberFormat="1" applyFont="1" applyFill="1" applyAlignment="1">
      <alignment horizontal="center" vertical="center"/>
    </xf>
    <xf numFmtId="0" fontId="9" fillId="6" borderId="0" xfId="0" applyFont="1" applyFill="1" applyAlignment="1">
      <alignment horizontal="center" vertical="center"/>
    </xf>
    <xf numFmtId="9" fontId="10" fillId="6" borderId="0" xfId="0" applyNumberFormat="1" applyFont="1" applyFill="1" applyAlignment="1">
      <alignment horizontal="center" vertical="center"/>
    </xf>
    <xf numFmtId="6" fontId="8" fillId="6" borderId="0" xfId="0" applyNumberFormat="1" applyFont="1" applyFill="1" applyAlignment="1">
      <alignment horizontal="center" vertical="center"/>
    </xf>
    <xf numFmtId="0" fontId="16" fillId="0" borderId="10" xfId="0" applyFont="1" applyBorder="1" applyAlignment="1">
      <alignment wrapText="1"/>
    </xf>
    <xf numFmtId="0" fontId="16" fillId="0" borderId="10" xfId="0" applyFont="1" applyBorder="1" applyAlignment="1">
      <alignment vertical="center"/>
    </xf>
    <xf numFmtId="0" fontId="15" fillId="0" borderId="0" xfId="0" applyFont="1" applyAlignment="1">
      <alignment horizontal="center"/>
    </xf>
    <xf numFmtId="0" fontId="12" fillId="7" borderId="0" xfId="0" applyFont="1" applyFill="1" applyAlignment="1">
      <alignment horizontal="center"/>
    </xf>
    <xf numFmtId="0" fontId="13" fillId="8" borderId="0" xfId="0" applyFont="1" applyFill="1" applyAlignment="1">
      <alignment horizontal="center" vertical="center"/>
    </xf>
    <xf numFmtId="6" fontId="14" fillId="8" borderId="0" xfId="0" applyNumberFormat="1" applyFont="1" applyFill="1" applyAlignment="1">
      <alignment horizontal="center" vertical="center"/>
    </xf>
  </cellXfs>
  <cellStyles count="2">
    <cellStyle name="Currency" xfId="1" builtinId="4"/>
    <cellStyle name="Normal" xfId="0" builtinId="0"/>
  </cellStyles>
  <dxfs count="17">
    <dxf>
      <font>
        <color rgb="FF9C0006"/>
      </font>
      <fill>
        <patternFill>
          <bgColor rgb="FFFFC7CE"/>
        </patternFill>
      </fill>
    </dxf>
    <dxf>
      <alignment horizontal="left" vertical="bottom" textRotation="0" wrapText="0" indent="0" justifyLastLine="0" shrinkToFit="0" readingOrder="0"/>
    </dxf>
    <dxf>
      <border outline="0">
        <bottom style="thin">
          <color indexed="64"/>
        </bottom>
      </border>
    </dxf>
    <dxf>
      <numFmt numFmtId="165" formatCode="&quot;$&quot;#,##0"/>
    </dxf>
    <dxf>
      <numFmt numFmtId="166" formatCode="&quot;$&quot;#,##0.0"/>
    </dxf>
    <dxf>
      <numFmt numFmtId="164" formatCode="&quot;$&quot;#,##0.00"/>
    </dxf>
    <dxf>
      <numFmt numFmtId="164" formatCode="&quot;$&quot;#,##0.00"/>
    </dxf>
    <dxf>
      <numFmt numFmtId="2" formatCode="0.00"/>
    </dxf>
    <dxf>
      <numFmt numFmtId="2" formatCode="0.00"/>
    </dxf>
    <dxf>
      <numFmt numFmtId="2" formatCode="0.00"/>
    </dxf>
    <dxf>
      <numFmt numFmtId="1" formatCode="0"/>
    </dxf>
    <dxf>
      <numFmt numFmtId="165" formatCode="&quot;$&quot;#,##0"/>
    </dxf>
    <dxf>
      <numFmt numFmtId="2" formatCode="0.00"/>
    </dxf>
    <dxf>
      <numFmt numFmtId="165" formatCode="&quot;$&quot;#,##0"/>
    </dxf>
    <dxf>
      <numFmt numFmtId="19" formatCode="m/d/yyyy"/>
    </dxf>
    <dxf>
      <numFmt numFmtId="20" formatCode="d\-mmm\-yy"/>
    </dxf>
    <dxf>
      <numFmt numFmtId="20"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connections" Target="connections.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eetMetadata" Target="metadata.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spcFirstLastPara="1" vertOverflow="ellipsis" wrap="square" lIns="0" tIns="0" rIns="0" bIns="0" anchor="ctr" anchorCtr="1"/>
          <a:lstStyle/>
          <a:p>
            <a:pPr algn="ctr">
              <a:defRPr/>
            </a:pPr>
            <a:r>
              <a:rPr lang="hi-IN"/>
              <a:t>Salary Spread by $10k</a:t>
            </a:r>
            <a:endParaRPr lang="en-US"/>
          </a:p>
        </cx:rich>
      </cx:tx>
    </cx:title>
    <cx:plotArea>
      <cx:plotAreaRegion>
        <cx:series layoutId="clusteredColumn" uniqueId="{C77F3534-4D84-4A60-AE86-C649ABFF4A55}">
          <cx:dataId val="0"/>
          <cx:layoutPr>
            <cx:binning intervalClosed="r" underflow="40000">
              <cx:binSize val="10000"/>
            </cx:binning>
          </cx:layoutPr>
        </cx:series>
      </cx:plotAreaRegion>
      <cx:axis id="0">
        <cx:catScaling gapWidth="0"/>
        <cx:tickLabels/>
      </cx:axis>
      <cx:axis id="1">
        <cx:valScaling/>
        <cx:majorGridlines/>
        <cx:tickLabels/>
      </cx:axis>
    </cx:plotArea>
  </cx:chart>
</cx:chartSpace>
</file>

<file path=xl/charts/chart10.xml><?xml version="1.0" encoding="utf-8"?>
<cx:chartSpace xmlns:a="http://schemas.openxmlformats.org/drawingml/2006/main" xmlns:r="http://schemas.openxmlformats.org/officeDocument/2006/relationships" xmlns:cx="http://schemas.microsoft.com/office/drawing/2014/chartex">
  <cx:chartData>
    <cx:data id="0">
      <cx:numDim type="val">
        <cx:f>_xlchart.2</cx:f>
      </cx:numDim>
    </cx:data>
  </cx:chartData>
  <cx:chart>
    <cx:title pos="t" align="ctr" overlay="0">
      <cx:tx>
        <cx:rich>
          <a:bodyPr spcFirstLastPara="1" vertOverflow="ellipsis" wrap="square" lIns="0" tIns="0" rIns="0" bIns="0" anchor="ctr" anchorCtr="1"/>
          <a:lstStyle/>
          <a:p>
            <a:pPr algn="ctr">
              <a:defRPr/>
            </a:pPr>
            <a:r>
              <a:rPr lang="hi-IN"/>
              <a:t>Salary Spread by $10k</a:t>
            </a:r>
            <a:endParaRPr lang="en-US"/>
          </a:p>
        </cx:rich>
      </cx:tx>
    </cx:title>
    <cx:plotArea>
      <cx:plotAreaRegion>
        <cx:series layoutId="clusteredColumn" uniqueId="{C77F3534-4D84-4A60-AE86-C649ABFF4A55}">
          <cx:dataId val="0"/>
          <cx:layoutPr>
            <cx:binning intervalClosed="r" underflow="40000">
              <cx:binSize val="10000"/>
            </cx:binning>
          </cx:layoutPr>
        </cx:series>
      </cx:plotAreaRegion>
      <cx:axis id="0">
        <cx:catScaling gapWidth="0"/>
        <cx:tickLabels/>
      </cx:axis>
      <cx:axis id="1">
        <cx:valScaling/>
        <cx:majorGridlines/>
        <cx:tickLabels/>
      </cx:axis>
    </cx:plotArea>
  </cx:chart>
</cx:chartSpace>
</file>

<file path=xl/charts/chart11.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title pos="t" align="ctr" overlay="0">
      <cx:tx>
        <cx:rich>
          <a:bodyPr rot="0" spcFirstLastPara="1" vertOverflow="ellipsis" vert="horz" wrap="square" lIns="0" tIns="0" rIns="0" bIns="0" anchor="ctr" anchorCtr="1"/>
          <a:lstStyle/>
          <a:p>
            <a:pPr algn="ctr">
              <a:defRPr/>
            </a:pPr>
            <a:r>
              <a:rPr lang="hi-IN"/>
              <a:t>Salary spread - box plott</a:t>
            </a:r>
            <a:endParaRPr lang="en-US"/>
          </a:p>
        </cx:rich>
      </cx:tx>
    </cx:title>
    <cx:plotArea>
      <cx:plotAreaRegion>
        <cx:series layoutId="boxWhisker" uniqueId="{ACFFDD89-A915-4510-9270-0CF529FE2A5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
            </a:r>
            <a:r>
              <a:rPr lang="hi-IN"/>
              <a:t>alary vs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 Staff'!$F$2:$F$184</c:f>
              <c:numCache>
                <c:formatCode>"$"#,##0</c:formatCode>
                <c:ptCount val="183"/>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113280</c:v>
                </c:pt>
                <c:pt idx="166">
                  <c:v>113280</c:v>
                </c:pt>
                <c:pt idx="167">
                  <c:v>114180</c:v>
                </c:pt>
                <c:pt idx="168">
                  <c:v>114180</c:v>
                </c:pt>
                <c:pt idx="169">
                  <c:v>114870</c:v>
                </c:pt>
                <c:pt idx="170">
                  <c:v>114870</c:v>
                </c:pt>
                <c:pt idx="171">
                  <c:v>114890</c:v>
                </c:pt>
                <c:pt idx="172">
                  <c:v>114890</c:v>
                </c:pt>
                <c:pt idx="173">
                  <c:v>115440</c:v>
                </c:pt>
                <c:pt idx="174">
                  <c:v>115440</c:v>
                </c:pt>
                <c:pt idx="175">
                  <c:v>115920</c:v>
                </c:pt>
                <c:pt idx="176">
                  <c:v>115920</c:v>
                </c:pt>
                <c:pt idx="177">
                  <c:v>118100</c:v>
                </c:pt>
                <c:pt idx="178">
                  <c:v>118100</c:v>
                </c:pt>
                <c:pt idx="179">
                  <c:v>118840</c:v>
                </c:pt>
                <c:pt idx="180">
                  <c:v>118840</c:v>
                </c:pt>
                <c:pt idx="181">
                  <c:v>119110</c:v>
                </c:pt>
                <c:pt idx="182">
                  <c:v>119110</c:v>
                </c:pt>
              </c:numCache>
            </c:numRef>
          </c:xVal>
          <c:yVal>
            <c:numRef>
              <c:f>'All Staff'!$K$2:$K$184</c:f>
              <c:numCache>
                <c:formatCode>0</c:formatCode>
                <c:ptCount val="18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A53F-4203-AC3F-ACDE65D653F9}"/>
            </c:ext>
          </c:extLst>
        </c:ser>
        <c:dLbls>
          <c:showLegendKey val="0"/>
          <c:showVal val="0"/>
          <c:showCatName val="0"/>
          <c:showSerName val="0"/>
          <c:showPercent val="0"/>
          <c:showBubbleSize val="0"/>
        </c:dLbls>
        <c:axId val="1659115599"/>
        <c:axId val="1659117263"/>
      </c:scatterChart>
      <c:valAx>
        <c:axId val="16591155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17263"/>
        <c:crosses val="autoZero"/>
        <c:crossBetween val="midCat"/>
      </c:valAx>
      <c:valAx>
        <c:axId val="1659117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155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 Analysis.xlsx]Employee Trend over time!PivotTable3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i-IN"/>
              <a:t>Employees Hired</a:t>
            </a:r>
          </a:p>
          <a:p>
            <a:pPr>
              <a:defRPr/>
            </a:pPr>
            <a:r>
              <a:rPr lang="hi-IN"/>
              <a:t>on particular</a:t>
            </a:r>
            <a:r>
              <a:rPr lang="hi-IN" baseline="0"/>
              <a:t> month</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'Employee Trend over time'!$D$4</c:f>
              <c:strCache>
                <c:ptCount val="1"/>
                <c:pt idx="0">
                  <c:v>Total</c:v>
                </c:pt>
              </c:strCache>
            </c:strRef>
          </c:tx>
          <c:spPr>
            <a:ln w="28575" cap="rnd">
              <a:solidFill>
                <a:schemeClr val="accent1"/>
              </a:solidFill>
              <a:round/>
            </a:ln>
            <a:effectLst/>
          </c:spPr>
          <c:marker>
            <c:symbol val="none"/>
          </c:marker>
          <c:cat>
            <c:multiLvlStrRef>
              <c:f>'Employee Trend over time'!$C$5:$C$41</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'Employee Trend over time'!$D$5:$D$41</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ECC9-4AF3-B1F4-6CD559C67B32}"/>
            </c:ext>
          </c:extLst>
        </c:ser>
        <c:dLbls>
          <c:showLegendKey val="0"/>
          <c:showVal val="0"/>
          <c:showCatName val="0"/>
          <c:showSerName val="0"/>
          <c:showPercent val="0"/>
          <c:showBubbleSize val="0"/>
        </c:dLbls>
        <c:smooth val="0"/>
        <c:axId val="1663448319"/>
        <c:axId val="1663450815"/>
      </c:lineChart>
      <c:catAx>
        <c:axId val="166344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450815"/>
        <c:crosses val="autoZero"/>
        <c:auto val="1"/>
        <c:lblAlgn val="ctr"/>
        <c:lblOffset val="100"/>
        <c:noMultiLvlLbl val="0"/>
      </c:catAx>
      <c:valAx>
        <c:axId val="166345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448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i-IN"/>
              <a:t>Employee Trend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'Employee Trend over time'!$S$4</c:f>
              <c:strCache>
                <c:ptCount val="1"/>
                <c:pt idx="0">
                  <c:v>Running Total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'Employee Trend over time'!$Q$5:$Q$40</c:f>
              <c:numCache>
                <c:formatCode>mmm\-yy</c:formatCode>
                <c:ptCount val="36"/>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xVal>
          <c:yVal>
            <c:numRef>
              <c:f>'Employee Trend over time'!$S$5:$S$40</c:f>
              <c:numCache>
                <c:formatCode>General</c:formatCode>
                <c:ptCount val="36"/>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numCache>
            </c:numRef>
          </c:yVal>
          <c:smooth val="0"/>
          <c:extLst>
            <c:ext xmlns:c16="http://schemas.microsoft.com/office/drawing/2014/chart" uri="{C3380CC4-5D6E-409C-BE32-E72D297353CC}">
              <c16:uniqueId val="{00000000-B417-4F17-A759-1A6B753B63D4}"/>
            </c:ext>
          </c:extLst>
        </c:ser>
        <c:dLbls>
          <c:showLegendKey val="0"/>
          <c:showVal val="0"/>
          <c:showCatName val="0"/>
          <c:showSerName val="0"/>
          <c:showPercent val="0"/>
          <c:showBubbleSize val="0"/>
        </c:dLbls>
        <c:axId val="641997519"/>
        <c:axId val="642009999"/>
      </c:scatterChart>
      <c:valAx>
        <c:axId val="641997519"/>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09999"/>
        <c:crosses val="autoZero"/>
        <c:crossBetween val="midCat"/>
      </c:valAx>
      <c:valAx>
        <c:axId val="64200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975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tx>
        <cx:rich>
          <a:bodyPr rot="0" spcFirstLastPara="1" vertOverflow="ellipsis" vert="horz" wrap="square" lIns="0" tIns="0" rIns="0" bIns="0" anchor="ctr" anchorCtr="1"/>
          <a:lstStyle/>
          <a:p>
            <a:pPr algn="ctr">
              <a:defRPr/>
            </a:pPr>
            <a:r>
              <a:rPr lang="hi-IN"/>
              <a:t>Salary spread - box plott</a:t>
            </a:r>
            <a:endParaRPr lang="en-US"/>
          </a:p>
        </cx:rich>
      </cx:tx>
    </cx:title>
    <cx:plotArea>
      <cx:plotAreaRegion>
        <cx:series layoutId="boxWhisker" uniqueId="{ACFFDD89-A915-4510-9270-0CF529FE2A5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
            </a:r>
            <a:r>
              <a:rPr lang="hi-IN"/>
              <a:t>alary vs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 Staff'!$F$2:$F$184</c:f>
              <c:numCache>
                <c:formatCode>"$"#,##0</c:formatCode>
                <c:ptCount val="183"/>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113280</c:v>
                </c:pt>
                <c:pt idx="166">
                  <c:v>113280</c:v>
                </c:pt>
                <c:pt idx="167">
                  <c:v>114180</c:v>
                </c:pt>
                <c:pt idx="168">
                  <c:v>114180</c:v>
                </c:pt>
                <c:pt idx="169">
                  <c:v>114870</c:v>
                </c:pt>
                <c:pt idx="170">
                  <c:v>114870</c:v>
                </c:pt>
                <c:pt idx="171">
                  <c:v>114890</c:v>
                </c:pt>
                <c:pt idx="172">
                  <c:v>114890</c:v>
                </c:pt>
                <c:pt idx="173">
                  <c:v>115440</c:v>
                </c:pt>
                <c:pt idx="174">
                  <c:v>115440</c:v>
                </c:pt>
                <c:pt idx="175">
                  <c:v>115920</c:v>
                </c:pt>
                <c:pt idx="176">
                  <c:v>115920</c:v>
                </c:pt>
                <c:pt idx="177">
                  <c:v>118100</c:v>
                </c:pt>
                <c:pt idx="178">
                  <c:v>118100</c:v>
                </c:pt>
                <c:pt idx="179">
                  <c:v>118840</c:v>
                </c:pt>
                <c:pt idx="180">
                  <c:v>118840</c:v>
                </c:pt>
                <c:pt idx="181">
                  <c:v>119110</c:v>
                </c:pt>
                <c:pt idx="182">
                  <c:v>119110</c:v>
                </c:pt>
              </c:numCache>
            </c:numRef>
          </c:xVal>
          <c:yVal>
            <c:numRef>
              <c:f>'All Staff'!$K$2:$K$184</c:f>
              <c:numCache>
                <c:formatCode>0</c:formatCode>
                <c:ptCount val="18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8885-4A8E-A701-42386A648851}"/>
            </c:ext>
          </c:extLst>
        </c:ser>
        <c:dLbls>
          <c:showLegendKey val="0"/>
          <c:showVal val="0"/>
          <c:showCatName val="0"/>
          <c:showSerName val="0"/>
          <c:showPercent val="0"/>
          <c:showBubbleSize val="0"/>
        </c:dLbls>
        <c:axId val="1659115599"/>
        <c:axId val="1659117263"/>
      </c:scatterChart>
      <c:valAx>
        <c:axId val="16591155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17263"/>
        <c:crosses val="autoZero"/>
        <c:crossBetween val="midCat"/>
      </c:valAx>
      <c:valAx>
        <c:axId val="1659117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155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 Analysis.xlsx]Employee Trend over time!PivotTable3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i-IN"/>
              <a:t>Employees Hired</a:t>
            </a:r>
          </a:p>
          <a:p>
            <a:pPr>
              <a:defRPr/>
            </a:pPr>
            <a:r>
              <a:rPr lang="hi-IN"/>
              <a:t>on particular</a:t>
            </a:r>
            <a:r>
              <a:rPr lang="hi-IN" baseline="0"/>
              <a:t> month</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'Employee Trend over time'!$D$4</c:f>
              <c:strCache>
                <c:ptCount val="1"/>
                <c:pt idx="0">
                  <c:v>Total</c:v>
                </c:pt>
              </c:strCache>
            </c:strRef>
          </c:tx>
          <c:spPr>
            <a:ln w="28575" cap="rnd">
              <a:solidFill>
                <a:schemeClr val="accent1"/>
              </a:solidFill>
              <a:round/>
            </a:ln>
            <a:effectLst/>
          </c:spPr>
          <c:marker>
            <c:symbol val="none"/>
          </c:marker>
          <c:cat>
            <c:multiLvlStrRef>
              <c:f>'Employee Trend over time'!$C$5:$C$41</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'Employee Trend over time'!$D$5:$D$41</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F400-4002-94F7-D0B052FBF312}"/>
            </c:ext>
          </c:extLst>
        </c:ser>
        <c:dLbls>
          <c:showLegendKey val="0"/>
          <c:showVal val="0"/>
          <c:showCatName val="0"/>
          <c:showSerName val="0"/>
          <c:showPercent val="0"/>
          <c:showBubbleSize val="0"/>
        </c:dLbls>
        <c:smooth val="0"/>
        <c:axId val="1663448319"/>
        <c:axId val="1663450815"/>
      </c:lineChart>
      <c:catAx>
        <c:axId val="166344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450815"/>
        <c:crosses val="autoZero"/>
        <c:auto val="1"/>
        <c:lblAlgn val="ctr"/>
        <c:lblOffset val="100"/>
        <c:noMultiLvlLbl val="0"/>
      </c:catAx>
      <c:valAx>
        <c:axId val="166345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448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i-IN"/>
              <a:t>Employee Trend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'Employee Trend over time'!$S$4</c:f>
              <c:strCache>
                <c:ptCount val="1"/>
                <c:pt idx="0">
                  <c:v>Running Total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'Employee Trend over time'!$Q$5:$Q$40</c:f>
              <c:numCache>
                <c:formatCode>mmm\-yy</c:formatCode>
                <c:ptCount val="36"/>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xVal>
          <c:yVal>
            <c:numRef>
              <c:f>'Employee Trend over time'!$S$5:$S$40</c:f>
              <c:numCache>
                <c:formatCode>General</c:formatCode>
                <c:ptCount val="36"/>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numCache>
            </c:numRef>
          </c:yVal>
          <c:smooth val="0"/>
          <c:extLst>
            <c:ext xmlns:c16="http://schemas.microsoft.com/office/drawing/2014/chart" uri="{C3380CC4-5D6E-409C-BE32-E72D297353CC}">
              <c16:uniqueId val="{00000000-9BCC-416B-A59C-04271337D7F3}"/>
            </c:ext>
          </c:extLst>
        </c:ser>
        <c:dLbls>
          <c:showLegendKey val="0"/>
          <c:showVal val="0"/>
          <c:showCatName val="0"/>
          <c:showSerName val="0"/>
          <c:showPercent val="0"/>
          <c:showBubbleSize val="0"/>
        </c:dLbls>
        <c:axId val="641997519"/>
        <c:axId val="642009999"/>
      </c:scatterChart>
      <c:valAx>
        <c:axId val="641997519"/>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09999"/>
        <c:crosses val="autoZero"/>
        <c:crossBetween val="midCat"/>
      </c:valAx>
      <c:valAx>
        <c:axId val="64200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975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 Analysis.xlsx]Employee Report card!PivotTable6</c:name>
    <c:fmtId val="13"/>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s>
    <c:plotArea>
      <c:layout/>
      <c:barChart>
        <c:barDir val="bar"/>
        <c:grouping val="clustered"/>
        <c:varyColors val="0"/>
        <c:ser>
          <c:idx val="0"/>
          <c:order val="0"/>
          <c:tx>
            <c:strRef>
              <c:f>'Employee Report card'!$D$5</c:f>
              <c:strCache>
                <c:ptCount val="1"/>
                <c:pt idx="0">
                  <c:v>Total</c:v>
                </c:pt>
              </c:strCache>
            </c:strRef>
          </c:tx>
          <c:spPr>
            <a:solidFill>
              <a:schemeClr val="accent2"/>
            </a:solidFill>
            <a:ln>
              <a:noFill/>
            </a:ln>
            <a:effectLst/>
          </c:spPr>
          <c:invertIfNegative val="0"/>
          <c:cat>
            <c:strRef>
              <c:f>'Employee Report card'!$C$6:$C$11</c:f>
              <c:strCache>
                <c:ptCount val="5"/>
                <c:pt idx="0">
                  <c:v>Procurement</c:v>
                </c:pt>
                <c:pt idx="1">
                  <c:v>Website</c:v>
                </c:pt>
                <c:pt idx="2">
                  <c:v>Finance</c:v>
                </c:pt>
                <c:pt idx="3">
                  <c:v>Sales</c:v>
                </c:pt>
                <c:pt idx="4">
                  <c:v>HR</c:v>
                </c:pt>
              </c:strCache>
            </c:strRef>
          </c:cat>
          <c:val>
            <c:numRef>
              <c:f>'Employee Report card'!$D$6:$D$11</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23EC-4D89-A7E7-F46014252C4B}"/>
            </c:ext>
          </c:extLst>
        </c:ser>
        <c:dLbls>
          <c:showLegendKey val="0"/>
          <c:showVal val="0"/>
          <c:showCatName val="0"/>
          <c:showSerName val="0"/>
          <c:showPercent val="0"/>
          <c:showBubbleSize val="0"/>
        </c:dLbls>
        <c:gapWidth val="25"/>
        <c:axId val="1666489295"/>
        <c:axId val="1666486383"/>
      </c:barChart>
      <c:catAx>
        <c:axId val="16664892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86383"/>
        <c:crosses val="autoZero"/>
        <c:auto val="1"/>
        <c:lblAlgn val="ctr"/>
        <c:lblOffset val="100"/>
        <c:noMultiLvlLbl val="0"/>
      </c:catAx>
      <c:valAx>
        <c:axId val="1666486383"/>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89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 Analysis.xlsx]Employee Report card!PivotTable7</c:name>
    <c:fmtId val="1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'Employee Report card'!$H$5</c:f>
              <c:strCache>
                <c:ptCount val="1"/>
                <c:pt idx="0">
                  <c:v>Total</c:v>
                </c:pt>
              </c:strCache>
            </c:strRef>
          </c:tx>
          <c:spPr>
            <a:solidFill>
              <a:schemeClr val="accent1"/>
            </a:solidFill>
            <a:ln>
              <a:noFill/>
            </a:ln>
            <a:effectLst/>
          </c:spPr>
          <c:invertIfNegative val="0"/>
          <c:cat>
            <c:strRef>
              <c:f>'Employee Report card'!$G$6:$G$11</c:f>
              <c:strCache>
                <c:ptCount val="5"/>
                <c:pt idx="0">
                  <c:v>Website</c:v>
                </c:pt>
                <c:pt idx="1">
                  <c:v>Procurement</c:v>
                </c:pt>
                <c:pt idx="2">
                  <c:v>Finance</c:v>
                </c:pt>
                <c:pt idx="3">
                  <c:v>Sales</c:v>
                </c:pt>
                <c:pt idx="4">
                  <c:v>HR</c:v>
                </c:pt>
              </c:strCache>
            </c:strRef>
          </c:cat>
          <c:val>
            <c:numRef>
              <c:f>'Employee Report card'!$H$6:$H$11</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0C20-4C24-830A-8920182AC412}"/>
            </c:ext>
          </c:extLst>
        </c:ser>
        <c:dLbls>
          <c:showLegendKey val="0"/>
          <c:showVal val="0"/>
          <c:showCatName val="0"/>
          <c:showSerName val="0"/>
          <c:showPercent val="0"/>
          <c:showBubbleSize val="0"/>
        </c:dLbls>
        <c:gapWidth val="25"/>
        <c:axId val="1657860671"/>
        <c:axId val="1657862335"/>
      </c:barChart>
      <c:catAx>
        <c:axId val="1657860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62335"/>
        <c:crosses val="autoZero"/>
        <c:auto val="1"/>
        <c:lblAlgn val="ctr"/>
        <c:lblOffset val="100"/>
        <c:noMultiLvlLbl val="0"/>
      </c:catAx>
      <c:valAx>
        <c:axId val="1657862335"/>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60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 Analysis.xlsx]Employee Report card!PivotTable6</c:name>
    <c:fmtId val="7"/>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'Employee Report card'!$D$5</c:f>
              <c:strCache>
                <c:ptCount val="1"/>
                <c:pt idx="0">
                  <c:v>Total</c:v>
                </c:pt>
              </c:strCache>
            </c:strRef>
          </c:tx>
          <c:spPr>
            <a:solidFill>
              <a:schemeClr val="accent2"/>
            </a:solidFill>
            <a:ln>
              <a:noFill/>
            </a:ln>
            <a:effectLst/>
          </c:spPr>
          <c:invertIfNegative val="0"/>
          <c:cat>
            <c:strRef>
              <c:f>'Employee Report card'!$C$6:$C$11</c:f>
              <c:strCache>
                <c:ptCount val="5"/>
                <c:pt idx="0">
                  <c:v>Procurement</c:v>
                </c:pt>
                <c:pt idx="1">
                  <c:v>Website</c:v>
                </c:pt>
                <c:pt idx="2">
                  <c:v>Finance</c:v>
                </c:pt>
                <c:pt idx="3">
                  <c:v>Sales</c:v>
                </c:pt>
                <c:pt idx="4">
                  <c:v>HR</c:v>
                </c:pt>
              </c:strCache>
            </c:strRef>
          </c:cat>
          <c:val>
            <c:numRef>
              <c:f>'Employee Report card'!$D$6:$D$11</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68E4-4ECD-BBCA-64B98C1E7CAB}"/>
            </c:ext>
          </c:extLst>
        </c:ser>
        <c:dLbls>
          <c:showLegendKey val="0"/>
          <c:showVal val="0"/>
          <c:showCatName val="0"/>
          <c:showSerName val="0"/>
          <c:showPercent val="0"/>
          <c:showBubbleSize val="0"/>
        </c:dLbls>
        <c:gapWidth val="25"/>
        <c:axId val="1666489295"/>
        <c:axId val="1666486383"/>
      </c:barChart>
      <c:catAx>
        <c:axId val="16664892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86383"/>
        <c:crosses val="autoZero"/>
        <c:auto val="1"/>
        <c:lblAlgn val="ctr"/>
        <c:lblOffset val="100"/>
        <c:noMultiLvlLbl val="0"/>
      </c:catAx>
      <c:valAx>
        <c:axId val="1666486383"/>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89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 Analysis.xlsx]Employee Report card!PivotTable7</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'Employee Report card'!$H$5</c:f>
              <c:strCache>
                <c:ptCount val="1"/>
                <c:pt idx="0">
                  <c:v>Total</c:v>
                </c:pt>
              </c:strCache>
            </c:strRef>
          </c:tx>
          <c:spPr>
            <a:solidFill>
              <a:schemeClr val="accent1"/>
            </a:solidFill>
            <a:ln>
              <a:noFill/>
            </a:ln>
            <a:effectLst/>
          </c:spPr>
          <c:invertIfNegative val="0"/>
          <c:cat>
            <c:strRef>
              <c:f>'Employee Report card'!$G$6:$G$11</c:f>
              <c:strCache>
                <c:ptCount val="5"/>
                <c:pt idx="0">
                  <c:v>Website</c:v>
                </c:pt>
                <c:pt idx="1">
                  <c:v>Procurement</c:v>
                </c:pt>
                <c:pt idx="2">
                  <c:v>Finance</c:v>
                </c:pt>
                <c:pt idx="3">
                  <c:v>Sales</c:v>
                </c:pt>
                <c:pt idx="4">
                  <c:v>HR</c:v>
                </c:pt>
              </c:strCache>
            </c:strRef>
          </c:cat>
          <c:val>
            <c:numRef>
              <c:f>'Employee Report card'!$H$6:$H$11</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5306-435A-B691-B1397FF3DFE2}"/>
            </c:ext>
          </c:extLst>
        </c:ser>
        <c:dLbls>
          <c:showLegendKey val="0"/>
          <c:showVal val="0"/>
          <c:showCatName val="0"/>
          <c:showSerName val="0"/>
          <c:showPercent val="0"/>
          <c:showBubbleSize val="0"/>
        </c:dLbls>
        <c:gapWidth val="25"/>
        <c:axId val="1657860671"/>
        <c:axId val="1657862335"/>
      </c:barChart>
      <c:catAx>
        <c:axId val="1657860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62335"/>
        <c:crosses val="autoZero"/>
        <c:auto val="1"/>
        <c:lblAlgn val="ctr"/>
        <c:lblOffset val="100"/>
        <c:noMultiLvlLbl val="0"/>
      </c:catAx>
      <c:valAx>
        <c:axId val="1657862335"/>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60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13</xdr:col>
      <xdr:colOff>761999</xdr:colOff>
      <xdr:row>12</xdr:row>
      <xdr:rowOff>47625</xdr:rowOff>
    </xdr:from>
    <xdr:to>
      <xdr:col>13</xdr:col>
      <xdr:colOff>941308</xdr:colOff>
      <xdr:row>13</xdr:row>
      <xdr:rowOff>16554</xdr:rowOff>
    </xdr:to>
    <xdr:sp macro="" textlink="">
      <xdr:nvSpPr>
        <xdr:cNvPr id="2" name="Down Arrow 1"/>
        <xdr:cNvSpPr/>
      </xdr:nvSpPr>
      <xdr:spPr>
        <a:xfrm>
          <a:off x="11639549" y="2333625"/>
          <a:ext cx="179309" cy="15942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38100</xdr:colOff>
      <xdr:row>12</xdr:row>
      <xdr:rowOff>180975</xdr:rowOff>
    </xdr:from>
    <xdr:to>
      <xdr:col>9</xdr:col>
      <xdr:colOff>571500</xdr:colOff>
      <xdr:row>26</xdr:row>
      <xdr:rowOff>38100</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77050" y="2466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85725</xdr:colOff>
      <xdr:row>5</xdr:row>
      <xdr:rowOff>171450</xdr:rowOff>
    </xdr:from>
    <xdr:to>
      <xdr:col>11</xdr:col>
      <xdr:colOff>509589</xdr:colOff>
      <xdr:row>28</xdr:row>
      <xdr:rowOff>157163</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600075</xdr:colOff>
      <xdr:row>5</xdr:row>
      <xdr:rowOff>161925</xdr:rowOff>
    </xdr:from>
    <xdr:to>
      <xdr:col>20</xdr:col>
      <xdr:colOff>295275</xdr:colOff>
      <xdr:row>27</xdr:row>
      <xdr:rowOff>180975</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5</xdr:row>
      <xdr:rowOff>0</xdr:rowOff>
    </xdr:from>
    <xdr:to>
      <xdr:col>18</xdr:col>
      <xdr:colOff>266700</xdr:colOff>
      <xdr:row>26</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485775</xdr:colOff>
      <xdr:row>4</xdr:row>
      <xdr:rowOff>19049</xdr:rowOff>
    </xdr:from>
    <xdr:to>
      <xdr:col>14</xdr:col>
      <xdr:colOff>304801</xdr:colOff>
      <xdr:row>23</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257175</xdr:colOff>
      <xdr:row>25</xdr:row>
      <xdr:rowOff>161925</xdr:rowOff>
    </xdr:from>
    <xdr:to>
      <xdr:col>13</xdr:col>
      <xdr:colOff>561975</xdr:colOff>
      <xdr:row>40</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9526</xdr:colOff>
      <xdr:row>18</xdr:row>
      <xdr:rowOff>28575</xdr:rowOff>
    </xdr:from>
    <xdr:to>
      <xdr:col>21</xdr:col>
      <xdr:colOff>1295400</xdr:colOff>
      <xdr:row>33</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9524</xdr:colOff>
      <xdr:row>18</xdr:row>
      <xdr:rowOff>19049</xdr:rowOff>
    </xdr:from>
    <xdr:to>
      <xdr:col>15</xdr:col>
      <xdr:colOff>1019175</xdr:colOff>
      <xdr:row>33</xdr:row>
      <xdr:rowOff>161925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9526</xdr:colOff>
      <xdr:row>7</xdr:row>
      <xdr:rowOff>28575</xdr:rowOff>
    </xdr:from>
    <xdr:to>
      <xdr:col>12</xdr:col>
      <xdr:colOff>1295400</xdr:colOff>
      <xdr:row>22</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7</xdr:row>
      <xdr:rowOff>19049</xdr:rowOff>
    </xdr:from>
    <xdr:to>
      <xdr:col>6</xdr:col>
      <xdr:colOff>1019175</xdr:colOff>
      <xdr:row>22</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352425</xdr:colOff>
      <xdr:row>27</xdr:row>
      <xdr:rowOff>66675</xdr:rowOff>
    </xdr:from>
    <xdr:to>
      <xdr:col>10</xdr:col>
      <xdr:colOff>347664</xdr:colOff>
      <xdr:row>50</xdr:row>
      <xdr:rowOff>52388</xdr:rowOff>
    </xdr:to>
    <mc:AlternateContent xmlns:mc="http://schemas.openxmlformats.org/markup-compatibility/2006">
      <mc:Choice xmlns:cx="http://schemas.microsoft.com/office/drawing/2014/chartex" Requires="cx">
        <xdr:graphicFrame macro="">
          <xdr:nvGraphicFramePr>
            <xdr:cNvPr id="4" name="Chart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847725</xdr:colOff>
      <xdr:row>26</xdr:row>
      <xdr:rowOff>152400</xdr:rowOff>
    </xdr:from>
    <xdr:to>
      <xdr:col>17</xdr:col>
      <xdr:colOff>571500</xdr:colOff>
      <xdr:row>48</xdr:row>
      <xdr:rowOff>171450</xdr:rowOff>
    </xdr:to>
    <mc:AlternateContent xmlns:mc="http://schemas.openxmlformats.org/markup-compatibility/2006">
      <mc:Choice xmlns:cx="http://schemas.microsoft.com/office/drawing/2014/chartex" Requires="cx">
        <xdr:graphicFrame macro="">
          <xdr:nvGraphicFramePr>
            <xdr:cNvPr id="5" name="Chart 4"/>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228600</xdr:colOff>
      <xdr:row>57</xdr:row>
      <xdr:rowOff>85725</xdr:rowOff>
    </xdr:from>
    <xdr:to>
      <xdr:col>10</xdr:col>
      <xdr:colOff>676275</xdr:colOff>
      <xdr:row>79</xdr:row>
      <xdr:rowOff>28575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247650</xdr:colOff>
      <xdr:row>57</xdr:row>
      <xdr:rowOff>9525</xdr:rowOff>
    </xdr:from>
    <xdr:to>
      <xdr:col>20</xdr:col>
      <xdr:colOff>581026</xdr:colOff>
      <xdr:row>76</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361950</xdr:colOff>
      <xdr:row>82</xdr:row>
      <xdr:rowOff>161924</xdr:rowOff>
    </xdr:from>
    <xdr:to>
      <xdr:col>19</xdr:col>
      <xdr:colOff>76200</xdr:colOff>
      <xdr:row>104</xdr:row>
      <xdr:rowOff>95249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Cyberrocknet" refreshedDate="45106.647217361111" backgroundQuery="1" createdVersion="6" refreshedVersion="6" minRefreshableVersion="3" recordCount="0" supportSubquery="1" supportAdvancedDrill="1">
  <cacheSource type="external" connectionId="2"/>
  <cacheFields count="3">
    <cacheField name="[staff].[Rating].[Rating]" caption="Rating" numFmtId="0" hierarchy="9" level="1">
      <sharedItems count="5">
        <s v="Above average"/>
        <s v="Average"/>
        <s v="Exceptional"/>
        <s v="Poor"/>
        <s v="Very poor"/>
      </sharedItems>
    </cacheField>
    <cacheField name="[Measures].[Count of Name]" caption="Count of Name" numFmtId="0" hierarchy="15" level="32767"/>
    <cacheField name="[Measures].[Average of Salary]" caption="Average of Salary" numFmtId="0" hierarchy="20" level="32767"/>
  </cacheFields>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10"/>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yberrocknet" refreshedDate="45106.647222685184" backgroundQuery="1" createdVersion="6" refreshedVersion="6" minRefreshableVersion="3" recordCount="0" supportSubquery="1" supportAdvancedDrill="1">
  <cacheSource type="external" connectionId="2"/>
  <cacheFields count="6">
    <cacheField name="[staff].[Gender].[Gender]" caption="Gender" numFmtId="0" hierarchy="7" level="1">
      <sharedItems count="2">
        <s v="Female"/>
        <s v="Male"/>
      </sharedItems>
    </cacheField>
    <cacheField name="[Measures].[Count of Name]" caption="Count of Name" numFmtId="0" hierarchy="15" level="32767"/>
    <cacheField name="[Measures].[Average of Age]" caption="Average of Age" numFmtId="0" hierarchy="17" level="32767"/>
    <cacheField name="[Measures].[Average of Salary]" caption="Average of Salary" numFmtId="0" hierarchy="20" level="32767"/>
    <cacheField name="[Measures].[Average of Tenure]" caption="Average of Tenure" numFmtId="0" hierarchy="21" level="32767"/>
    <cacheField name="[staff].[Country].[Country]" caption="Country" numFmtId="0" hierarchy="1" level="1">
      <sharedItems containsSemiMixedTypes="0" containsNonDate="0" containsString="0"/>
    </cacheField>
  </cacheFields>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staff" count="0" oneField="1" hidden="1">
      <fieldsUsage count="1">
        <fieldUsage x="3"/>
      </fieldsUsage>
      <extLst>
        <ext xmlns:x15="http://schemas.microsoft.com/office/spreadsheetml/2010/11/main" uri="{B97F6D7D-B522-45F9-BDA1-12C45D357490}">
          <x15:cacheHierarchy aggregatedColumn="10"/>
        </ext>
      </extLst>
    </cacheHierarchy>
    <cacheHierarchy uniqueName="[Measures].[Average of Tenure]" caption="Average of Tenure" measure="1" displayFolder="" measureGroup="staff" count="0" oneField="1" hidden="1">
      <fieldsUsage count="1">
        <fieldUsage x="4"/>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Cyberrocknet" refreshedDate="45106.67210127315" backgroundQuery="1" createdVersion="6" refreshedVersion="6" minRefreshableVersion="3" recordCount="0" supportSubquery="1" supportAdvancedDrill="1">
  <cacheSource type="external" connectionId="2"/>
  <cacheFields count="3">
    <cacheField name="[staff].[Date Joined (Month)].[Date Joined (Month)]" caption="Date Joined (Month)" numFmtId="0" hierarchy="3" level="1">
      <sharedItems count="12">
        <s v="May"/>
        <s v="Jun"/>
        <s v="Jul"/>
        <s v="Aug"/>
        <s v="Sep"/>
        <s v="Oct"/>
        <s v="Nov"/>
        <s v="Dec"/>
        <s v="Jan"/>
        <s v="Feb"/>
        <s v="Mar"/>
        <s v="Apr"/>
      </sharedItems>
    </cacheField>
    <cacheField name="[staff].[Date Joined (Year)].[Date Joined (Year)]" caption="Date Joined (Year)" numFmtId="0" hierarchy="5" level="1">
      <sharedItems count="4">
        <s v="2020"/>
        <s v="2021"/>
        <s v="2022"/>
        <s v="2023"/>
      </sharedItems>
    </cacheField>
    <cacheField name="[Measures].[Count of Name]" caption="Count of Name" numFmtId="0" hierarchy="15" level="32767"/>
  </cacheFields>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2" memberValueDatatype="7"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Date Joined (Quarter)]" caption="Date Joined (Quarter)" attribute="1" defaultMemberUniqueName="[staff].[Date Joined (Quarter)].[All]" allUniqueName="[staff].[Date Joined (Quarter)].[All]" dimensionUniqueName="[staff]" displayFolder="" count="2" memberValueDatatype="130"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Cyberrocknet" refreshedDate="45106.703588194447" backgroundQuery="1" createdVersion="6" refreshedVersion="6" minRefreshableVersion="3" recordCount="0" supportSubquery="1" supportAdvancedDrill="1">
  <cacheSource type="external" connectionId="2"/>
  <cacheFields count="3">
    <cacheField name="[staff].[Department].[Department]" caption="Department" numFmtId="0" hierarchy="6" level="1">
      <sharedItems count="5">
        <s v="Finance"/>
        <s v="HR"/>
        <s v="Procurement"/>
        <s v="Sales"/>
        <s v="Website"/>
      </sharedItems>
    </cacheField>
    <cacheField name="[Measures].[Count of Name]" caption="Count of Name" numFmtId="0" hierarchy="15" level="32767"/>
    <cacheField name="[staff].[Country].[Country]" caption="Country" numFmtId="0" hierarchy="1" level="1">
      <sharedItems containsSemiMixedTypes="0" containsNonDate="0" containsString="0"/>
    </cacheField>
  </cacheFields>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Cyberrocknet" refreshedDate="45106.703639699073" backgroundQuery="1" createdVersion="6" refreshedVersion="6" minRefreshableVersion="3" recordCount="0" supportSubquery="1" supportAdvancedDrill="1">
  <cacheSource type="external" connectionId="2"/>
  <cacheFields count="3">
    <cacheField name="[staff].[Department].[Department]" caption="Department" numFmtId="0" hierarchy="6" level="1">
      <sharedItems count="5">
        <s v="Finance"/>
        <s v="HR"/>
        <s v="Procurement"/>
        <s v="Sales"/>
        <s v="Website"/>
      </sharedItems>
    </cacheField>
    <cacheField name="[Measures].[Count of Name]" caption="Count of Name" numFmtId="0" hierarchy="15" level="32767"/>
    <cacheField name="[staff].[Country].[Country]" caption="Country" numFmtId="0" hierarchy="1" level="1">
      <sharedItems containsSemiMixedTypes="0" containsNonDate="0" containsString="0"/>
    </cacheField>
  </cacheFields>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Cyberrocknet" refreshedDate="45106.647218287035"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1" dataOnRows="1" applyNumberFormats="0" applyBorderFormats="0" applyFontFormats="0" applyPatternFormats="0" applyAlignmentFormats="0" applyWidthHeightFormats="1" dataCaption="Values" tag="81948c4a-288a-4287-98fb-7a682a0aaeac" updatedVersion="6" minRefreshableVersion="3" useAutoFormatting="1" rowGrandTotals="0" colGrandTotals="0" itemPrintTitles="1" createdVersion="6" indent="0" outline="1" outlineData="1" multipleFieldFilters="0">
  <location ref="C7:E12" firstHeaderRow="1" firstDataRow="2" firstDataCol="1"/>
  <pivotFields count="6">
    <pivotField axis="axisCol" allDrilled="1" showAll="0" dataSourceSort="1" defaultAttributeDrillState="1">
      <items count="3">
        <item s="1" x="0"/>
        <item s="1" x="1"/>
        <item t="default"/>
      </items>
    </pivotField>
    <pivotField dataField="1" showAll="0"/>
    <pivotField dataField="1" showAll="0"/>
    <pivotField dataField="1" showAll="0"/>
    <pivotField dataField="1" showAll="0"/>
    <pivotField allDrilled="1" showAll="0" dataSourceSort="1"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numFmtId="2"/>
    <dataField name="Average of Salary" fld="3" subtotal="average" baseField="0" baseItem="0" numFmtId="164"/>
    <dataField name="Average of Tenure" fld="4" subtotal="average" baseField="0" baseItem="0" numFmtId="2"/>
  </dataFields>
  <formats count="4">
    <format dxfId="9">
      <pivotArea collapsedLevelsAreSubtotals="1" fieldPosition="0">
        <references count="2">
          <reference field="4294967294" count="1">
            <x v="1"/>
          </reference>
          <reference field="0" count="1" selected="0">
            <x v="0"/>
          </reference>
        </references>
      </pivotArea>
    </format>
    <format dxfId="8">
      <pivotArea outline="0" fieldPosition="0">
        <references count="1">
          <reference field="4294967294" count="1">
            <x v="1"/>
          </reference>
        </references>
      </pivotArea>
    </format>
    <format dxfId="7">
      <pivotArea outline="0" fieldPosition="0">
        <references count="1">
          <reference field="4294967294" count="1">
            <x v="3"/>
          </reference>
        </references>
      </pivotArea>
    </format>
    <format dxfId="6">
      <pivotArea outline="0" fieldPosition="0">
        <references count="1">
          <reference field="4294967294" count="1">
            <x v="2"/>
          </reference>
        </references>
      </pivotArea>
    </format>
  </formats>
  <pivotHierarchies count="2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tag="9b5c453e-2f0f-45a1-b3bc-bf85ac47caaf" updatedVersion="6" minRefreshableVersion="3" useAutoFormatting="1" itemPrintTitles="1" createdVersion="6" indent="0" outline="1" outlineData="1" multipleFieldFilters="0">
  <location ref="C5:E11" firstHeaderRow="0" firstDataRow="1" firstDataCol="1"/>
  <pivotFields count="3">
    <pivotField axis="axisRow" allDrilled="1" showAll="0" defaultAttributeDrillState="1">
      <items count="6">
        <item x="2"/>
        <item x="0"/>
        <item x="1"/>
        <item x="3"/>
        <item x="4"/>
        <item t="default"/>
      </items>
    </pivotField>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numFmtId="165"/>
  </dataFields>
  <formats count="3">
    <format dxfId="5">
      <pivotArea field="0" grandRow="1" outline="0" collapsedLevelsAreSubtotals="1" axis="axisRow" fieldPosition="0">
        <references count="1">
          <reference field="4294967294" count="1" selected="0">
            <x v="1"/>
          </reference>
        </references>
      </pivotArea>
    </format>
    <format dxfId="4">
      <pivotArea field="0" grandRow="1" outline="0" collapsedLevelsAreSubtotals="1" axis="axisRow" fieldPosition="0">
        <references count="1">
          <reference field="4294967294" count="1" selected="0">
            <x v="1"/>
          </reference>
        </references>
      </pivotArea>
    </format>
    <format dxfId="3">
      <pivotArea field="0" grandRow="1" outline="0" collapsedLevelsAreSubtotals="1" axis="axisRow" fieldPosition="0">
        <references count="1">
          <reference field="4294967294" count="1" selected="0">
            <x v="1"/>
          </reference>
        </references>
      </pivotArea>
    </format>
  </formats>
  <conditionalFormats count="2">
    <conditionalFormat priority="2">
      <pivotAreas count="1">
        <pivotArea type="data" collapsedLevelsAreSubtotals="1" fieldPosition="0">
          <references count="2">
            <reference field="4294967294" count="1" selected="0">
              <x v="1"/>
            </reference>
            <reference field="0" count="1">
              <x v="1"/>
            </reference>
          </references>
        </pivotArea>
      </pivotAreas>
    </conditionalFormat>
    <conditionalFormat priority="1">
      <pivotAreas count="1">
        <pivotArea type="data" collapsedLevelsAreSubtotals="1" fieldPosition="0">
          <references count="2">
            <reference field="4294967294" count="1" selected="0">
              <x v="1"/>
            </reference>
            <reference field="0" count="5">
              <x v="0"/>
              <x v="1"/>
              <x v="2"/>
              <x v="3"/>
              <x v="4"/>
            </reference>
          </references>
        </pivotArea>
      </pivotAreas>
    </conditionalFormat>
  </conditional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tag="d72d4846-d72d-4f97-8e48-e087ed2e8cf2" updatedVersion="6" minRefreshableVersion="3" useAutoFormatting="1" itemPrintTitles="1" createdVersion="6" indent="0" outline="1" outlineData="1" multipleFieldFilters="0" chartFormat="3">
  <location ref="C4:D41"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items count="5">
        <item x="0"/>
        <item x="1"/>
        <item x="2"/>
        <item x="3"/>
        <item t="default"/>
      </items>
    </pivotField>
    <pivotField dataField="1" showAll="0"/>
  </pivotFields>
  <rowFields count="2">
    <field x="1"/>
    <field x="0"/>
  </rowFields>
  <rowItems count="37">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r="1">
      <x v="2"/>
    </i>
    <i r="1">
      <x v="3"/>
    </i>
    <i r="1">
      <x v="4"/>
    </i>
    <i r="1">
      <x v="5"/>
    </i>
    <i>
      <x v="3"/>
    </i>
    <i r="1">
      <x v="9"/>
    </i>
    <i r="1">
      <x v="11"/>
    </i>
    <i t="grand">
      <x/>
    </i>
  </rowItems>
  <colItems count="1">
    <i/>
  </colItems>
  <dataFields count="1">
    <dataField name="Count of Name" fld="2" subtotal="count" showDataAs="runTotal"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Lst>
</pivotTableDefinition>
</file>

<file path=xl/pivotTables/pivotTable4.xml><?xml version="1.0" encoding="utf-8"?>
<pivotTableDefinition xmlns="http://schemas.openxmlformats.org/spreadsheetml/2006/main" name="PivotTable7" cacheId="4" applyNumberFormats="0" applyBorderFormats="0" applyFontFormats="0" applyPatternFormats="0" applyAlignmentFormats="0" applyWidthHeightFormats="1" dataCaption="Values" tag="6138980b-4a7e-4205-87e8-1885c8a2a50c" updatedVersion="6" minRefreshableVersion="3" useAutoFormatting="1" itemPrintTitles="1" createdVersion="6" indent="0" outline="1" outlineData="1" multipleFieldFilters="0" chartFormat="17">
  <location ref="G5:H11" firstHeaderRow="1" firstDataRow="1" firstDataCol="1" rowPageCount="1" colPageCount="1"/>
  <pivotFields count="3">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Page" allDrilled="1" showAll="0" dataSourceSort="1" defaultAttributeDrillState="1">
      <items count="1">
        <item t="default"/>
      </items>
    </pivotField>
  </pivotFields>
  <rowFields count="1">
    <field x="0"/>
  </rowFields>
  <rowItems count="6">
    <i>
      <x v="4"/>
    </i>
    <i>
      <x v="2"/>
    </i>
    <i>
      <x/>
    </i>
    <i>
      <x v="3"/>
    </i>
    <i>
      <x v="1"/>
    </i>
    <i t="grand">
      <x/>
    </i>
  </rowItems>
  <colItems count="1">
    <i/>
  </colItems>
  <pageFields count="1">
    <pageField fld="2" hier="1" name="[staff].[Country].&amp;[NZ]" cap="NZ"/>
  </pageFields>
  <dataFields count="1">
    <dataField name="Count of Name" fld="1" subtotal="count" baseField="0" baseItem="0"/>
  </dataFields>
  <chartFormats count="3">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members count="1" level="1">
        <member name="[staff].[Country].&amp;[N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Lst>
</pivotTableDefinition>
</file>

<file path=xl/pivotTables/pivotTable5.xml><?xml version="1.0" encoding="utf-8"?>
<pivotTableDefinition xmlns="http://schemas.openxmlformats.org/spreadsheetml/2006/main" name="PivotTable6" cacheId="3" applyNumberFormats="0" applyBorderFormats="0" applyFontFormats="0" applyPatternFormats="0" applyAlignmentFormats="0" applyWidthHeightFormats="1" dataCaption="Values" tag="0e6a7a0f-47ca-4a54-a6f1-fb345ccce0a9" updatedVersion="6" minRefreshableVersion="3" useAutoFormatting="1" itemPrintTitles="1" createdVersion="6" indent="0" outline="1" outlineData="1" multipleFieldFilters="0" chartFormat="14">
  <location ref="C5:D11" firstHeaderRow="1" firstDataRow="1" firstDataCol="1" rowPageCount="1" colPageCount="1"/>
  <pivotFields count="3">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Page" allDrilled="1" showAll="0" dataSourceSort="1" defaultAttributeDrillState="1">
      <items count="1">
        <item t="default"/>
      </items>
    </pivotField>
  </pivotFields>
  <rowFields count="1">
    <field x="0"/>
  </rowFields>
  <rowItems count="6">
    <i>
      <x v="2"/>
    </i>
    <i>
      <x v="4"/>
    </i>
    <i>
      <x/>
    </i>
    <i>
      <x v="3"/>
    </i>
    <i>
      <x v="1"/>
    </i>
    <i t="grand">
      <x/>
    </i>
  </rowItems>
  <colItems count="1">
    <i/>
  </colItems>
  <pageFields count="1">
    <pageField fld="2" hier="1" name="[staff].[Country].&amp;[IND]" cap="IND"/>
  </pageFields>
  <dataFields count="1">
    <dataField name="Count of Name" fld="1" subtotal="count" baseField="0" baseItem="0"/>
  </dataField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members count="1" level="1">
        <member name="[staff].[Country].&amp;[IN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unboundColumnsRight="3">
    <queryTableFields count="11">
      <queryTableField id="1" name="Name" tableColumnId="17"/>
      <queryTableField id="2" name="Gender" tableColumnId="18"/>
      <queryTableField id="3" name="Department" tableColumnId="19"/>
      <queryTableField id="4" name="Age" tableColumnId="20"/>
      <queryTableField id="5" name="Date Joined" tableColumnId="21"/>
      <queryTableField id="6" name="Salary" tableColumnId="22"/>
      <queryTableField id="7" name="Rating" tableColumnId="23"/>
      <queryTableField id="8" name="Country" tableColumnId="24"/>
      <queryTableField id="9" dataBound="0" tableColumnId="1"/>
      <queryTableField id="10" dataBound="0" tableColumnId="2"/>
      <queryTableField id="11" dataBound="0"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staff].[Country]">
  <pivotTables>
    <pivotTable tabId="5" name="PivotTable1"/>
  </pivotTables>
  <data>
    <olap pivotCacheId="2">
      <levels count="2">
        <level uniqueName="[staff].[Country].[(All)]" sourceCaption="(All)" count="0"/>
        <level uniqueName="[staff].[Country].[Country]" sourceCaption="Country" count="2">
          <ranges>
            <range startItem="0">
              <i n="[staff].[Country].&amp;[IND]" c="IND"/>
              <i n="[staff].[Country].&amp;[NZ]" c="NZ"/>
            </range>
          </ranges>
        </level>
      </levels>
      <selections count="1">
        <selection n="[staff].[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nz_staff" displayName="nz_staff" ref="C5:I106" totalsRowCount="1">
  <autoFilter ref="C5:I105"/>
  <tableColumns count="7">
    <tableColumn id="1" name="Name" totalsRowLabel="Total"/>
    <tableColumn id="2" name="Gender"/>
    <tableColumn id="3" name="Department"/>
    <tableColumn id="4" name="Age" totalsRowFunction="average"/>
    <tableColumn id="5" name="Date Joined" dataDxfId="16"/>
    <tableColumn id="6" name="Salary" totalsRowFunction="average" dataCellStyle="Currency"/>
    <tableColumn id="7" name="Rating" totalsRowFunction="count"/>
  </tableColumns>
  <tableStyleInfo name="TableStyleMedium2" showFirstColumn="0" showLastColumn="0" showRowStripes="1" showColumnStripes="0"/>
</table>
</file>

<file path=xl/tables/table2.xml><?xml version="1.0" encoding="utf-8"?>
<table xmlns="http://schemas.openxmlformats.org/spreadsheetml/2006/main" id="2" name="India_staff" displayName="India_staff" ref="B2:H114" totalsRowShown="0">
  <autoFilter ref="B2:H114"/>
  <tableColumns count="7">
    <tableColumn id="1" name="Name"/>
    <tableColumn id="2" name="Gender"/>
    <tableColumn id="3" name="Age"/>
    <tableColumn id="4" name="Rating"/>
    <tableColumn id="5" name="Date Joined" dataDxfId="15"/>
    <tableColumn id="6" name="Department"/>
    <tableColumn id="7" name="Salary"/>
  </tableColumns>
  <tableStyleInfo name="TableStyleMedium3" showFirstColumn="0" showLastColumn="0" showRowStripes="1" showColumnStripes="0"/>
</table>
</file>

<file path=xl/tables/table3.xml><?xml version="1.0" encoding="utf-8"?>
<table xmlns="http://schemas.openxmlformats.org/spreadsheetml/2006/main" id="4" name="staff" displayName="staff" ref="A1:K184" tableType="queryTable" totalsRowShown="0">
  <autoFilter ref="A1:K184"/>
  <sortState ref="A2:J184">
    <sortCondition ref="F1:F184"/>
  </sortState>
  <tableColumns count="11">
    <tableColumn id="17" uniqueName="17" name="Name" queryTableFieldId="1"/>
    <tableColumn id="18" uniqueName="18" name="Gender" queryTableFieldId="2"/>
    <tableColumn id="19" uniqueName="19" name="Department" queryTableFieldId="3"/>
    <tableColumn id="20" uniqueName="20" name="Age" queryTableFieldId="4"/>
    <tableColumn id="21" uniqueName="21" name="Date Joined" queryTableFieldId="5" dataDxfId="14"/>
    <tableColumn id="22" uniqueName="22" name="Salary" queryTableFieldId="6" dataDxfId="13"/>
    <tableColumn id="23" uniqueName="23" name="Rating" queryTableFieldId="7"/>
    <tableColumn id="24" uniqueName="24" name="Country" queryTableFieldId="8"/>
    <tableColumn id="1" uniqueName="1" name="Tenure" queryTableFieldId="9" dataDxfId="12">
      <calculatedColumnFormula>(TODAY()-staff[[#This Row],[Date Joined]])/365</calculatedColumnFormula>
    </tableColumn>
    <tableColumn id="2" uniqueName="2" name="Bonus" queryTableFieldId="10" dataDxfId="11">
      <calculatedColumnFormula>ROUNDUP(IF(I2&gt;2,3%,2%)*staff[Salary],0)</calculatedColumnFormula>
    </tableColumn>
    <tableColumn id="3" uniqueName="3" name="Rating as number" queryTableFieldId="11" dataDxfId="10">
      <calculatedColumnFormula>VLOOKUP(staff[[#This Row],[Rating]],rating[],2,FALSE)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id="7" name="rating" displayName="rating" ref="C3:D8" totalsRowShown="0" tableBorderDxfId="2">
  <autoFilter ref="C3:D8"/>
  <tableColumns count="2">
    <tableColumn id="1" name="Column1" dataDxfId="1"/>
    <tableColumn id="2" name="Column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election activeCell="O17" sqref="O17"/>
    </sheetView>
  </sheetViews>
  <sheetFormatPr defaultRowHeight="15"/>
  <cols>
    <col min="1" max="1" width="1.7109375" customWidth="1"/>
    <col min="2" max="2" width="3.7109375" customWidth="1"/>
    <col min="3" max="3" width="36.42578125" bestFit="1" customWidth="1"/>
    <col min="4" max="4" width="10" bestFit="1" customWidth="1"/>
    <col min="5" max="5" width="14" bestFit="1" customWidth="1"/>
    <col min="6" max="6" width="6.7109375" bestFit="1" customWidth="1"/>
    <col min="7" max="7" width="13.7109375" bestFit="1" customWidth="1"/>
    <col min="8" max="8" width="12.5703125" bestFit="1" customWidth="1"/>
    <col min="9" max="9" width="14.28515625" bestFit="1" customWidth="1"/>
  </cols>
  <sheetData>
    <row r="1" spans="1:9" s="2" customFormat="1" ht="52.5" customHeight="1">
      <c r="A1" s="1"/>
      <c r="C1" s="3" t="s">
        <v>110</v>
      </c>
    </row>
    <row r="5" spans="1:9">
      <c r="C5" t="s">
        <v>0</v>
      </c>
      <c r="D5" t="s">
        <v>1</v>
      </c>
      <c r="E5" t="s">
        <v>2</v>
      </c>
      <c r="F5" t="s">
        <v>3</v>
      </c>
      <c r="G5" s="4" t="s">
        <v>4</v>
      </c>
      <c r="H5" s="5" t="s">
        <v>5</v>
      </c>
      <c r="I5" t="s">
        <v>6</v>
      </c>
    </row>
    <row r="6" spans="1:9">
      <c r="C6" t="s">
        <v>58</v>
      </c>
      <c r="D6" t="s">
        <v>15</v>
      </c>
      <c r="E6" t="s">
        <v>19</v>
      </c>
      <c r="F6">
        <v>22</v>
      </c>
      <c r="G6" s="4">
        <v>44446</v>
      </c>
      <c r="H6" s="5">
        <v>112780</v>
      </c>
      <c r="I6" t="s">
        <v>13</v>
      </c>
    </row>
    <row r="7" spans="1:9">
      <c r="C7" t="s">
        <v>70</v>
      </c>
      <c r="D7" t="s">
        <v>15</v>
      </c>
      <c r="E7" t="s">
        <v>9</v>
      </c>
      <c r="F7">
        <v>46</v>
      </c>
      <c r="G7" s="4">
        <v>44758</v>
      </c>
      <c r="H7" s="5">
        <v>70610</v>
      </c>
      <c r="I7" t="s">
        <v>16</v>
      </c>
    </row>
    <row r="8" spans="1:9">
      <c r="C8" t="s">
        <v>75</v>
      </c>
      <c r="D8" t="s">
        <v>8</v>
      </c>
      <c r="E8" t="s">
        <v>19</v>
      </c>
      <c r="F8">
        <v>28</v>
      </c>
      <c r="G8" s="4">
        <v>44357</v>
      </c>
      <c r="H8" s="5">
        <v>53240</v>
      </c>
      <c r="I8" t="s">
        <v>16</v>
      </c>
    </row>
    <row r="9" spans="1:9">
      <c r="C9" t="s">
        <v>49</v>
      </c>
      <c r="E9" t="s">
        <v>21</v>
      </c>
      <c r="F9">
        <v>37</v>
      </c>
      <c r="G9" s="4">
        <v>44146</v>
      </c>
      <c r="H9" s="5">
        <v>115440</v>
      </c>
      <c r="I9" t="s">
        <v>24</v>
      </c>
    </row>
    <row r="10" spans="1:9">
      <c r="C10" t="s">
        <v>65</v>
      </c>
      <c r="D10" t="s">
        <v>15</v>
      </c>
      <c r="E10" t="s">
        <v>19</v>
      </c>
      <c r="F10">
        <v>32</v>
      </c>
      <c r="G10" s="4">
        <v>44465</v>
      </c>
      <c r="H10" s="5">
        <v>53540</v>
      </c>
      <c r="I10" t="s">
        <v>16</v>
      </c>
    </row>
    <row r="11" spans="1:9">
      <c r="C11" t="s">
        <v>81</v>
      </c>
      <c r="D11" t="s">
        <v>8</v>
      </c>
      <c r="E11" t="s">
        <v>9</v>
      </c>
      <c r="F11">
        <v>30</v>
      </c>
      <c r="G11" s="4">
        <v>44861</v>
      </c>
      <c r="H11" s="5">
        <v>112570</v>
      </c>
      <c r="I11" t="s">
        <v>16</v>
      </c>
    </row>
    <row r="12" spans="1:9">
      <c r="C12" t="s">
        <v>51</v>
      </c>
      <c r="D12" t="s">
        <v>15</v>
      </c>
      <c r="E12" t="s">
        <v>9</v>
      </c>
      <c r="F12">
        <v>33</v>
      </c>
      <c r="G12" s="4">
        <v>44701</v>
      </c>
      <c r="H12" s="5">
        <v>48530</v>
      </c>
      <c r="I12" t="s">
        <v>13</v>
      </c>
    </row>
    <row r="13" spans="1:9">
      <c r="C13" t="s">
        <v>61</v>
      </c>
      <c r="D13" t="s">
        <v>8</v>
      </c>
      <c r="E13" t="s">
        <v>12</v>
      </c>
      <c r="F13">
        <v>24</v>
      </c>
      <c r="G13" s="4">
        <v>44148</v>
      </c>
      <c r="H13" s="5">
        <v>62780</v>
      </c>
      <c r="I13" t="s">
        <v>16</v>
      </c>
    </row>
    <row r="14" spans="1:9">
      <c r="C14" t="s">
        <v>82</v>
      </c>
      <c r="D14" t="s">
        <v>15</v>
      </c>
      <c r="E14" t="s">
        <v>12</v>
      </c>
      <c r="F14">
        <v>33</v>
      </c>
      <c r="G14" s="4">
        <v>44509</v>
      </c>
      <c r="H14" s="5">
        <v>53870</v>
      </c>
      <c r="I14" t="s">
        <v>16</v>
      </c>
    </row>
    <row r="15" spans="1:9">
      <c r="C15" t="s">
        <v>60</v>
      </c>
      <c r="D15" t="s">
        <v>8</v>
      </c>
      <c r="E15" t="s">
        <v>56</v>
      </c>
      <c r="F15">
        <v>27</v>
      </c>
      <c r="G15" s="4">
        <v>44122</v>
      </c>
      <c r="H15" s="5">
        <v>119110</v>
      </c>
      <c r="I15" t="s">
        <v>16</v>
      </c>
    </row>
    <row r="16" spans="1:9">
      <c r="C16" t="s">
        <v>87</v>
      </c>
      <c r="D16" t="s">
        <v>15</v>
      </c>
      <c r="E16" t="s">
        <v>12</v>
      </c>
      <c r="F16">
        <v>29</v>
      </c>
      <c r="G16" s="4">
        <v>44180</v>
      </c>
      <c r="H16" s="5">
        <v>112110</v>
      </c>
      <c r="I16" t="s">
        <v>24</v>
      </c>
    </row>
    <row r="17" spans="3:9">
      <c r="C17" t="s">
        <v>76</v>
      </c>
      <c r="D17" t="s">
        <v>15</v>
      </c>
      <c r="E17" t="s">
        <v>19</v>
      </c>
      <c r="F17">
        <v>25</v>
      </c>
      <c r="G17" s="4">
        <v>44383</v>
      </c>
      <c r="H17" s="5">
        <v>65700</v>
      </c>
      <c r="I17" t="s">
        <v>16</v>
      </c>
    </row>
    <row r="18" spans="3:9">
      <c r="C18" t="s">
        <v>97</v>
      </c>
      <c r="D18" t="s">
        <v>15</v>
      </c>
      <c r="E18" t="s">
        <v>12</v>
      </c>
      <c r="F18">
        <v>37</v>
      </c>
      <c r="G18" s="4">
        <v>44701</v>
      </c>
      <c r="H18" s="5">
        <v>69070</v>
      </c>
      <c r="I18" t="s">
        <v>16</v>
      </c>
    </row>
    <row r="19" spans="3:9">
      <c r="C19" t="s">
        <v>22</v>
      </c>
      <c r="D19" t="s">
        <v>15</v>
      </c>
      <c r="E19" t="s">
        <v>12</v>
      </c>
      <c r="F19">
        <v>20</v>
      </c>
      <c r="G19" s="4">
        <v>44459</v>
      </c>
      <c r="H19" s="5">
        <v>107700</v>
      </c>
      <c r="I19" t="s">
        <v>16</v>
      </c>
    </row>
    <row r="20" spans="3:9">
      <c r="C20" t="s">
        <v>84</v>
      </c>
      <c r="D20" t="s">
        <v>8</v>
      </c>
      <c r="E20" t="s">
        <v>12</v>
      </c>
      <c r="F20">
        <v>32</v>
      </c>
      <c r="G20" s="4">
        <v>44354</v>
      </c>
      <c r="H20" s="5">
        <v>43840</v>
      </c>
      <c r="I20" t="s">
        <v>13</v>
      </c>
    </row>
    <row r="21" spans="3:9">
      <c r="C21" t="s">
        <v>105</v>
      </c>
      <c r="D21" t="s">
        <v>15</v>
      </c>
      <c r="E21" t="s">
        <v>9</v>
      </c>
      <c r="F21">
        <v>40</v>
      </c>
      <c r="G21" s="4">
        <v>44263</v>
      </c>
      <c r="H21" s="5">
        <v>99750</v>
      </c>
      <c r="I21" t="s">
        <v>16</v>
      </c>
    </row>
    <row r="22" spans="3:9">
      <c r="C22" t="s">
        <v>47</v>
      </c>
      <c r="D22" t="s">
        <v>15</v>
      </c>
      <c r="E22" t="s">
        <v>9</v>
      </c>
      <c r="F22">
        <v>21</v>
      </c>
      <c r="G22" s="4">
        <v>44104</v>
      </c>
      <c r="H22" s="5">
        <v>37920</v>
      </c>
      <c r="I22" t="s">
        <v>16</v>
      </c>
    </row>
    <row r="23" spans="3:9">
      <c r="C23" t="s">
        <v>31</v>
      </c>
      <c r="D23" t="s">
        <v>15</v>
      </c>
      <c r="E23" t="s">
        <v>9</v>
      </c>
      <c r="F23">
        <v>21</v>
      </c>
      <c r="G23" s="4">
        <v>44762</v>
      </c>
      <c r="H23" s="5">
        <v>57090</v>
      </c>
      <c r="I23" t="s">
        <v>16</v>
      </c>
    </row>
    <row r="24" spans="3:9">
      <c r="C24" t="s">
        <v>30</v>
      </c>
      <c r="D24" t="s">
        <v>8</v>
      </c>
      <c r="E24" t="s">
        <v>12</v>
      </c>
      <c r="F24">
        <v>31</v>
      </c>
      <c r="G24" s="4">
        <v>44145</v>
      </c>
      <c r="H24" s="5">
        <v>41980</v>
      </c>
      <c r="I24" t="s">
        <v>16</v>
      </c>
    </row>
    <row r="25" spans="3:9">
      <c r="C25" t="s">
        <v>78</v>
      </c>
      <c r="D25" t="s">
        <v>15</v>
      </c>
      <c r="E25" t="s">
        <v>56</v>
      </c>
      <c r="F25">
        <v>21</v>
      </c>
      <c r="G25" s="4">
        <v>44242</v>
      </c>
      <c r="H25" s="5">
        <v>75880</v>
      </c>
      <c r="I25" t="s">
        <v>16</v>
      </c>
    </row>
    <row r="26" spans="3:9">
      <c r="C26" t="s">
        <v>36</v>
      </c>
      <c r="D26" t="s">
        <v>8</v>
      </c>
      <c r="E26" t="s">
        <v>21</v>
      </c>
      <c r="F26">
        <v>34</v>
      </c>
      <c r="G26" s="4">
        <v>44653</v>
      </c>
      <c r="H26" s="5">
        <v>58940</v>
      </c>
      <c r="I26" t="s">
        <v>16</v>
      </c>
    </row>
    <row r="27" spans="3:9">
      <c r="C27" t="s">
        <v>27</v>
      </c>
      <c r="D27" t="s">
        <v>8</v>
      </c>
      <c r="E27" t="s">
        <v>21</v>
      </c>
      <c r="F27">
        <v>30</v>
      </c>
      <c r="G27" s="4">
        <v>44389</v>
      </c>
      <c r="H27" s="5">
        <v>67910</v>
      </c>
      <c r="I27" t="s">
        <v>24</v>
      </c>
    </row>
    <row r="28" spans="3:9">
      <c r="C28" t="s">
        <v>26</v>
      </c>
      <c r="D28" t="s">
        <v>8</v>
      </c>
      <c r="E28" t="s">
        <v>12</v>
      </c>
      <c r="F28">
        <v>31</v>
      </c>
      <c r="G28" s="4">
        <v>44663</v>
      </c>
      <c r="H28" s="5">
        <v>58100</v>
      </c>
      <c r="I28" t="s">
        <v>16</v>
      </c>
    </row>
    <row r="29" spans="3:9">
      <c r="C29" t="s">
        <v>53</v>
      </c>
      <c r="D29" t="s">
        <v>15</v>
      </c>
      <c r="E29" t="s">
        <v>21</v>
      </c>
      <c r="F29">
        <v>27</v>
      </c>
      <c r="G29" s="4">
        <v>44567</v>
      </c>
      <c r="H29" s="5">
        <v>48980</v>
      </c>
      <c r="I29" t="s">
        <v>16</v>
      </c>
    </row>
    <row r="30" spans="3:9">
      <c r="C30" t="s">
        <v>20</v>
      </c>
      <c r="E30" t="s">
        <v>21</v>
      </c>
      <c r="F30">
        <v>30</v>
      </c>
      <c r="G30" s="4">
        <v>44597</v>
      </c>
      <c r="H30" s="5">
        <v>64000</v>
      </c>
      <c r="I30" t="s">
        <v>16</v>
      </c>
    </row>
    <row r="31" spans="3:9">
      <c r="C31" t="s">
        <v>7</v>
      </c>
      <c r="D31" t="s">
        <v>8</v>
      </c>
      <c r="E31" t="s">
        <v>9</v>
      </c>
      <c r="F31">
        <v>42</v>
      </c>
      <c r="G31" s="4">
        <v>44779</v>
      </c>
      <c r="H31" s="5">
        <v>75000</v>
      </c>
      <c r="I31" t="s">
        <v>10</v>
      </c>
    </row>
    <row r="32" spans="3:9">
      <c r="C32" t="s">
        <v>74</v>
      </c>
      <c r="D32" t="s">
        <v>8</v>
      </c>
      <c r="E32" t="s">
        <v>12</v>
      </c>
      <c r="F32">
        <v>40</v>
      </c>
      <c r="G32" s="4">
        <v>44337</v>
      </c>
      <c r="H32" s="5">
        <v>87620</v>
      </c>
      <c r="I32" t="s">
        <v>16</v>
      </c>
    </row>
    <row r="33" spans="3:9">
      <c r="C33" t="s">
        <v>44</v>
      </c>
      <c r="D33" t="s">
        <v>8</v>
      </c>
      <c r="E33" t="s">
        <v>12</v>
      </c>
      <c r="F33">
        <v>29</v>
      </c>
      <c r="G33" s="4">
        <v>44023</v>
      </c>
      <c r="H33" s="5">
        <v>34980</v>
      </c>
      <c r="I33" t="s">
        <v>16</v>
      </c>
    </row>
    <row r="34" spans="3:9">
      <c r="C34" t="s">
        <v>35</v>
      </c>
      <c r="D34" t="s">
        <v>8</v>
      </c>
      <c r="E34" t="s">
        <v>21</v>
      </c>
      <c r="F34">
        <v>28</v>
      </c>
      <c r="G34" s="4">
        <v>44185</v>
      </c>
      <c r="H34" s="5">
        <v>75970</v>
      </c>
      <c r="I34" t="s">
        <v>16</v>
      </c>
    </row>
    <row r="35" spans="3:9">
      <c r="C35" t="s">
        <v>38</v>
      </c>
      <c r="D35" t="s">
        <v>8</v>
      </c>
      <c r="E35" t="s">
        <v>21</v>
      </c>
      <c r="F35">
        <v>34</v>
      </c>
      <c r="G35" s="4">
        <v>44612</v>
      </c>
      <c r="H35" s="5">
        <v>60130</v>
      </c>
      <c r="I35" t="s">
        <v>16</v>
      </c>
    </row>
    <row r="36" spans="3:9">
      <c r="C36" t="s">
        <v>41</v>
      </c>
      <c r="D36" t="s">
        <v>8</v>
      </c>
      <c r="E36" t="s">
        <v>12</v>
      </c>
      <c r="F36">
        <v>33</v>
      </c>
      <c r="G36" s="4">
        <v>44374</v>
      </c>
      <c r="H36" s="5">
        <v>75480</v>
      </c>
      <c r="I36" t="s">
        <v>42</v>
      </c>
    </row>
    <row r="37" spans="3:9">
      <c r="C37" t="s">
        <v>40</v>
      </c>
      <c r="D37" t="s">
        <v>15</v>
      </c>
      <c r="E37" t="s">
        <v>9</v>
      </c>
      <c r="F37">
        <v>33</v>
      </c>
      <c r="G37" s="4">
        <v>44164</v>
      </c>
      <c r="H37" s="5">
        <v>115920</v>
      </c>
      <c r="I37" t="s">
        <v>16</v>
      </c>
    </row>
    <row r="38" spans="3:9">
      <c r="C38" t="s">
        <v>48</v>
      </c>
      <c r="D38" t="s">
        <v>8</v>
      </c>
      <c r="E38" t="s">
        <v>19</v>
      </c>
      <c r="F38">
        <v>36</v>
      </c>
      <c r="G38" s="4">
        <v>44494</v>
      </c>
      <c r="H38" s="5">
        <v>78540</v>
      </c>
      <c r="I38" t="s">
        <v>16</v>
      </c>
    </row>
    <row r="39" spans="3:9">
      <c r="C39" t="s">
        <v>34</v>
      </c>
      <c r="D39" t="s">
        <v>15</v>
      </c>
      <c r="E39" t="s">
        <v>9</v>
      </c>
      <c r="F39">
        <v>25</v>
      </c>
      <c r="G39" s="4">
        <v>44726</v>
      </c>
      <c r="H39" s="5">
        <v>109190</v>
      </c>
      <c r="I39" t="s">
        <v>13</v>
      </c>
    </row>
    <row r="40" spans="3:9">
      <c r="C40" t="s">
        <v>73</v>
      </c>
      <c r="D40" t="s">
        <v>8</v>
      </c>
      <c r="E40" t="s">
        <v>19</v>
      </c>
      <c r="F40">
        <v>34</v>
      </c>
      <c r="G40" s="4">
        <v>44721</v>
      </c>
      <c r="H40" s="5">
        <v>49630</v>
      </c>
      <c r="I40" t="s">
        <v>24</v>
      </c>
    </row>
    <row r="41" spans="3:9">
      <c r="C41" t="s">
        <v>107</v>
      </c>
      <c r="D41" t="s">
        <v>8</v>
      </c>
      <c r="E41" t="s">
        <v>9</v>
      </c>
      <c r="F41">
        <v>28</v>
      </c>
      <c r="G41" s="4">
        <v>44630</v>
      </c>
      <c r="H41" s="5">
        <v>99970</v>
      </c>
      <c r="I41" t="s">
        <v>16</v>
      </c>
    </row>
    <row r="42" spans="3:9">
      <c r="C42" t="s">
        <v>71</v>
      </c>
      <c r="D42" t="s">
        <v>8</v>
      </c>
      <c r="E42" t="s">
        <v>12</v>
      </c>
      <c r="F42">
        <v>33</v>
      </c>
      <c r="G42" s="4">
        <v>44190</v>
      </c>
      <c r="H42" s="5">
        <v>96140</v>
      </c>
      <c r="I42" t="s">
        <v>16</v>
      </c>
    </row>
    <row r="43" spans="3:9">
      <c r="C43" t="s">
        <v>50</v>
      </c>
      <c r="D43" t="s">
        <v>15</v>
      </c>
      <c r="E43" t="s">
        <v>9</v>
      </c>
      <c r="F43">
        <v>31</v>
      </c>
      <c r="G43" s="4">
        <v>44724</v>
      </c>
      <c r="H43" s="5">
        <v>103550</v>
      </c>
      <c r="I43" t="s">
        <v>16</v>
      </c>
    </row>
    <row r="44" spans="3:9">
      <c r="C44" t="s">
        <v>14</v>
      </c>
      <c r="D44" t="s">
        <v>15</v>
      </c>
      <c r="E44" t="s">
        <v>12</v>
      </c>
      <c r="F44">
        <v>31</v>
      </c>
      <c r="G44" s="4">
        <v>44511</v>
      </c>
      <c r="H44" s="5">
        <v>48950</v>
      </c>
      <c r="I44" t="s">
        <v>16</v>
      </c>
    </row>
    <row r="45" spans="3:9">
      <c r="C45" t="s">
        <v>63</v>
      </c>
      <c r="D45" t="s">
        <v>15</v>
      </c>
      <c r="E45" t="s">
        <v>21</v>
      </c>
      <c r="F45">
        <v>24</v>
      </c>
      <c r="G45" s="4">
        <v>44436</v>
      </c>
      <c r="H45" s="5">
        <v>52610</v>
      </c>
      <c r="I45" t="s">
        <v>24</v>
      </c>
    </row>
    <row r="46" spans="3:9">
      <c r="C46" t="s">
        <v>72</v>
      </c>
      <c r="D46" t="s">
        <v>8</v>
      </c>
      <c r="E46" t="s">
        <v>9</v>
      </c>
      <c r="F46">
        <v>36</v>
      </c>
      <c r="G46" s="4">
        <v>44529</v>
      </c>
      <c r="H46" s="5">
        <v>78390</v>
      </c>
      <c r="I46" t="s">
        <v>16</v>
      </c>
    </row>
    <row r="47" spans="3:9">
      <c r="C47" t="s">
        <v>88</v>
      </c>
      <c r="D47" t="s">
        <v>8</v>
      </c>
      <c r="E47" t="s">
        <v>21</v>
      </c>
      <c r="F47">
        <v>33</v>
      </c>
      <c r="G47" s="4">
        <v>44809</v>
      </c>
      <c r="H47" s="5">
        <v>86570</v>
      </c>
      <c r="I47" t="s">
        <v>16</v>
      </c>
    </row>
    <row r="48" spans="3:9">
      <c r="C48" t="s">
        <v>92</v>
      </c>
      <c r="D48" t="s">
        <v>8</v>
      </c>
      <c r="E48" t="s">
        <v>12</v>
      </c>
      <c r="F48">
        <v>27</v>
      </c>
      <c r="G48" s="4">
        <v>44686</v>
      </c>
      <c r="H48" s="5">
        <v>83750</v>
      </c>
      <c r="I48" t="s">
        <v>16</v>
      </c>
    </row>
    <row r="49" spans="3:9">
      <c r="C49" t="s">
        <v>102</v>
      </c>
      <c r="D49" t="s">
        <v>8</v>
      </c>
      <c r="E49" t="s">
        <v>21</v>
      </c>
      <c r="F49">
        <v>34</v>
      </c>
      <c r="G49" s="4">
        <v>44445</v>
      </c>
      <c r="H49" s="5">
        <v>92450</v>
      </c>
      <c r="I49" t="s">
        <v>16</v>
      </c>
    </row>
    <row r="50" spans="3:9">
      <c r="C50" t="s">
        <v>64</v>
      </c>
      <c r="D50" t="s">
        <v>15</v>
      </c>
      <c r="E50" t="s">
        <v>12</v>
      </c>
      <c r="F50">
        <v>20</v>
      </c>
      <c r="G50" s="4">
        <v>44183</v>
      </c>
      <c r="H50" s="5">
        <v>112650</v>
      </c>
      <c r="I50" t="s">
        <v>16</v>
      </c>
    </row>
    <row r="51" spans="3:9">
      <c r="C51" t="s">
        <v>104</v>
      </c>
      <c r="D51" t="s">
        <v>15</v>
      </c>
      <c r="E51" t="s">
        <v>9</v>
      </c>
      <c r="F51">
        <v>20</v>
      </c>
      <c r="G51" s="4">
        <v>44744</v>
      </c>
      <c r="H51" s="5">
        <v>79570</v>
      </c>
      <c r="I51" t="s">
        <v>16</v>
      </c>
    </row>
    <row r="52" spans="3:9">
      <c r="C52" t="s">
        <v>91</v>
      </c>
      <c r="D52" t="s">
        <v>8</v>
      </c>
      <c r="E52" t="s">
        <v>19</v>
      </c>
      <c r="F52">
        <v>20</v>
      </c>
      <c r="G52" s="4">
        <v>44537</v>
      </c>
      <c r="H52" s="5">
        <v>68900</v>
      </c>
      <c r="I52" t="s">
        <v>24</v>
      </c>
    </row>
    <row r="53" spans="3:9">
      <c r="C53" t="s">
        <v>39</v>
      </c>
      <c r="D53" t="s">
        <v>8</v>
      </c>
      <c r="E53" t="s">
        <v>12</v>
      </c>
      <c r="F53">
        <v>25</v>
      </c>
      <c r="G53" s="4">
        <v>44694</v>
      </c>
      <c r="H53" s="5">
        <v>80700</v>
      </c>
      <c r="I53" t="s">
        <v>13</v>
      </c>
    </row>
    <row r="54" spans="3:9">
      <c r="C54" t="s">
        <v>100</v>
      </c>
      <c r="D54" t="s">
        <v>15</v>
      </c>
      <c r="E54" t="s">
        <v>9</v>
      </c>
      <c r="F54">
        <v>19</v>
      </c>
      <c r="G54" s="4">
        <v>44277</v>
      </c>
      <c r="H54" s="5">
        <v>58960</v>
      </c>
      <c r="I54" t="s">
        <v>16</v>
      </c>
    </row>
    <row r="55" spans="3:9">
      <c r="C55" t="s">
        <v>106</v>
      </c>
      <c r="D55" t="s">
        <v>15</v>
      </c>
      <c r="E55" t="s">
        <v>12</v>
      </c>
      <c r="F55">
        <v>36</v>
      </c>
      <c r="G55" s="4">
        <v>44019</v>
      </c>
      <c r="H55" s="5">
        <v>118840</v>
      </c>
      <c r="I55" t="s">
        <v>16</v>
      </c>
    </row>
    <row r="56" spans="3:9">
      <c r="C56" t="s">
        <v>29</v>
      </c>
      <c r="D56" t="s">
        <v>15</v>
      </c>
      <c r="E56" t="s">
        <v>21</v>
      </c>
      <c r="F56">
        <v>28</v>
      </c>
      <c r="G56" s="4">
        <v>44041</v>
      </c>
      <c r="H56" s="5">
        <v>48170</v>
      </c>
      <c r="I56" t="s">
        <v>13</v>
      </c>
    </row>
    <row r="57" spans="3:9">
      <c r="C57" t="s">
        <v>108</v>
      </c>
      <c r="D57" t="s">
        <v>8</v>
      </c>
      <c r="E57" t="s">
        <v>56</v>
      </c>
      <c r="F57">
        <v>32</v>
      </c>
      <c r="G57" s="4">
        <v>44400</v>
      </c>
      <c r="H57" s="5">
        <v>45510</v>
      </c>
      <c r="I57" t="s">
        <v>16</v>
      </c>
    </row>
    <row r="58" spans="3:9">
      <c r="C58" t="s">
        <v>64</v>
      </c>
      <c r="D58" t="s">
        <v>15</v>
      </c>
      <c r="E58" t="s">
        <v>9</v>
      </c>
      <c r="F58">
        <v>34</v>
      </c>
      <c r="G58" s="4">
        <v>44703</v>
      </c>
      <c r="H58" s="5">
        <v>112650</v>
      </c>
      <c r="I58" t="s">
        <v>16</v>
      </c>
    </row>
    <row r="59" spans="3:9">
      <c r="C59" t="s">
        <v>83</v>
      </c>
      <c r="D59" t="s">
        <v>8</v>
      </c>
      <c r="E59" t="s">
        <v>9</v>
      </c>
      <c r="F59">
        <v>36</v>
      </c>
      <c r="G59" s="4">
        <v>44085</v>
      </c>
      <c r="H59" s="5">
        <v>114890</v>
      </c>
      <c r="I59" t="s">
        <v>16</v>
      </c>
    </row>
    <row r="60" spans="3:9">
      <c r="C60" t="s">
        <v>67</v>
      </c>
      <c r="D60" t="s">
        <v>15</v>
      </c>
      <c r="E60" t="s">
        <v>12</v>
      </c>
      <c r="F60">
        <v>30</v>
      </c>
      <c r="G60" s="4">
        <v>44850</v>
      </c>
      <c r="H60" s="5">
        <v>69710</v>
      </c>
      <c r="I60" t="s">
        <v>16</v>
      </c>
    </row>
    <row r="61" spans="3:9">
      <c r="C61" t="s">
        <v>94</v>
      </c>
      <c r="D61" t="s">
        <v>15</v>
      </c>
      <c r="E61" t="s">
        <v>21</v>
      </c>
      <c r="F61">
        <v>36</v>
      </c>
      <c r="G61" s="4">
        <v>44333</v>
      </c>
      <c r="H61" s="5">
        <v>71380</v>
      </c>
      <c r="I61" t="s">
        <v>16</v>
      </c>
    </row>
    <row r="62" spans="3:9">
      <c r="C62" t="s">
        <v>33</v>
      </c>
      <c r="D62" t="s">
        <v>8</v>
      </c>
      <c r="E62" t="s">
        <v>19</v>
      </c>
      <c r="F62">
        <v>38</v>
      </c>
      <c r="G62" s="4">
        <v>44377</v>
      </c>
      <c r="H62" s="5">
        <v>109160</v>
      </c>
      <c r="I62" t="s">
        <v>10</v>
      </c>
    </row>
    <row r="63" spans="3:9">
      <c r="C63" t="s">
        <v>98</v>
      </c>
      <c r="D63" t="s">
        <v>15</v>
      </c>
      <c r="E63" t="s">
        <v>9</v>
      </c>
      <c r="F63">
        <v>27</v>
      </c>
      <c r="G63" s="4">
        <v>44609</v>
      </c>
      <c r="H63" s="5">
        <v>113280</v>
      </c>
      <c r="I63" t="s">
        <v>42</v>
      </c>
    </row>
    <row r="64" spans="3:9">
      <c r="C64" t="s">
        <v>25</v>
      </c>
      <c r="D64" t="s">
        <v>15</v>
      </c>
      <c r="E64" t="s">
        <v>12</v>
      </c>
      <c r="F64">
        <v>30</v>
      </c>
      <c r="G64" s="4">
        <v>44273</v>
      </c>
      <c r="H64" s="5">
        <v>69120</v>
      </c>
      <c r="I64" t="s">
        <v>16</v>
      </c>
    </row>
    <row r="65" spans="3:9">
      <c r="C65" t="s">
        <v>55</v>
      </c>
      <c r="D65" t="s">
        <v>8</v>
      </c>
      <c r="E65" t="s">
        <v>56</v>
      </c>
      <c r="F65">
        <v>37</v>
      </c>
      <c r="G65" s="4">
        <v>44451</v>
      </c>
      <c r="H65" s="5">
        <v>118100</v>
      </c>
      <c r="I65" t="s">
        <v>16</v>
      </c>
    </row>
    <row r="66" spans="3:9">
      <c r="C66" t="s">
        <v>62</v>
      </c>
      <c r="D66" t="s">
        <v>8</v>
      </c>
      <c r="E66" t="s">
        <v>9</v>
      </c>
      <c r="F66">
        <v>22</v>
      </c>
      <c r="G66" s="4">
        <v>44450</v>
      </c>
      <c r="H66" s="5">
        <v>76900</v>
      </c>
      <c r="I66" t="s">
        <v>13</v>
      </c>
    </row>
    <row r="67" spans="3:9">
      <c r="C67" t="s">
        <v>17</v>
      </c>
      <c r="D67" t="s">
        <v>8</v>
      </c>
      <c r="E67" t="s">
        <v>12</v>
      </c>
      <c r="F67">
        <v>43</v>
      </c>
      <c r="G67" s="4">
        <v>45045</v>
      </c>
      <c r="H67" s="5">
        <v>114870</v>
      </c>
      <c r="I67" t="s">
        <v>16</v>
      </c>
    </row>
    <row r="68" spans="3:9">
      <c r="C68" t="s">
        <v>52</v>
      </c>
      <c r="E68" t="s">
        <v>12</v>
      </c>
      <c r="F68">
        <v>32</v>
      </c>
      <c r="G68" s="4">
        <v>44774</v>
      </c>
      <c r="H68" s="5">
        <v>91310</v>
      </c>
      <c r="I68" t="s">
        <v>16</v>
      </c>
    </row>
    <row r="69" spans="3:9">
      <c r="C69" t="s">
        <v>43</v>
      </c>
      <c r="D69" t="s">
        <v>8</v>
      </c>
      <c r="E69" t="s">
        <v>9</v>
      </c>
      <c r="F69">
        <v>28</v>
      </c>
      <c r="G69" s="4">
        <v>44486</v>
      </c>
      <c r="H69" s="5">
        <v>104770</v>
      </c>
      <c r="I69" t="s">
        <v>16</v>
      </c>
    </row>
    <row r="70" spans="3:9">
      <c r="C70" t="s">
        <v>89</v>
      </c>
      <c r="D70" t="s">
        <v>15</v>
      </c>
      <c r="E70" t="s">
        <v>19</v>
      </c>
      <c r="F70">
        <v>27</v>
      </c>
      <c r="G70" s="4">
        <v>44134</v>
      </c>
      <c r="H70" s="5">
        <v>54970</v>
      </c>
      <c r="I70" t="s">
        <v>16</v>
      </c>
    </row>
    <row r="71" spans="3:9">
      <c r="C71" t="s">
        <v>11</v>
      </c>
      <c r="E71" t="s">
        <v>12</v>
      </c>
      <c r="F71">
        <v>26</v>
      </c>
      <c r="G71" s="4">
        <v>44271</v>
      </c>
      <c r="H71" s="5">
        <v>90700</v>
      </c>
      <c r="I71" t="s">
        <v>13</v>
      </c>
    </row>
    <row r="72" spans="3:9">
      <c r="C72" t="s">
        <v>109</v>
      </c>
      <c r="D72" t="s">
        <v>8</v>
      </c>
      <c r="E72" t="s">
        <v>19</v>
      </c>
      <c r="F72">
        <v>38</v>
      </c>
      <c r="G72" s="4">
        <v>44329</v>
      </c>
      <c r="H72" s="5">
        <v>56870</v>
      </c>
      <c r="I72" t="s">
        <v>13</v>
      </c>
    </row>
    <row r="73" spans="3:9">
      <c r="C73" t="s">
        <v>77</v>
      </c>
      <c r="D73" t="s">
        <v>8</v>
      </c>
      <c r="E73" t="s">
        <v>19</v>
      </c>
      <c r="F73">
        <v>25</v>
      </c>
      <c r="G73" s="4">
        <v>44205</v>
      </c>
      <c r="H73" s="5">
        <v>92700</v>
      </c>
      <c r="I73" t="s">
        <v>16</v>
      </c>
    </row>
    <row r="74" spans="3:9">
      <c r="C74" t="s">
        <v>32</v>
      </c>
      <c r="D74" t="s">
        <v>8</v>
      </c>
      <c r="E74" t="s">
        <v>21</v>
      </c>
      <c r="F74">
        <v>21</v>
      </c>
      <c r="G74" s="4">
        <v>44317</v>
      </c>
      <c r="H74" s="5">
        <v>65920</v>
      </c>
      <c r="I74" t="s">
        <v>16</v>
      </c>
    </row>
    <row r="75" spans="3:9">
      <c r="C75" t="s">
        <v>59</v>
      </c>
      <c r="D75" t="s">
        <v>15</v>
      </c>
      <c r="E75" t="s">
        <v>9</v>
      </c>
      <c r="F75">
        <v>26</v>
      </c>
      <c r="G75" s="4">
        <v>44225</v>
      </c>
      <c r="H75" s="5">
        <v>47360</v>
      </c>
      <c r="I75" t="s">
        <v>16</v>
      </c>
    </row>
    <row r="76" spans="3:9">
      <c r="C76" t="s">
        <v>37</v>
      </c>
      <c r="D76" t="s">
        <v>15</v>
      </c>
      <c r="E76" t="s">
        <v>9</v>
      </c>
      <c r="F76">
        <v>30</v>
      </c>
      <c r="G76" s="4">
        <v>44666</v>
      </c>
      <c r="H76" s="5">
        <v>60570</v>
      </c>
      <c r="I76" t="s">
        <v>16</v>
      </c>
    </row>
    <row r="77" spans="3:9">
      <c r="C77" t="s">
        <v>96</v>
      </c>
      <c r="D77" t="s">
        <v>8</v>
      </c>
      <c r="E77" t="s">
        <v>9</v>
      </c>
      <c r="F77">
        <v>28</v>
      </c>
      <c r="G77" s="4">
        <v>44649</v>
      </c>
      <c r="H77" s="5">
        <v>104120</v>
      </c>
      <c r="I77" t="s">
        <v>16</v>
      </c>
    </row>
    <row r="78" spans="3:9">
      <c r="C78" t="s">
        <v>23</v>
      </c>
      <c r="D78" t="s">
        <v>15</v>
      </c>
      <c r="E78" t="s">
        <v>12</v>
      </c>
      <c r="F78">
        <v>37</v>
      </c>
      <c r="G78" s="4">
        <v>44338</v>
      </c>
      <c r="H78" s="5">
        <v>88050</v>
      </c>
      <c r="I78" t="s">
        <v>24</v>
      </c>
    </row>
    <row r="79" spans="3:9">
      <c r="C79" t="s">
        <v>103</v>
      </c>
      <c r="D79" t="s">
        <v>15</v>
      </c>
      <c r="E79" t="s">
        <v>12</v>
      </c>
      <c r="F79">
        <v>24</v>
      </c>
      <c r="G79" s="4">
        <v>44686</v>
      </c>
      <c r="H79" s="5">
        <v>100420</v>
      </c>
      <c r="I79" t="s">
        <v>16</v>
      </c>
    </row>
    <row r="80" spans="3:9">
      <c r="C80" t="s">
        <v>54</v>
      </c>
      <c r="D80" t="s">
        <v>8</v>
      </c>
      <c r="E80" t="s">
        <v>9</v>
      </c>
      <c r="F80">
        <v>30</v>
      </c>
      <c r="G80" s="4">
        <v>44850</v>
      </c>
      <c r="H80" s="5">
        <v>114180</v>
      </c>
      <c r="I80" t="s">
        <v>16</v>
      </c>
    </row>
    <row r="81" spans="3:9">
      <c r="C81" t="s">
        <v>86</v>
      </c>
      <c r="D81" t="s">
        <v>8</v>
      </c>
      <c r="E81" t="s">
        <v>12</v>
      </c>
      <c r="F81">
        <v>21</v>
      </c>
      <c r="G81" s="4">
        <v>44678</v>
      </c>
      <c r="H81" s="5">
        <v>33920</v>
      </c>
      <c r="I81" t="s">
        <v>16</v>
      </c>
    </row>
    <row r="82" spans="3:9">
      <c r="C82" t="s">
        <v>69</v>
      </c>
      <c r="D82" t="s">
        <v>15</v>
      </c>
      <c r="E82" t="s">
        <v>9</v>
      </c>
      <c r="F82">
        <v>23</v>
      </c>
      <c r="G82" s="4">
        <v>44440</v>
      </c>
      <c r="H82" s="5">
        <v>106460</v>
      </c>
      <c r="I82" t="s">
        <v>16</v>
      </c>
    </row>
    <row r="83" spans="3:9">
      <c r="C83" t="s">
        <v>57</v>
      </c>
      <c r="D83" t="s">
        <v>15</v>
      </c>
      <c r="E83" t="s">
        <v>9</v>
      </c>
      <c r="F83">
        <v>35</v>
      </c>
      <c r="G83" s="4">
        <v>44727</v>
      </c>
      <c r="H83" s="5">
        <v>40400</v>
      </c>
      <c r="I83" t="s">
        <v>16</v>
      </c>
    </row>
    <row r="84" spans="3:9">
      <c r="C84" t="s">
        <v>68</v>
      </c>
      <c r="D84" t="s">
        <v>15</v>
      </c>
      <c r="E84" t="s">
        <v>21</v>
      </c>
      <c r="F84">
        <v>27</v>
      </c>
      <c r="G84" s="4">
        <v>44236</v>
      </c>
      <c r="H84" s="5">
        <v>91650</v>
      </c>
      <c r="I84" t="s">
        <v>13</v>
      </c>
    </row>
    <row r="85" spans="3:9">
      <c r="C85" t="s">
        <v>99</v>
      </c>
      <c r="D85" t="s">
        <v>15</v>
      </c>
      <c r="E85" t="s">
        <v>19</v>
      </c>
      <c r="F85">
        <v>43</v>
      </c>
      <c r="G85" s="4">
        <v>44620</v>
      </c>
      <c r="H85" s="5">
        <v>36040</v>
      </c>
      <c r="I85" t="s">
        <v>16</v>
      </c>
    </row>
    <row r="86" spans="3:9">
      <c r="C86" t="s">
        <v>101</v>
      </c>
      <c r="D86" t="s">
        <v>8</v>
      </c>
      <c r="E86" t="s">
        <v>12</v>
      </c>
      <c r="F86">
        <v>40</v>
      </c>
      <c r="G86" s="4">
        <v>44381</v>
      </c>
      <c r="H86" s="5">
        <v>104410</v>
      </c>
      <c r="I86" t="s">
        <v>16</v>
      </c>
    </row>
    <row r="87" spans="3:9">
      <c r="C87" t="s">
        <v>85</v>
      </c>
      <c r="D87" t="s">
        <v>15</v>
      </c>
      <c r="E87" t="s">
        <v>21</v>
      </c>
      <c r="F87">
        <v>30</v>
      </c>
      <c r="G87" s="4">
        <v>44606</v>
      </c>
      <c r="H87" s="5">
        <v>96800</v>
      </c>
      <c r="I87" t="s">
        <v>16</v>
      </c>
    </row>
    <row r="88" spans="3:9">
      <c r="C88" t="s">
        <v>28</v>
      </c>
      <c r="D88" t="s">
        <v>8</v>
      </c>
      <c r="E88" t="s">
        <v>21</v>
      </c>
      <c r="F88">
        <v>34</v>
      </c>
      <c r="G88" s="4">
        <v>44459</v>
      </c>
      <c r="H88" s="5">
        <v>85000</v>
      </c>
      <c r="I88" t="s">
        <v>16</v>
      </c>
    </row>
    <row r="89" spans="3:9">
      <c r="C89" t="s">
        <v>80</v>
      </c>
      <c r="D89" t="s">
        <v>15</v>
      </c>
      <c r="E89" t="s">
        <v>19</v>
      </c>
      <c r="F89">
        <v>28</v>
      </c>
      <c r="G89" s="4">
        <v>44820</v>
      </c>
      <c r="H89" s="5">
        <v>43510</v>
      </c>
      <c r="I89" t="s">
        <v>42</v>
      </c>
    </row>
    <row r="90" spans="3:9">
      <c r="C90" t="s">
        <v>79</v>
      </c>
      <c r="D90" t="s">
        <v>15</v>
      </c>
      <c r="E90" t="s">
        <v>21</v>
      </c>
      <c r="F90">
        <v>33</v>
      </c>
      <c r="G90" s="4">
        <v>44243</v>
      </c>
      <c r="H90" s="5">
        <v>59430</v>
      </c>
      <c r="I90" t="s">
        <v>16</v>
      </c>
    </row>
    <row r="91" spans="3:9">
      <c r="C91" t="s">
        <v>93</v>
      </c>
      <c r="D91" t="s">
        <v>8</v>
      </c>
      <c r="E91" t="s">
        <v>21</v>
      </c>
      <c r="F91">
        <v>33</v>
      </c>
      <c r="G91" s="4">
        <v>44067</v>
      </c>
      <c r="H91" s="5">
        <v>65360</v>
      </c>
      <c r="I91" t="s">
        <v>16</v>
      </c>
    </row>
    <row r="92" spans="3:9">
      <c r="C92" t="s">
        <v>66</v>
      </c>
      <c r="D92" t="s">
        <v>8</v>
      </c>
      <c r="E92" t="s">
        <v>9</v>
      </c>
      <c r="F92">
        <v>32</v>
      </c>
      <c r="G92" s="4">
        <v>44611</v>
      </c>
      <c r="H92" s="5">
        <v>41570</v>
      </c>
      <c r="I92" t="s">
        <v>16</v>
      </c>
    </row>
    <row r="93" spans="3:9">
      <c r="C93" t="s">
        <v>95</v>
      </c>
      <c r="D93" t="s">
        <v>8</v>
      </c>
      <c r="E93" t="s">
        <v>12</v>
      </c>
      <c r="F93">
        <v>33</v>
      </c>
      <c r="G93" s="4">
        <v>44312</v>
      </c>
      <c r="H93" s="5">
        <v>75280</v>
      </c>
      <c r="I93" t="s">
        <v>16</v>
      </c>
    </row>
    <row r="94" spans="3:9">
      <c r="C94" t="s">
        <v>18</v>
      </c>
      <c r="D94" t="s">
        <v>15</v>
      </c>
      <c r="E94" t="s">
        <v>19</v>
      </c>
      <c r="F94">
        <v>33</v>
      </c>
      <c r="G94" s="4">
        <v>44385</v>
      </c>
      <c r="H94" s="5">
        <v>74550</v>
      </c>
      <c r="I94" t="s">
        <v>16</v>
      </c>
    </row>
    <row r="95" spans="3:9">
      <c r="C95" t="s">
        <v>45</v>
      </c>
      <c r="D95" t="s">
        <v>15</v>
      </c>
      <c r="E95" t="s">
        <v>9</v>
      </c>
      <c r="F95">
        <v>30</v>
      </c>
      <c r="G95" s="4">
        <v>44701</v>
      </c>
      <c r="H95" s="5">
        <v>67950</v>
      </c>
      <c r="I95" t="s">
        <v>16</v>
      </c>
    </row>
    <row r="96" spans="3:9">
      <c r="C96" t="s">
        <v>90</v>
      </c>
      <c r="D96" t="s">
        <v>15</v>
      </c>
      <c r="E96" t="s">
        <v>21</v>
      </c>
      <c r="F96">
        <v>42</v>
      </c>
      <c r="G96" s="4">
        <v>44731</v>
      </c>
      <c r="H96" s="5">
        <v>70270</v>
      </c>
      <c r="I96" t="s">
        <v>24</v>
      </c>
    </row>
    <row r="97" spans="3:9">
      <c r="C97" t="s">
        <v>46</v>
      </c>
      <c r="D97" t="s">
        <v>15</v>
      </c>
      <c r="E97" t="s">
        <v>9</v>
      </c>
      <c r="F97">
        <v>26</v>
      </c>
      <c r="G97" s="4">
        <v>44411</v>
      </c>
      <c r="H97" s="5">
        <v>53540</v>
      </c>
      <c r="I97" t="s">
        <v>16</v>
      </c>
    </row>
    <row r="98" spans="3:9">
      <c r="C98" t="s">
        <v>58</v>
      </c>
      <c r="D98" t="s">
        <v>15</v>
      </c>
      <c r="E98" t="s">
        <v>19</v>
      </c>
      <c r="F98">
        <v>22</v>
      </c>
      <c r="G98" s="4">
        <v>44446</v>
      </c>
      <c r="H98" s="5">
        <v>112780</v>
      </c>
      <c r="I98" t="s">
        <v>13</v>
      </c>
    </row>
    <row r="99" spans="3:9">
      <c r="C99" t="s">
        <v>70</v>
      </c>
      <c r="D99" t="s">
        <v>15</v>
      </c>
      <c r="E99" t="s">
        <v>9</v>
      </c>
      <c r="F99">
        <v>46</v>
      </c>
      <c r="G99" s="4">
        <v>44758</v>
      </c>
      <c r="H99" s="5">
        <v>70610</v>
      </c>
      <c r="I99" t="s">
        <v>16</v>
      </c>
    </row>
    <row r="100" spans="3:9">
      <c r="C100" t="s">
        <v>75</v>
      </c>
      <c r="D100" t="s">
        <v>8</v>
      </c>
      <c r="E100" t="s">
        <v>19</v>
      </c>
      <c r="F100">
        <v>28</v>
      </c>
      <c r="G100" s="4">
        <v>44357</v>
      </c>
      <c r="H100" s="5">
        <v>53240</v>
      </c>
      <c r="I100" t="s">
        <v>16</v>
      </c>
    </row>
    <row r="101" spans="3:9">
      <c r="C101" t="s">
        <v>49</v>
      </c>
      <c r="E101" t="s">
        <v>21</v>
      </c>
      <c r="F101">
        <v>37</v>
      </c>
      <c r="G101" s="4">
        <v>44146</v>
      </c>
      <c r="H101" s="5">
        <v>115440</v>
      </c>
      <c r="I101" t="s">
        <v>24</v>
      </c>
    </row>
    <row r="102" spans="3:9">
      <c r="C102" t="s">
        <v>65</v>
      </c>
      <c r="D102" t="s">
        <v>15</v>
      </c>
      <c r="E102" t="s">
        <v>19</v>
      </c>
      <c r="F102">
        <v>32</v>
      </c>
      <c r="G102" s="4">
        <v>44465</v>
      </c>
      <c r="H102" s="5">
        <v>53540</v>
      </c>
      <c r="I102" t="s">
        <v>16</v>
      </c>
    </row>
    <row r="103" spans="3:9">
      <c r="C103" t="s">
        <v>81</v>
      </c>
      <c r="D103" t="s">
        <v>8</v>
      </c>
      <c r="E103" t="s">
        <v>9</v>
      </c>
      <c r="F103">
        <v>30</v>
      </c>
      <c r="G103" s="4">
        <v>44861</v>
      </c>
      <c r="H103" s="5">
        <v>112570</v>
      </c>
      <c r="I103" t="s">
        <v>16</v>
      </c>
    </row>
    <row r="104" spans="3:9">
      <c r="C104" t="s">
        <v>51</v>
      </c>
      <c r="D104" t="s">
        <v>15</v>
      </c>
      <c r="E104" t="s">
        <v>9</v>
      </c>
      <c r="F104">
        <v>33</v>
      </c>
      <c r="G104" s="4">
        <v>44701</v>
      </c>
      <c r="H104" s="5">
        <v>48530</v>
      </c>
      <c r="I104" t="s">
        <v>13</v>
      </c>
    </row>
    <row r="105" spans="3:9">
      <c r="C105" t="s">
        <v>61</v>
      </c>
      <c r="D105" t="s">
        <v>8</v>
      </c>
      <c r="E105" t="s">
        <v>12</v>
      </c>
      <c r="F105">
        <v>24</v>
      </c>
      <c r="G105" s="4">
        <v>44148</v>
      </c>
      <c r="H105" s="5">
        <v>62780</v>
      </c>
      <c r="I105" t="s">
        <v>16</v>
      </c>
    </row>
    <row r="106" spans="3:9">
      <c r="C106" t="s">
        <v>203</v>
      </c>
      <c r="F106">
        <f>SUBTOTAL(101,nz_staff[Age])</f>
        <v>30.52</v>
      </c>
      <c r="H106" s="5">
        <f>SUBTOTAL(101,nz_staff[Salary])</f>
        <v>77472.100000000006</v>
      </c>
      <c r="I106">
        <f>SUBTOTAL(103,nz_staff[Rating])</f>
        <v>100</v>
      </c>
    </row>
  </sheetData>
  <conditionalFormatting sqref="C6:C105">
    <cfRule type="duplicateValues" dxfId="0" priority="1"/>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53"/>
  <sheetViews>
    <sheetView workbookViewId="0">
      <selection activeCell="G10" sqref="G10"/>
    </sheetView>
  </sheetViews>
  <sheetFormatPr defaultRowHeight="15"/>
  <cols>
    <col min="3" max="3" width="51" bestFit="1" customWidth="1"/>
    <col min="9" max="9" width="18.140625" customWidth="1"/>
    <col min="10" max="10" width="19" customWidth="1"/>
  </cols>
  <sheetData>
    <row r="1" spans="3:10">
      <c r="C1" t="s">
        <v>310</v>
      </c>
    </row>
    <row r="2" spans="3:10" ht="15.75" thickBot="1"/>
    <row r="3" spans="3:10" ht="15.75" thickBot="1">
      <c r="C3" s="40" t="s">
        <v>260</v>
      </c>
      <c r="D3" s="40"/>
      <c r="E3" s="40"/>
      <c r="F3" s="40"/>
      <c r="G3" s="40"/>
      <c r="H3" s="40"/>
      <c r="I3" s="40" t="s">
        <v>261</v>
      </c>
      <c r="J3" s="40" t="s">
        <v>262</v>
      </c>
    </row>
    <row r="4" spans="3:10" ht="15.75" thickBot="1">
      <c r="C4" s="40" t="s">
        <v>263</v>
      </c>
      <c r="D4" s="40"/>
      <c r="E4" s="40"/>
      <c r="F4" s="40"/>
      <c r="G4" s="40"/>
      <c r="H4" s="40"/>
      <c r="I4" s="40" t="s">
        <v>264</v>
      </c>
      <c r="J4" s="40" t="s">
        <v>265</v>
      </c>
    </row>
    <row r="5" spans="3:10" ht="15.75" thickBot="1">
      <c r="C5" s="40" t="s">
        <v>266</v>
      </c>
      <c r="D5" s="40"/>
      <c r="E5" s="40"/>
      <c r="F5" s="40"/>
      <c r="G5" s="40"/>
      <c r="H5" s="40"/>
      <c r="I5" s="40" t="s">
        <v>267</v>
      </c>
      <c r="J5" s="40" t="s">
        <v>268</v>
      </c>
    </row>
    <row r="6" spans="3:10" ht="15.75" thickBot="1">
      <c r="C6" s="40" t="s">
        <v>269</v>
      </c>
      <c r="D6" s="40"/>
      <c r="E6" s="40"/>
      <c r="F6" s="40"/>
      <c r="G6" s="40"/>
      <c r="H6" s="40"/>
      <c r="I6" s="40" t="s">
        <v>270</v>
      </c>
      <c r="J6" s="40" t="s">
        <v>271</v>
      </c>
    </row>
    <row r="7" spans="3:10" ht="15.75" thickBot="1">
      <c r="C7" s="41" t="s">
        <v>272</v>
      </c>
      <c r="D7" s="40"/>
      <c r="E7" s="40"/>
      <c r="F7" s="40"/>
      <c r="G7" s="40"/>
      <c r="H7" s="40"/>
      <c r="I7" s="40" t="s">
        <v>273</v>
      </c>
      <c r="J7" s="40" t="s">
        <v>274</v>
      </c>
    </row>
    <row r="8" spans="3:10" ht="15.75" thickBot="1">
      <c r="C8" s="41" t="s">
        <v>275</v>
      </c>
      <c r="D8" s="40"/>
      <c r="E8" s="40"/>
      <c r="F8" s="40"/>
      <c r="G8" s="40"/>
      <c r="H8" s="40"/>
      <c r="I8" s="40"/>
      <c r="J8" s="40"/>
    </row>
    <row r="9" spans="3:10" ht="15.75" thickBot="1">
      <c r="C9" s="41" t="s">
        <v>276</v>
      </c>
      <c r="D9" s="40"/>
      <c r="E9" s="40"/>
      <c r="F9" s="40"/>
      <c r="G9" s="40"/>
      <c r="H9" s="40"/>
      <c r="I9" s="40"/>
      <c r="J9" s="40"/>
    </row>
    <row r="10" spans="3:10" ht="15.75" thickBot="1">
      <c r="C10" s="40"/>
      <c r="D10" s="40"/>
      <c r="E10" s="40"/>
      <c r="F10" s="40"/>
      <c r="G10" s="40"/>
      <c r="H10" s="40"/>
      <c r="I10" s="40"/>
      <c r="J10" s="40"/>
    </row>
    <row r="11" spans="3:10" ht="15.75" thickBot="1">
      <c r="C11" s="41" t="s">
        <v>277</v>
      </c>
      <c r="D11" s="40"/>
      <c r="E11" s="40"/>
      <c r="F11" s="40"/>
      <c r="G11" s="40"/>
      <c r="H11" s="40"/>
      <c r="I11" s="40"/>
      <c r="J11" s="40"/>
    </row>
    <row r="12" spans="3:10" ht="15.75" thickBot="1">
      <c r="C12" s="41" t="s">
        <v>278</v>
      </c>
      <c r="D12" s="40"/>
      <c r="E12" s="40"/>
      <c r="F12" s="40"/>
      <c r="G12" s="40"/>
      <c r="H12" s="40"/>
      <c r="I12" s="40"/>
      <c r="J12" s="40"/>
    </row>
    <row r="13" spans="3:10" ht="15.75" thickBot="1">
      <c r="C13" s="41" t="s">
        <v>279</v>
      </c>
      <c r="D13" s="40"/>
      <c r="E13" s="40"/>
      <c r="F13" s="40"/>
      <c r="G13" s="40"/>
      <c r="H13" s="40"/>
      <c r="I13" s="40"/>
      <c r="J13" s="40"/>
    </row>
    <row r="14" spans="3:10" ht="15.75" thickBot="1">
      <c r="C14" s="41" t="s">
        <v>280</v>
      </c>
      <c r="D14" s="40"/>
      <c r="E14" s="40"/>
      <c r="F14" s="40"/>
      <c r="G14" s="40"/>
      <c r="H14" s="40"/>
      <c r="I14" s="40"/>
      <c r="J14" s="40"/>
    </row>
    <row r="15" spans="3:10" ht="15.75" thickBot="1">
      <c r="C15" s="41" t="s">
        <v>281</v>
      </c>
      <c r="D15" s="40"/>
      <c r="E15" s="40"/>
      <c r="F15" s="40"/>
      <c r="G15" s="40"/>
      <c r="H15" s="40"/>
      <c r="I15" s="40"/>
      <c r="J15" s="40"/>
    </row>
    <row r="16" spans="3:10" ht="15.75" thickBot="1">
      <c r="C16" s="40"/>
      <c r="D16" s="40"/>
      <c r="E16" s="40"/>
      <c r="F16" s="40"/>
      <c r="G16" s="40"/>
      <c r="H16" s="40"/>
      <c r="I16" s="40"/>
      <c r="J16" s="40"/>
    </row>
    <row r="17" spans="3:10" ht="15.75" thickBot="1">
      <c r="C17" s="40" t="s">
        <v>282</v>
      </c>
      <c r="D17" s="40"/>
      <c r="E17" s="40"/>
      <c r="F17" s="40"/>
      <c r="G17" s="40"/>
      <c r="H17" s="40"/>
      <c r="I17" s="40"/>
      <c r="J17" s="40"/>
    </row>
    <row r="18" spans="3:10" ht="15.75" thickBot="1">
      <c r="C18" s="41" t="s">
        <v>283</v>
      </c>
      <c r="D18" s="40"/>
      <c r="E18" s="40"/>
      <c r="F18" s="40"/>
      <c r="G18" s="40"/>
      <c r="H18" s="40"/>
      <c r="I18" s="40"/>
      <c r="J18" s="40"/>
    </row>
    <row r="19" spans="3:10" ht="15.75" thickBot="1">
      <c r="C19" s="41" t="s">
        <v>284</v>
      </c>
      <c r="D19" s="40"/>
      <c r="E19" s="40"/>
      <c r="F19" s="40"/>
      <c r="G19" s="40"/>
      <c r="H19" s="40"/>
      <c r="I19" s="40"/>
      <c r="J19" s="40"/>
    </row>
    <row r="20" spans="3:10" ht="15.75" thickBot="1">
      <c r="C20" s="41" t="s">
        <v>285</v>
      </c>
      <c r="D20" s="40"/>
      <c r="E20" s="40"/>
      <c r="F20" s="40"/>
      <c r="G20" s="40"/>
      <c r="H20" s="40"/>
      <c r="I20" s="40"/>
      <c r="J20" s="40"/>
    </row>
    <row r="21" spans="3:10" ht="15.75" thickBot="1">
      <c r="C21" s="41" t="s">
        <v>286</v>
      </c>
      <c r="D21" s="40"/>
      <c r="E21" s="40"/>
      <c r="F21" s="40"/>
      <c r="G21" s="40"/>
      <c r="H21" s="40"/>
      <c r="I21" s="40"/>
      <c r="J21" s="40"/>
    </row>
    <row r="22" spans="3:10" ht="15.75" thickBot="1">
      <c r="C22" s="40"/>
      <c r="D22" s="40"/>
      <c r="E22" s="40"/>
      <c r="F22" s="40"/>
      <c r="G22" s="40"/>
      <c r="H22" s="40"/>
      <c r="I22" s="40"/>
      <c r="J22" s="40"/>
    </row>
    <row r="23" spans="3:10" ht="15.75" thickBot="1">
      <c r="C23" s="41" t="s">
        <v>287</v>
      </c>
      <c r="D23" s="40"/>
      <c r="E23" s="40"/>
      <c r="F23" s="40"/>
      <c r="G23" s="40"/>
      <c r="H23" s="40"/>
      <c r="I23" s="40"/>
      <c r="J23" s="40"/>
    </row>
    <row r="24" spans="3:10" ht="15.75" thickBot="1">
      <c r="C24" s="41" t="s">
        <v>288</v>
      </c>
      <c r="D24" s="40"/>
      <c r="E24" s="40"/>
      <c r="F24" s="40"/>
      <c r="G24" s="40"/>
      <c r="H24" s="40"/>
      <c r="I24" s="40"/>
      <c r="J24" s="40"/>
    </row>
    <row r="25" spans="3:10" ht="15.75" thickBot="1">
      <c r="C25" s="40" t="s">
        <v>257</v>
      </c>
      <c r="D25" s="40"/>
      <c r="E25" s="40"/>
      <c r="F25" s="40"/>
      <c r="G25" s="40"/>
      <c r="H25" s="40"/>
      <c r="I25" s="40"/>
      <c r="J25" s="40"/>
    </row>
    <row r="26" spans="3:10" ht="15.75" thickBot="1">
      <c r="C26" s="40"/>
      <c r="D26" s="40"/>
      <c r="E26" s="40"/>
      <c r="F26" s="40"/>
      <c r="G26" s="40"/>
      <c r="H26" s="40"/>
      <c r="I26" s="40"/>
      <c r="J26" s="40"/>
    </row>
    <row r="27" spans="3:10" ht="15.75" thickBot="1">
      <c r="C27" s="41" t="s">
        <v>289</v>
      </c>
      <c r="D27" s="40"/>
      <c r="E27" s="40"/>
      <c r="F27" s="40"/>
      <c r="G27" s="40"/>
      <c r="H27" s="40"/>
      <c r="I27" s="40"/>
      <c r="J27" s="40"/>
    </row>
    <row r="28" spans="3:10" ht="15.75" thickBot="1">
      <c r="C28" s="41" t="s">
        <v>290</v>
      </c>
      <c r="D28" s="40"/>
      <c r="E28" s="40"/>
      <c r="F28" s="40"/>
      <c r="G28" s="40"/>
      <c r="H28" s="40"/>
      <c r="I28" s="40"/>
      <c r="J28" s="40"/>
    </row>
    <row r="29" spans="3:10" ht="15.75" thickBot="1">
      <c r="C29" s="40"/>
      <c r="D29" s="40"/>
      <c r="E29" s="40"/>
      <c r="F29" s="40"/>
      <c r="G29" s="40"/>
      <c r="H29" s="40"/>
      <c r="I29" s="40"/>
      <c r="J29" s="40"/>
    </row>
    <row r="30" spans="3:10" ht="15.75" thickBot="1">
      <c r="C30" s="41" t="s">
        <v>291</v>
      </c>
      <c r="D30" s="40"/>
      <c r="E30" s="40"/>
      <c r="F30" s="40"/>
      <c r="G30" s="40"/>
      <c r="H30" s="40"/>
      <c r="I30" s="40"/>
      <c r="J30" s="40"/>
    </row>
    <row r="31" spans="3:10" ht="15.75" thickBot="1">
      <c r="C31" s="41" t="s">
        <v>292</v>
      </c>
      <c r="D31" s="40"/>
      <c r="E31" s="40"/>
      <c r="F31" s="40"/>
      <c r="G31" s="40"/>
      <c r="H31" s="40"/>
      <c r="I31" s="40"/>
      <c r="J31" s="40"/>
    </row>
    <row r="32" spans="3:10" ht="15.75" thickBot="1">
      <c r="C32" s="41" t="s">
        <v>293</v>
      </c>
      <c r="D32" s="40"/>
      <c r="E32" s="40"/>
      <c r="F32" s="40"/>
      <c r="G32" s="40"/>
      <c r="H32" s="40"/>
      <c r="I32" s="40"/>
      <c r="J32" s="40"/>
    </row>
    <row r="33" spans="3:10" ht="15.75" thickBot="1">
      <c r="C33" s="40" t="s">
        <v>294</v>
      </c>
      <c r="D33" s="40"/>
      <c r="E33" s="40"/>
      <c r="F33" s="40"/>
      <c r="G33" s="40"/>
      <c r="H33" s="40"/>
      <c r="I33" s="40"/>
      <c r="J33" s="40"/>
    </row>
    <row r="34" spans="3:10" ht="15.75" thickBot="1">
      <c r="C34" s="40" t="s">
        <v>295</v>
      </c>
      <c r="D34" s="40"/>
      <c r="E34" s="40"/>
      <c r="F34" s="40"/>
      <c r="G34" s="40"/>
      <c r="H34" s="40"/>
      <c r="I34" s="40"/>
      <c r="J34" s="40"/>
    </row>
    <row r="35" spans="3:10" ht="15.75" thickBot="1">
      <c r="C35" s="40" t="s">
        <v>296</v>
      </c>
      <c r="D35" s="40"/>
      <c r="E35" s="40"/>
      <c r="F35" s="40"/>
      <c r="G35" s="40"/>
      <c r="H35" s="40"/>
      <c r="I35" s="40"/>
      <c r="J35" s="40"/>
    </row>
    <row r="36" spans="3:10" ht="15.75" thickBot="1">
      <c r="C36" s="40"/>
      <c r="D36" s="40"/>
      <c r="E36" s="40"/>
      <c r="F36" s="40"/>
      <c r="G36" s="40"/>
      <c r="H36" s="40"/>
      <c r="I36" s="40"/>
      <c r="J36" s="40"/>
    </row>
    <row r="37" spans="3:10" ht="15.75" thickBot="1">
      <c r="C37" s="41" t="s">
        <v>297</v>
      </c>
      <c r="D37" s="40"/>
      <c r="E37" s="40"/>
      <c r="F37" s="40"/>
      <c r="G37" s="40"/>
      <c r="H37" s="40"/>
      <c r="I37" s="40"/>
      <c r="J37" s="40"/>
    </row>
    <row r="38" spans="3:10" ht="15.75" thickBot="1">
      <c r="C38" s="41" t="s">
        <v>298</v>
      </c>
      <c r="D38" s="40"/>
      <c r="E38" s="40"/>
      <c r="F38" s="40"/>
      <c r="G38" s="40"/>
      <c r="H38" s="40"/>
      <c r="I38" s="40"/>
      <c r="J38" s="40"/>
    </row>
    <row r="39" spans="3:10" ht="15.75" thickBot="1">
      <c r="C39" s="41" t="s">
        <v>299</v>
      </c>
      <c r="D39" s="40"/>
      <c r="E39" s="40"/>
      <c r="F39" s="40"/>
      <c r="G39" s="40"/>
      <c r="H39" s="40"/>
      <c r="I39" s="40"/>
      <c r="J39" s="40"/>
    </row>
    <row r="40" spans="3:10" ht="15.75" thickBot="1">
      <c r="C40" s="41" t="s">
        <v>300</v>
      </c>
      <c r="D40" s="40"/>
      <c r="E40" s="40"/>
      <c r="F40" s="40"/>
      <c r="G40" s="40"/>
      <c r="H40" s="40"/>
      <c r="I40" s="40"/>
      <c r="J40" s="40"/>
    </row>
    <row r="41" spans="3:10" ht="15.75" thickBot="1">
      <c r="C41" s="41" t="s">
        <v>301</v>
      </c>
      <c r="D41" s="40"/>
      <c r="E41" s="40"/>
      <c r="F41" s="40"/>
      <c r="G41" s="40"/>
      <c r="H41" s="40"/>
      <c r="I41" s="40"/>
      <c r="J41" s="40"/>
    </row>
    <row r="42" spans="3:10" ht="15.75" thickBot="1">
      <c r="C42" s="40"/>
      <c r="D42" s="40"/>
      <c r="E42" s="40"/>
      <c r="F42" s="40"/>
      <c r="G42" s="40"/>
      <c r="H42" s="40"/>
      <c r="I42" s="40"/>
      <c r="J42" s="40"/>
    </row>
    <row r="43" spans="3:10" ht="15.75" thickBot="1">
      <c r="C43" s="41" t="s">
        <v>302</v>
      </c>
      <c r="D43" s="40"/>
      <c r="E43" s="40"/>
      <c r="F43" s="40"/>
      <c r="G43" s="40"/>
      <c r="H43" s="40"/>
      <c r="I43" s="40"/>
      <c r="J43" s="40"/>
    </row>
    <row r="44" spans="3:10" ht="15.75" thickBot="1">
      <c r="C44" s="41" t="s">
        <v>303</v>
      </c>
      <c r="D44" s="40"/>
      <c r="E44" s="40"/>
      <c r="F44" s="40"/>
      <c r="G44" s="40"/>
      <c r="H44" s="40"/>
      <c r="I44" s="40"/>
      <c r="J44" s="40"/>
    </row>
    <row r="45" spans="3:10" ht="15.75" thickBot="1">
      <c r="C45" s="40" t="s">
        <v>304</v>
      </c>
      <c r="D45" s="40"/>
      <c r="E45" s="40"/>
      <c r="F45" s="40"/>
      <c r="G45" s="40"/>
      <c r="H45" s="40"/>
      <c r="I45" s="40"/>
      <c r="J45" s="40"/>
    </row>
    <row r="46" spans="3:10" ht="15.75" thickBot="1">
      <c r="C46" s="40"/>
      <c r="D46" s="40"/>
      <c r="E46" s="40"/>
      <c r="F46" s="40"/>
      <c r="G46" s="40"/>
      <c r="H46" s="40"/>
      <c r="I46" s="40"/>
      <c r="J46" s="40"/>
    </row>
    <row r="47" spans="3:10" ht="15.75" thickBot="1">
      <c r="C47" s="41" t="s">
        <v>305</v>
      </c>
      <c r="D47" s="40"/>
      <c r="E47" s="40"/>
      <c r="F47" s="40"/>
      <c r="G47" s="40"/>
      <c r="H47" s="40"/>
      <c r="I47" s="40"/>
      <c r="J47" s="40"/>
    </row>
    <row r="48" spans="3:10" ht="15.75" thickBot="1">
      <c r="C48" s="40" t="s">
        <v>304</v>
      </c>
      <c r="D48" s="40"/>
      <c r="E48" s="40"/>
      <c r="F48" s="40"/>
      <c r="G48" s="40"/>
      <c r="H48" s="40"/>
      <c r="I48" s="40"/>
      <c r="J48" s="40"/>
    </row>
    <row r="49" spans="3:10" ht="15.75" thickBot="1">
      <c r="C49" s="40"/>
      <c r="D49" s="40"/>
      <c r="E49" s="40"/>
      <c r="F49" s="40"/>
      <c r="G49" s="40"/>
      <c r="H49" s="40"/>
      <c r="I49" s="40"/>
      <c r="J49" s="40"/>
    </row>
    <row r="50" spans="3:10" ht="15.75" thickBot="1">
      <c r="C50" s="40" t="s">
        <v>306</v>
      </c>
      <c r="D50" s="40"/>
      <c r="E50" s="40"/>
      <c r="F50" s="40"/>
      <c r="G50" s="40"/>
      <c r="H50" s="40"/>
      <c r="I50" s="40"/>
      <c r="J50" s="40"/>
    </row>
    <row r="51" spans="3:10" ht="15.75" thickBot="1">
      <c r="C51" s="40" t="s">
        <v>307</v>
      </c>
      <c r="D51" s="40"/>
      <c r="E51" s="40"/>
      <c r="F51" s="40"/>
      <c r="G51" s="40"/>
      <c r="H51" s="40"/>
      <c r="I51" s="40"/>
      <c r="J51" s="40"/>
    </row>
    <row r="52" spans="3:10" ht="15.75" thickBot="1">
      <c r="C52" s="40" t="s">
        <v>308</v>
      </c>
      <c r="D52" s="40"/>
      <c r="E52" s="40"/>
      <c r="F52" s="40"/>
      <c r="G52" s="40"/>
      <c r="H52" s="40"/>
      <c r="I52" s="40"/>
      <c r="J52" s="40"/>
    </row>
    <row r="53" spans="3:10" ht="15.75" thickBot="1">
      <c r="C53" s="41" t="s">
        <v>309</v>
      </c>
      <c r="D53" s="40"/>
      <c r="E53" s="40"/>
      <c r="F53" s="40"/>
      <c r="G53" s="40"/>
      <c r="H53" s="40"/>
      <c r="I53" s="40"/>
      <c r="J53"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8"/>
  <sheetViews>
    <sheetView workbookViewId="0">
      <selection activeCell="G21" sqref="G21"/>
    </sheetView>
  </sheetViews>
  <sheetFormatPr defaultRowHeight="15"/>
  <cols>
    <col min="3" max="4" width="11" customWidth="1"/>
  </cols>
  <sheetData>
    <row r="3" spans="3:4">
      <c r="C3" s="19" t="s">
        <v>229</v>
      </c>
      <c r="D3" s="20" t="s">
        <v>230</v>
      </c>
    </row>
    <row r="4" spans="3:4">
      <c r="C4" s="19" t="s">
        <v>10</v>
      </c>
      <c r="D4" s="20">
        <v>5</v>
      </c>
    </row>
    <row r="5" spans="3:4">
      <c r="C5" s="19" t="s">
        <v>13</v>
      </c>
      <c r="D5" s="20">
        <v>4</v>
      </c>
    </row>
    <row r="6" spans="3:4">
      <c r="C6" s="19" t="s">
        <v>16</v>
      </c>
      <c r="D6" s="20">
        <v>3</v>
      </c>
    </row>
    <row r="7" spans="3:4">
      <c r="C7" s="19" t="s">
        <v>24</v>
      </c>
      <c r="D7" s="20">
        <v>2</v>
      </c>
    </row>
    <row r="8" spans="3:4">
      <c r="C8" s="19" t="s">
        <v>42</v>
      </c>
      <c r="D8" s="20">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4"/>
  <sheetViews>
    <sheetView topLeftCell="A85" workbookViewId="0">
      <selection activeCell="B112" sqref="B112"/>
    </sheetView>
  </sheetViews>
  <sheetFormatPr defaultRowHeight="15"/>
  <cols>
    <col min="2" max="2" width="30" bestFit="1" customWidth="1"/>
    <col min="3" max="3" width="10" bestFit="1" customWidth="1"/>
    <col min="4" max="4" width="6.7109375" bestFit="1" customWidth="1"/>
    <col min="5" max="5" width="14.28515625" bestFit="1" customWidth="1"/>
    <col min="6" max="6" width="13.7109375" bestFit="1" customWidth="1"/>
    <col min="7" max="7" width="14" bestFit="1" customWidth="1"/>
    <col min="8" max="8" width="8.5703125" bestFit="1" customWidth="1"/>
  </cols>
  <sheetData>
    <row r="2" spans="2:8">
      <c r="B2" t="s">
        <v>0</v>
      </c>
      <c r="C2" t="s">
        <v>1</v>
      </c>
      <c r="D2" t="s">
        <v>3</v>
      </c>
      <c r="E2" t="s">
        <v>6</v>
      </c>
      <c r="F2" t="s">
        <v>4</v>
      </c>
      <c r="G2" t="s">
        <v>2</v>
      </c>
      <c r="H2" t="s">
        <v>5</v>
      </c>
    </row>
    <row r="3" spans="2:8">
      <c r="B3" t="s">
        <v>156</v>
      </c>
      <c r="C3" t="s">
        <v>15</v>
      </c>
      <c r="D3">
        <v>20</v>
      </c>
      <c r="E3" t="s">
        <v>16</v>
      </c>
      <c r="F3" s="4">
        <v>44122</v>
      </c>
      <c r="G3" t="s">
        <v>12</v>
      </c>
      <c r="H3">
        <v>112650</v>
      </c>
    </row>
    <row r="4" spans="2:8">
      <c r="B4" t="s">
        <v>176</v>
      </c>
      <c r="C4" t="s">
        <v>8</v>
      </c>
      <c r="D4">
        <v>32</v>
      </c>
      <c r="E4" t="s">
        <v>13</v>
      </c>
      <c r="F4" s="4">
        <v>44293</v>
      </c>
      <c r="G4" t="s">
        <v>12</v>
      </c>
      <c r="H4">
        <v>43840</v>
      </c>
    </row>
    <row r="5" spans="2:8">
      <c r="B5" t="s">
        <v>143</v>
      </c>
      <c r="C5" t="s">
        <v>15</v>
      </c>
      <c r="D5">
        <v>31</v>
      </c>
      <c r="E5" t="s">
        <v>16</v>
      </c>
      <c r="F5" s="4">
        <v>44663</v>
      </c>
      <c r="G5" t="s">
        <v>9</v>
      </c>
      <c r="H5">
        <v>103550</v>
      </c>
    </row>
    <row r="6" spans="2:8">
      <c r="B6" t="s">
        <v>201</v>
      </c>
      <c r="C6" t="s">
        <v>8</v>
      </c>
      <c r="D6">
        <v>32</v>
      </c>
      <c r="E6" t="s">
        <v>16</v>
      </c>
      <c r="F6" s="4">
        <v>44339</v>
      </c>
      <c r="G6" t="s">
        <v>56</v>
      </c>
      <c r="H6">
        <v>45510</v>
      </c>
    </row>
    <row r="7" spans="2:8">
      <c r="B7" t="s">
        <v>142</v>
      </c>
      <c r="D7">
        <v>37</v>
      </c>
      <c r="E7" t="s">
        <v>24</v>
      </c>
      <c r="F7" s="4">
        <v>44085</v>
      </c>
      <c r="G7" t="s">
        <v>21</v>
      </c>
      <c r="H7">
        <v>115440</v>
      </c>
    </row>
    <row r="8" spans="2:8">
      <c r="B8" t="s">
        <v>202</v>
      </c>
      <c r="C8" t="s">
        <v>8</v>
      </c>
      <c r="D8">
        <v>38</v>
      </c>
      <c r="E8" t="s">
        <v>13</v>
      </c>
      <c r="F8" s="4">
        <v>44268</v>
      </c>
      <c r="G8" t="s">
        <v>19</v>
      </c>
      <c r="H8">
        <v>56870</v>
      </c>
    </row>
    <row r="9" spans="2:8">
      <c r="B9" t="s">
        <v>169</v>
      </c>
      <c r="C9" t="s">
        <v>8</v>
      </c>
      <c r="D9">
        <v>25</v>
      </c>
      <c r="E9" t="s">
        <v>16</v>
      </c>
      <c r="F9" s="4">
        <v>44144</v>
      </c>
      <c r="G9" t="s">
        <v>19</v>
      </c>
      <c r="H9">
        <v>92700</v>
      </c>
    </row>
    <row r="10" spans="2:8">
      <c r="B10" t="s">
        <v>145</v>
      </c>
      <c r="D10">
        <v>32</v>
      </c>
      <c r="E10" t="s">
        <v>16</v>
      </c>
      <c r="F10" s="4">
        <v>44713</v>
      </c>
      <c r="G10" t="s">
        <v>12</v>
      </c>
      <c r="H10">
        <v>91310</v>
      </c>
    </row>
    <row r="11" spans="2:8">
      <c r="B11" t="s">
        <v>115</v>
      </c>
      <c r="C11" t="s">
        <v>15</v>
      </c>
      <c r="D11">
        <v>33</v>
      </c>
      <c r="E11" t="s">
        <v>16</v>
      </c>
      <c r="F11" s="4">
        <v>44324</v>
      </c>
      <c r="G11" t="s">
        <v>19</v>
      </c>
      <c r="H11">
        <v>74550</v>
      </c>
    </row>
    <row r="12" spans="2:8">
      <c r="B12" t="s">
        <v>128</v>
      </c>
      <c r="C12" t="s">
        <v>15</v>
      </c>
      <c r="D12">
        <v>25</v>
      </c>
      <c r="E12" t="s">
        <v>13</v>
      </c>
      <c r="F12" s="4">
        <v>44665</v>
      </c>
      <c r="G12" t="s">
        <v>9</v>
      </c>
      <c r="H12">
        <v>109190</v>
      </c>
    </row>
    <row r="13" spans="2:8">
      <c r="B13" t="s">
        <v>194</v>
      </c>
      <c r="C13" t="s">
        <v>8</v>
      </c>
      <c r="D13">
        <v>40</v>
      </c>
      <c r="E13" t="s">
        <v>16</v>
      </c>
      <c r="F13" s="4">
        <v>44320</v>
      </c>
      <c r="G13" t="s">
        <v>12</v>
      </c>
      <c r="H13">
        <v>104410</v>
      </c>
    </row>
    <row r="14" spans="2:8">
      <c r="B14" t="s">
        <v>177</v>
      </c>
      <c r="C14" t="s">
        <v>15</v>
      </c>
      <c r="D14">
        <v>30</v>
      </c>
      <c r="E14" t="s">
        <v>16</v>
      </c>
      <c r="F14" s="4">
        <v>44544</v>
      </c>
      <c r="G14" t="s">
        <v>21</v>
      </c>
      <c r="H14">
        <v>96800</v>
      </c>
    </row>
    <row r="15" spans="2:8">
      <c r="B15" t="s">
        <v>123</v>
      </c>
      <c r="C15" t="s">
        <v>15</v>
      </c>
      <c r="D15">
        <v>28</v>
      </c>
      <c r="E15" t="s">
        <v>13</v>
      </c>
      <c r="F15" s="4">
        <v>43980</v>
      </c>
      <c r="G15" t="s">
        <v>21</v>
      </c>
      <c r="H15">
        <v>48170</v>
      </c>
    </row>
    <row r="16" spans="2:8">
      <c r="B16" t="s">
        <v>140</v>
      </c>
      <c r="C16" t="s">
        <v>15</v>
      </c>
      <c r="D16">
        <v>21</v>
      </c>
      <c r="E16" t="s">
        <v>16</v>
      </c>
      <c r="F16" s="4">
        <v>44042</v>
      </c>
      <c r="G16" t="s">
        <v>9</v>
      </c>
      <c r="H16">
        <v>37920</v>
      </c>
    </row>
    <row r="17" spans="2:8">
      <c r="B17" t="s">
        <v>178</v>
      </c>
      <c r="C17" t="s">
        <v>15</v>
      </c>
      <c r="D17">
        <v>34</v>
      </c>
      <c r="E17" t="s">
        <v>16</v>
      </c>
      <c r="F17" s="4">
        <v>44642</v>
      </c>
      <c r="G17" t="s">
        <v>9</v>
      </c>
      <c r="H17">
        <v>112650</v>
      </c>
    </row>
    <row r="18" spans="2:8">
      <c r="B18" t="s">
        <v>165</v>
      </c>
      <c r="C18" t="s">
        <v>8</v>
      </c>
      <c r="D18">
        <v>34</v>
      </c>
      <c r="E18" t="s">
        <v>24</v>
      </c>
      <c r="F18" s="4">
        <v>44660</v>
      </c>
      <c r="G18" t="s">
        <v>19</v>
      </c>
      <c r="H18">
        <v>49630</v>
      </c>
    </row>
    <row r="19" spans="2:8">
      <c r="B19" t="s">
        <v>199</v>
      </c>
      <c r="C19" t="s">
        <v>15</v>
      </c>
      <c r="D19">
        <v>36</v>
      </c>
      <c r="E19" t="s">
        <v>16</v>
      </c>
      <c r="F19" s="4">
        <v>43958</v>
      </c>
      <c r="G19" t="s">
        <v>12</v>
      </c>
      <c r="H19">
        <v>118840</v>
      </c>
    </row>
    <row r="20" spans="2:8">
      <c r="B20" t="s">
        <v>159</v>
      </c>
      <c r="C20" t="s">
        <v>15</v>
      </c>
      <c r="D20">
        <v>30</v>
      </c>
      <c r="E20" t="s">
        <v>16</v>
      </c>
      <c r="F20" s="4">
        <v>44789</v>
      </c>
      <c r="G20" t="s">
        <v>12</v>
      </c>
      <c r="H20">
        <v>69710</v>
      </c>
    </row>
    <row r="21" spans="2:8">
      <c r="B21" t="s">
        <v>197</v>
      </c>
      <c r="C21" t="s">
        <v>15</v>
      </c>
      <c r="D21">
        <v>20</v>
      </c>
      <c r="E21" t="s">
        <v>16</v>
      </c>
      <c r="F21" s="4">
        <v>44683</v>
      </c>
      <c r="G21" t="s">
        <v>9</v>
      </c>
      <c r="H21">
        <v>79570</v>
      </c>
    </row>
    <row r="22" spans="2:8">
      <c r="B22" t="s">
        <v>154</v>
      </c>
      <c r="C22" t="s">
        <v>8</v>
      </c>
      <c r="D22">
        <v>22</v>
      </c>
      <c r="E22" t="s">
        <v>13</v>
      </c>
      <c r="F22" s="4">
        <v>44388</v>
      </c>
      <c r="G22" t="s">
        <v>9</v>
      </c>
      <c r="H22">
        <v>76900</v>
      </c>
    </row>
    <row r="23" spans="2:8">
      <c r="B23" t="s">
        <v>182</v>
      </c>
      <c r="C23" t="s">
        <v>15</v>
      </c>
      <c r="D23">
        <v>27</v>
      </c>
      <c r="E23" t="s">
        <v>16</v>
      </c>
      <c r="F23" s="4">
        <v>44073</v>
      </c>
      <c r="G23" t="s">
        <v>19</v>
      </c>
      <c r="H23">
        <v>54970</v>
      </c>
    </row>
    <row r="24" spans="2:8">
      <c r="B24" t="s">
        <v>118</v>
      </c>
      <c r="C24" t="s">
        <v>15</v>
      </c>
      <c r="D24">
        <v>37</v>
      </c>
      <c r="E24" t="s">
        <v>24</v>
      </c>
      <c r="F24" s="4">
        <v>44277</v>
      </c>
      <c r="G24" t="s">
        <v>12</v>
      </c>
      <c r="H24">
        <v>88050</v>
      </c>
    </row>
    <row r="25" spans="2:8">
      <c r="B25" t="s">
        <v>192</v>
      </c>
      <c r="C25" t="s">
        <v>15</v>
      </c>
      <c r="D25">
        <v>43</v>
      </c>
      <c r="E25" t="s">
        <v>16</v>
      </c>
      <c r="F25" s="4">
        <v>44558</v>
      </c>
      <c r="G25" t="s">
        <v>19</v>
      </c>
      <c r="H25">
        <v>36040</v>
      </c>
    </row>
    <row r="26" spans="2:8">
      <c r="B26" t="s">
        <v>111</v>
      </c>
      <c r="C26" t="s">
        <v>8</v>
      </c>
      <c r="D26">
        <v>42</v>
      </c>
      <c r="E26" t="s">
        <v>10</v>
      </c>
      <c r="F26" s="4">
        <v>44718</v>
      </c>
      <c r="G26" t="s">
        <v>9</v>
      </c>
      <c r="H26">
        <v>75000</v>
      </c>
    </row>
    <row r="27" spans="2:8">
      <c r="B27" t="s">
        <v>149</v>
      </c>
      <c r="C27" t="s">
        <v>15</v>
      </c>
      <c r="D27">
        <v>35</v>
      </c>
      <c r="E27" t="s">
        <v>16</v>
      </c>
      <c r="F27" s="4">
        <v>44666</v>
      </c>
      <c r="G27" t="s">
        <v>9</v>
      </c>
      <c r="H27">
        <v>40400</v>
      </c>
    </row>
    <row r="28" spans="2:8">
      <c r="B28" t="s">
        <v>196</v>
      </c>
      <c r="C28" t="s">
        <v>15</v>
      </c>
      <c r="D28">
        <v>24</v>
      </c>
      <c r="E28" t="s">
        <v>16</v>
      </c>
      <c r="F28" s="4">
        <v>44625</v>
      </c>
      <c r="G28" t="s">
        <v>12</v>
      </c>
      <c r="H28">
        <v>100420</v>
      </c>
    </row>
    <row r="29" spans="2:8">
      <c r="B29" t="s">
        <v>120</v>
      </c>
      <c r="C29" t="s">
        <v>8</v>
      </c>
      <c r="D29">
        <v>31</v>
      </c>
      <c r="E29" t="s">
        <v>16</v>
      </c>
      <c r="F29" s="4">
        <v>44604</v>
      </c>
      <c r="G29" t="s">
        <v>12</v>
      </c>
      <c r="H29">
        <v>58100</v>
      </c>
    </row>
    <row r="30" spans="2:8">
      <c r="B30" t="s">
        <v>114</v>
      </c>
      <c r="C30" t="s">
        <v>8</v>
      </c>
      <c r="D30">
        <v>44</v>
      </c>
      <c r="E30" t="s">
        <v>16</v>
      </c>
      <c r="F30" s="4">
        <v>44985</v>
      </c>
      <c r="G30" t="s">
        <v>12</v>
      </c>
      <c r="H30">
        <v>114870</v>
      </c>
    </row>
    <row r="31" spans="2:8">
      <c r="B31" t="s">
        <v>158</v>
      </c>
      <c r="C31" t="s">
        <v>8</v>
      </c>
      <c r="D31">
        <v>32</v>
      </c>
      <c r="E31" t="s">
        <v>16</v>
      </c>
      <c r="F31" s="4">
        <v>44549</v>
      </c>
      <c r="G31" t="s">
        <v>9</v>
      </c>
      <c r="H31">
        <v>41570</v>
      </c>
    </row>
    <row r="32" spans="2:8">
      <c r="B32" t="s">
        <v>173</v>
      </c>
      <c r="C32" t="s">
        <v>8</v>
      </c>
      <c r="D32">
        <v>30</v>
      </c>
      <c r="E32" t="s">
        <v>16</v>
      </c>
      <c r="F32" s="4">
        <v>44800</v>
      </c>
      <c r="G32" t="s">
        <v>9</v>
      </c>
      <c r="H32">
        <v>112570</v>
      </c>
    </row>
    <row r="33" spans="2:8">
      <c r="B33" t="s">
        <v>151</v>
      </c>
      <c r="C33" t="s">
        <v>15</v>
      </c>
      <c r="D33">
        <v>26</v>
      </c>
      <c r="E33" t="s">
        <v>16</v>
      </c>
      <c r="F33" s="4">
        <v>44164</v>
      </c>
      <c r="G33" t="s">
        <v>9</v>
      </c>
      <c r="H33">
        <v>47360</v>
      </c>
    </row>
    <row r="34" spans="2:8">
      <c r="B34" t="s">
        <v>126</v>
      </c>
      <c r="C34" t="s">
        <v>8</v>
      </c>
      <c r="D34">
        <v>21</v>
      </c>
      <c r="E34" t="s">
        <v>16</v>
      </c>
      <c r="F34" s="4">
        <v>44256</v>
      </c>
      <c r="G34" t="s">
        <v>21</v>
      </c>
      <c r="H34">
        <v>65920</v>
      </c>
    </row>
    <row r="35" spans="2:8">
      <c r="B35" t="s">
        <v>200</v>
      </c>
      <c r="C35" t="s">
        <v>8</v>
      </c>
      <c r="D35">
        <v>28</v>
      </c>
      <c r="E35" t="s">
        <v>16</v>
      </c>
      <c r="F35" s="4">
        <v>44571</v>
      </c>
      <c r="G35" t="s">
        <v>9</v>
      </c>
      <c r="H35">
        <v>99970</v>
      </c>
    </row>
    <row r="36" spans="2:8">
      <c r="B36" t="s">
        <v>133</v>
      </c>
      <c r="C36" t="s">
        <v>8</v>
      </c>
      <c r="D36">
        <v>25</v>
      </c>
      <c r="E36" t="s">
        <v>13</v>
      </c>
      <c r="F36" s="4">
        <v>44633</v>
      </c>
      <c r="G36" t="s">
        <v>12</v>
      </c>
      <c r="H36">
        <v>80700</v>
      </c>
    </row>
    <row r="37" spans="2:8">
      <c r="B37" t="s">
        <v>155</v>
      </c>
      <c r="C37" t="s">
        <v>15</v>
      </c>
      <c r="D37">
        <v>24</v>
      </c>
      <c r="E37" t="s">
        <v>24</v>
      </c>
      <c r="F37" s="4">
        <v>44375</v>
      </c>
      <c r="G37" t="s">
        <v>21</v>
      </c>
      <c r="H37">
        <v>52610</v>
      </c>
    </row>
    <row r="38" spans="2:8">
      <c r="B38" t="s">
        <v>180</v>
      </c>
      <c r="C38" t="s">
        <v>15</v>
      </c>
      <c r="D38">
        <v>29</v>
      </c>
      <c r="E38" t="s">
        <v>24</v>
      </c>
      <c r="F38" s="4">
        <v>44119</v>
      </c>
      <c r="G38" t="s">
        <v>12</v>
      </c>
      <c r="H38">
        <v>112110</v>
      </c>
    </row>
    <row r="39" spans="2:8">
      <c r="B39" t="s">
        <v>152</v>
      </c>
      <c r="C39" t="s">
        <v>8</v>
      </c>
      <c r="D39">
        <v>27</v>
      </c>
      <c r="E39" t="s">
        <v>16</v>
      </c>
      <c r="F39" s="4">
        <v>44061</v>
      </c>
      <c r="G39" t="s">
        <v>56</v>
      </c>
      <c r="H39">
        <v>119110</v>
      </c>
    </row>
    <row r="40" spans="2:8">
      <c r="B40" t="s">
        <v>150</v>
      </c>
      <c r="C40" t="s">
        <v>15</v>
      </c>
      <c r="D40">
        <v>22</v>
      </c>
      <c r="E40" t="s">
        <v>13</v>
      </c>
      <c r="F40" s="4">
        <v>44384</v>
      </c>
      <c r="G40" t="s">
        <v>19</v>
      </c>
      <c r="H40">
        <v>112780</v>
      </c>
    </row>
    <row r="41" spans="2:8">
      <c r="B41" t="s">
        <v>175</v>
      </c>
      <c r="C41" t="s">
        <v>8</v>
      </c>
      <c r="D41">
        <v>36</v>
      </c>
      <c r="E41" t="s">
        <v>16</v>
      </c>
      <c r="F41" s="4">
        <v>44023</v>
      </c>
      <c r="G41" t="s">
        <v>9</v>
      </c>
      <c r="H41">
        <v>114890</v>
      </c>
    </row>
    <row r="42" spans="2:8">
      <c r="B42" t="s">
        <v>146</v>
      </c>
      <c r="C42" t="s">
        <v>15</v>
      </c>
      <c r="D42">
        <v>27</v>
      </c>
      <c r="E42" t="s">
        <v>16</v>
      </c>
      <c r="F42" s="4">
        <v>44506</v>
      </c>
      <c r="G42" t="s">
        <v>21</v>
      </c>
      <c r="H42">
        <v>48980</v>
      </c>
    </row>
    <row r="43" spans="2:8">
      <c r="B43" t="s">
        <v>170</v>
      </c>
      <c r="C43" t="s">
        <v>15</v>
      </c>
      <c r="D43">
        <v>21</v>
      </c>
      <c r="E43" t="s">
        <v>16</v>
      </c>
      <c r="F43" s="4">
        <v>44180</v>
      </c>
      <c r="G43" t="s">
        <v>56</v>
      </c>
      <c r="H43">
        <v>75880</v>
      </c>
    </row>
    <row r="44" spans="2:8">
      <c r="B44" t="s">
        <v>167</v>
      </c>
      <c r="C44" t="s">
        <v>8</v>
      </c>
      <c r="D44">
        <v>28</v>
      </c>
      <c r="E44" t="s">
        <v>16</v>
      </c>
      <c r="F44" s="4">
        <v>44296</v>
      </c>
      <c r="G44" t="s">
        <v>19</v>
      </c>
      <c r="H44">
        <v>53240</v>
      </c>
    </row>
    <row r="45" spans="2:8">
      <c r="B45" t="s">
        <v>122</v>
      </c>
      <c r="C45" t="s">
        <v>8</v>
      </c>
      <c r="D45">
        <v>34</v>
      </c>
      <c r="E45" t="s">
        <v>16</v>
      </c>
      <c r="F45" s="4">
        <v>44397</v>
      </c>
      <c r="G45" t="s">
        <v>21</v>
      </c>
      <c r="H45">
        <v>85000</v>
      </c>
    </row>
    <row r="46" spans="2:8">
      <c r="B46" t="s">
        <v>179</v>
      </c>
      <c r="C46" t="s">
        <v>8</v>
      </c>
      <c r="D46">
        <v>21</v>
      </c>
      <c r="E46" t="s">
        <v>16</v>
      </c>
      <c r="F46" s="4">
        <v>44619</v>
      </c>
      <c r="G46" t="s">
        <v>12</v>
      </c>
      <c r="H46">
        <v>33920</v>
      </c>
    </row>
    <row r="47" spans="2:8">
      <c r="B47" t="s">
        <v>188</v>
      </c>
      <c r="C47" t="s">
        <v>8</v>
      </c>
      <c r="D47">
        <v>33</v>
      </c>
      <c r="E47" t="s">
        <v>16</v>
      </c>
      <c r="F47" s="4">
        <v>44253</v>
      </c>
      <c r="G47" t="s">
        <v>12</v>
      </c>
      <c r="H47">
        <v>75280</v>
      </c>
    </row>
    <row r="48" spans="2:8">
      <c r="B48" t="s">
        <v>130</v>
      </c>
      <c r="C48" t="s">
        <v>8</v>
      </c>
      <c r="D48">
        <v>34</v>
      </c>
      <c r="E48" t="s">
        <v>16</v>
      </c>
      <c r="F48" s="4">
        <v>44594</v>
      </c>
      <c r="G48" t="s">
        <v>21</v>
      </c>
      <c r="H48">
        <v>58940</v>
      </c>
    </row>
    <row r="49" spans="2:8">
      <c r="B49" t="s">
        <v>136</v>
      </c>
      <c r="C49" t="s">
        <v>8</v>
      </c>
      <c r="D49">
        <v>28</v>
      </c>
      <c r="E49" t="s">
        <v>16</v>
      </c>
      <c r="F49" s="4">
        <v>44425</v>
      </c>
      <c r="G49" t="s">
        <v>9</v>
      </c>
      <c r="H49">
        <v>104770</v>
      </c>
    </row>
    <row r="50" spans="2:8">
      <c r="B50" t="s">
        <v>125</v>
      </c>
      <c r="C50" t="s">
        <v>15</v>
      </c>
      <c r="D50">
        <v>21</v>
      </c>
      <c r="E50" t="s">
        <v>16</v>
      </c>
      <c r="F50" s="4">
        <v>44701</v>
      </c>
      <c r="G50" t="s">
        <v>9</v>
      </c>
      <c r="H50">
        <v>57090</v>
      </c>
    </row>
    <row r="51" spans="2:8">
      <c r="B51" t="s">
        <v>160</v>
      </c>
      <c r="C51" t="s">
        <v>15</v>
      </c>
      <c r="D51">
        <v>27</v>
      </c>
      <c r="E51" t="s">
        <v>13</v>
      </c>
      <c r="F51" s="4">
        <v>44174</v>
      </c>
      <c r="G51" t="s">
        <v>21</v>
      </c>
      <c r="H51">
        <v>91650</v>
      </c>
    </row>
    <row r="52" spans="2:8">
      <c r="B52" t="s">
        <v>183</v>
      </c>
      <c r="C52" t="s">
        <v>15</v>
      </c>
      <c r="D52">
        <v>42</v>
      </c>
      <c r="E52" t="s">
        <v>24</v>
      </c>
      <c r="F52" s="4">
        <v>44670</v>
      </c>
      <c r="G52" t="s">
        <v>21</v>
      </c>
      <c r="H52">
        <v>70270</v>
      </c>
    </row>
    <row r="53" spans="2:8">
      <c r="B53" t="s">
        <v>129</v>
      </c>
      <c r="C53" t="s">
        <v>8</v>
      </c>
      <c r="D53">
        <v>28</v>
      </c>
      <c r="E53" t="s">
        <v>16</v>
      </c>
      <c r="F53" s="4">
        <v>44124</v>
      </c>
      <c r="G53" t="s">
        <v>21</v>
      </c>
      <c r="H53">
        <v>75970</v>
      </c>
    </row>
    <row r="54" spans="2:8">
      <c r="B54" t="s">
        <v>112</v>
      </c>
      <c r="D54">
        <v>27</v>
      </c>
      <c r="E54" t="s">
        <v>13</v>
      </c>
      <c r="F54" s="4">
        <v>44212</v>
      </c>
      <c r="G54" t="s">
        <v>12</v>
      </c>
      <c r="H54">
        <v>90700</v>
      </c>
    </row>
    <row r="55" spans="2:8">
      <c r="B55" t="s">
        <v>131</v>
      </c>
      <c r="C55" t="s">
        <v>15</v>
      </c>
      <c r="D55">
        <v>30</v>
      </c>
      <c r="E55" t="s">
        <v>16</v>
      </c>
      <c r="F55" s="4">
        <v>44607</v>
      </c>
      <c r="G55" t="s">
        <v>9</v>
      </c>
      <c r="H55">
        <v>60570</v>
      </c>
    </row>
    <row r="56" spans="2:8">
      <c r="B56" t="s">
        <v>134</v>
      </c>
      <c r="C56" t="s">
        <v>15</v>
      </c>
      <c r="D56">
        <v>33</v>
      </c>
      <c r="E56" t="s">
        <v>16</v>
      </c>
      <c r="F56" s="4">
        <v>44103</v>
      </c>
      <c r="G56" t="s">
        <v>9</v>
      </c>
      <c r="H56">
        <v>115920</v>
      </c>
    </row>
    <row r="57" spans="2:8">
      <c r="B57" t="s">
        <v>186</v>
      </c>
      <c r="C57" t="s">
        <v>8</v>
      </c>
      <c r="D57">
        <v>33</v>
      </c>
      <c r="E57" t="s">
        <v>16</v>
      </c>
      <c r="F57" s="4">
        <v>44006</v>
      </c>
      <c r="G57" t="s">
        <v>21</v>
      </c>
      <c r="H57">
        <v>65360</v>
      </c>
    </row>
    <row r="58" spans="2:8">
      <c r="B58" t="s">
        <v>116</v>
      </c>
      <c r="D58">
        <v>30</v>
      </c>
      <c r="E58" t="s">
        <v>16</v>
      </c>
      <c r="F58" s="4">
        <v>44535</v>
      </c>
      <c r="G58" t="s">
        <v>21</v>
      </c>
      <c r="H58">
        <v>64000</v>
      </c>
    </row>
    <row r="59" spans="2:8">
      <c r="B59" t="s">
        <v>195</v>
      </c>
      <c r="C59" t="s">
        <v>8</v>
      </c>
      <c r="D59">
        <v>34</v>
      </c>
      <c r="E59" t="s">
        <v>16</v>
      </c>
      <c r="F59" s="4">
        <v>44383</v>
      </c>
      <c r="G59" t="s">
        <v>21</v>
      </c>
      <c r="H59">
        <v>92450</v>
      </c>
    </row>
    <row r="60" spans="2:8">
      <c r="B60" t="s">
        <v>113</v>
      </c>
      <c r="C60" t="s">
        <v>15</v>
      </c>
      <c r="D60">
        <v>31</v>
      </c>
      <c r="E60" t="s">
        <v>16</v>
      </c>
      <c r="F60" s="4">
        <v>44450</v>
      </c>
      <c r="G60" t="s">
        <v>12</v>
      </c>
      <c r="H60">
        <v>48950</v>
      </c>
    </row>
    <row r="61" spans="2:8">
      <c r="B61" t="s">
        <v>185</v>
      </c>
      <c r="C61" t="s">
        <v>8</v>
      </c>
      <c r="D61">
        <v>27</v>
      </c>
      <c r="E61" t="s">
        <v>16</v>
      </c>
      <c r="F61" s="4">
        <v>44625</v>
      </c>
      <c r="G61" t="s">
        <v>12</v>
      </c>
      <c r="H61">
        <v>83750</v>
      </c>
    </row>
    <row r="62" spans="2:8">
      <c r="B62" t="s">
        <v>166</v>
      </c>
      <c r="C62" t="s">
        <v>8</v>
      </c>
      <c r="D62">
        <v>40</v>
      </c>
      <c r="E62" t="s">
        <v>16</v>
      </c>
      <c r="F62" s="4">
        <v>44276</v>
      </c>
      <c r="G62" t="s">
        <v>12</v>
      </c>
      <c r="H62">
        <v>87620</v>
      </c>
    </row>
    <row r="63" spans="2:8">
      <c r="B63" t="s">
        <v>184</v>
      </c>
      <c r="C63" t="s">
        <v>8</v>
      </c>
      <c r="D63">
        <v>20</v>
      </c>
      <c r="E63" t="s">
        <v>24</v>
      </c>
      <c r="F63" s="4">
        <v>44476</v>
      </c>
      <c r="G63" t="s">
        <v>19</v>
      </c>
      <c r="H63">
        <v>68900</v>
      </c>
    </row>
    <row r="64" spans="2:8">
      <c r="B64" t="s">
        <v>157</v>
      </c>
      <c r="C64" t="s">
        <v>15</v>
      </c>
      <c r="D64">
        <v>32</v>
      </c>
      <c r="E64" t="s">
        <v>16</v>
      </c>
      <c r="F64" s="4">
        <v>44403</v>
      </c>
      <c r="G64" t="s">
        <v>19</v>
      </c>
      <c r="H64">
        <v>53540</v>
      </c>
    </row>
    <row r="65" spans="2:8">
      <c r="B65" t="s">
        <v>172</v>
      </c>
      <c r="C65" t="s">
        <v>15</v>
      </c>
      <c r="D65">
        <v>28</v>
      </c>
      <c r="E65" t="s">
        <v>42</v>
      </c>
      <c r="F65" s="4">
        <v>44758</v>
      </c>
      <c r="G65" t="s">
        <v>19</v>
      </c>
      <c r="H65">
        <v>43510</v>
      </c>
    </row>
    <row r="66" spans="2:8">
      <c r="B66" t="s">
        <v>127</v>
      </c>
      <c r="C66" t="s">
        <v>8</v>
      </c>
      <c r="D66">
        <v>38</v>
      </c>
      <c r="E66" t="s">
        <v>10</v>
      </c>
      <c r="F66" s="4">
        <v>44316</v>
      </c>
      <c r="G66" t="s">
        <v>19</v>
      </c>
      <c r="H66">
        <v>109160</v>
      </c>
    </row>
    <row r="67" spans="2:8">
      <c r="B67" t="s">
        <v>198</v>
      </c>
      <c r="C67" t="s">
        <v>15</v>
      </c>
      <c r="D67">
        <v>40</v>
      </c>
      <c r="E67" t="s">
        <v>16</v>
      </c>
      <c r="F67" s="4">
        <v>44204</v>
      </c>
      <c r="G67" t="s">
        <v>9</v>
      </c>
      <c r="H67">
        <v>99750</v>
      </c>
    </row>
    <row r="68" spans="2:8">
      <c r="B68" t="s">
        <v>124</v>
      </c>
      <c r="C68" t="s">
        <v>8</v>
      </c>
      <c r="D68">
        <v>31</v>
      </c>
      <c r="E68" t="s">
        <v>16</v>
      </c>
      <c r="F68" s="4">
        <v>44084</v>
      </c>
      <c r="G68" t="s">
        <v>12</v>
      </c>
      <c r="H68">
        <v>41980</v>
      </c>
    </row>
    <row r="69" spans="2:8">
      <c r="B69" t="s">
        <v>187</v>
      </c>
      <c r="C69" t="s">
        <v>15</v>
      </c>
      <c r="D69">
        <v>36</v>
      </c>
      <c r="E69" t="s">
        <v>16</v>
      </c>
      <c r="F69" s="4">
        <v>44272</v>
      </c>
      <c r="G69" t="s">
        <v>21</v>
      </c>
      <c r="H69">
        <v>71380</v>
      </c>
    </row>
    <row r="70" spans="2:8">
      <c r="B70" t="s">
        <v>191</v>
      </c>
      <c r="C70" t="s">
        <v>15</v>
      </c>
      <c r="D70">
        <v>27</v>
      </c>
      <c r="E70" t="s">
        <v>42</v>
      </c>
      <c r="F70" s="4">
        <v>44547</v>
      </c>
      <c r="G70" t="s">
        <v>9</v>
      </c>
      <c r="H70">
        <v>113280</v>
      </c>
    </row>
    <row r="71" spans="2:8">
      <c r="B71" t="s">
        <v>181</v>
      </c>
      <c r="C71" t="s">
        <v>8</v>
      </c>
      <c r="D71">
        <v>33</v>
      </c>
      <c r="E71" t="s">
        <v>16</v>
      </c>
      <c r="F71" s="4">
        <v>44747</v>
      </c>
      <c r="G71" t="s">
        <v>21</v>
      </c>
      <c r="H71">
        <v>86570</v>
      </c>
    </row>
    <row r="72" spans="2:8">
      <c r="B72" t="s">
        <v>139</v>
      </c>
      <c r="C72" t="s">
        <v>15</v>
      </c>
      <c r="D72">
        <v>26</v>
      </c>
      <c r="E72" t="s">
        <v>16</v>
      </c>
      <c r="F72" s="4">
        <v>44350</v>
      </c>
      <c r="G72" t="s">
        <v>9</v>
      </c>
      <c r="H72">
        <v>53540</v>
      </c>
    </row>
    <row r="73" spans="2:8">
      <c r="B73" t="s">
        <v>190</v>
      </c>
      <c r="C73" t="s">
        <v>15</v>
      </c>
      <c r="D73">
        <v>37</v>
      </c>
      <c r="E73" t="s">
        <v>16</v>
      </c>
      <c r="F73" s="4">
        <v>44640</v>
      </c>
      <c r="G73" t="s">
        <v>12</v>
      </c>
      <c r="H73">
        <v>69070</v>
      </c>
    </row>
    <row r="74" spans="2:8">
      <c r="B74" t="s">
        <v>121</v>
      </c>
      <c r="C74" t="s">
        <v>8</v>
      </c>
      <c r="D74">
        <v>30</v>
      </c>
      <c r="E74" t="s">
        <v>24</v>
      </c>
      <c r="F74" s="4">
        <v>44328</v>
      </c>
      <c r="G74" t="s">
        <v>21</v>
      </c>
      <c r="H74">
        <v>67910</v>
      </c>
    </row>
    <row r="75" spans="2:8">
      <c r="B75" t="s">
        <v>119</v>
      </c>
      <c r="C75" t="s">
        <v>15</v>
      </c>
      <c r="D75">
        <v>30</v>
      </c>
      <c r="E75" t="s">
        <v>16</v>
      </c>
      <c r="F75" s="4">
        <v>44214</v>
      </c>
      <c r="G75" t="s">
        <v>12</v>
      </c>
      <c r="H75">
        <v>69120</v>
      </c>
    </row>
    <row r="76" spans="2:8">
      <c r="B76" t="s">
        <v>132</v>
      </c>
      <c r="C76" t="s">
        <v>8</v>
      </c>
      <c r="D76">
        <v>34</v>
      </c>
      <c r="E76" t="s">
        <v>16</v>
      </c>
      <c r="F76" s="4">
        <v>44550</v>
      </c>
      <c r="G76" t="s">
        <v>21</v>
      </c>
      <c r="H76">
        <v>60130</v>
      </c>
    </row>
    <row r="77" spans="2:8">
      <c r="B77" t="s">
        <v>161</v>
      </c>
      <c r="C77" t="s">
        <v>15</v>
      </c>
      <c r="D77">
        <v>23</v>
      </c>
      <c r="E77" t="s">
        <v>16</v>
      </c>
      <c r="F77" s="4">
        <v>44378</v>
      </c>
      <c r="G77" t="s">
        <v>9</v>
      </c>
      <c r="H77">
        <v>106460</v>
      </c>
    </row>
    <row r="78" spans="2:8">
      <c r="B78" t="s">
        <v>148</v>
      </c>
      <c r="C78" t="s">
        <v>8</v>
      </c>
      <c r="D78">
        <v>37</v>
      </c>
      <c r="E78" t="s">
        <v>16</v>
      </c>
      <c r="F78" s="4">
        <v>44389</v>
      </c>
      <c r="G78" t="s">
        <v>56</v>
      </c>
      <c r="H78">
        <v>118100</v>
      </c>
    </row>
    <row r="79" spans="2:8">
      <c r="B79" t="s">
        <v>164</v>
      </c>
      <c r="C79" t="s">
        <v>8</v>
      </c>
      <c r="D79">
        <v>36</v>
      </c>
      <c r="E79" t="s">
        <v>16</v>
      </c>
      <c r="F79" s="4">
        <v>44468</v>
      </c>
      <c r="G79" t="s">
        <v>9</v>
      </c>
      <c r="H79">
        <v>78390</v>
      </c>
    </row>
    <row r="80" spans="2:8">
      <c r="B80" t="s">
        <v>147</v>
      </c>
      <c r="C80" t="s">
        <v>8</v>
      </c>
      <c r="D80">
        <v>30</v>
      </c>
      <c r="E80" t="s">
        <v>16</v>
      </c>
      <c r="F80" s="4">
        <v>44789</v>
      </c>
      <c r="G80" t="s">
        <v>9</v>
      </c>
      <c r="H80">
        <v>114180</v>
      </c>
    </row>
    <row r="81" spans="2:8">
      <c r="B81" t="s">
        <v>189</v>
      </c>
      <c r="C81" t="s">
        <v>8</v>
      </c>
      <c r="D81">
        <v>28</v>
      </c>
      <c r="E81" t="s">
        <v>16</v>
      </c>
      <c r="F81" s="4">
        <v>44590</v>
      </c>
      <c r="G81" t="s">
        <v>9</v>
      </c>
      <c r="H81">
        <v>104120</v>
      </c>
    </row>
    <row r="82" spans="2:8">
      <c r="B82" t="s">
        <v>138</v>
      </c>
      <c r="C82" t="s">
        <v>15</v>
      </c>
      <c r="D82">
        <v>30</v>
      </c>
      <c r="E82" t="s">
        <v>16</v>
      </c>
      <c r="F82" s="4">
        <v>44640</v>
      </c>
      <c r="G82" t="s">
        <v>9</v>
      </c>
      <c r="H82">
        <v>67950</v>
      </c>
    </row>
    <row r="83" spans="2:8">
      <c r="B83" t="s">
        <v>137</v>
      </c>
      <c r="C83" t="s">
        <v>8</v>
      </c>
      <c r="D83">
        <v>29</v>
      </c>
      <c r="E83" t="s">
        <v>16</v>
      </c>
      <c r="F83" s="4">
        <v>43962</v>
      </c>
      <c r="G83" t="s">
        <v>12</v>
      </c>
      <c r="H83">
        <v>34980</v>
      </c>
    </row>
    <row r="84" spans="2:8">
      <c r="B84" t="s">
        <v>153</v>
      </c>
      <c r="C84" t="s">
        <v>8</v>
      </c>
      <c r="D84">
        <v>24</v>
      </c>
      <c r="E84" t="s">
        <v>16</v>
      </c>
      <c r="F84" s="4">
        <v>44087</v>
      </c>
      <c r="G84" t="s">
        <v>12</v>
      </c>
      <c r="H84">
        <v>62780</v>
      </c>
    </row>
    <row r="85" spans="2:8">
      <c r="B85" t="s">
        <v>117</v>
      </c>
      <c r="C85" t="s">
        <v>15</v>
      </c>
      <c r="D85">
        <v>20</v>
      </c>
      <c r="E85" t="s">
        <v>16</v>
      </c>
      <c r="F85" s="4">
        <v>44397</v>
      </c>
      <c r="G85" t="s">
        <v>12</v>
      </c>
      <c r="H85">
        <v>107700</v>
      </c>
    </row>
    <row r="86" spans="2:8">
      <c r="B86" t="s">
        <v>168</v>
      </c>
      <c r="C86" t="s">
        <v>15</v>
      </c>
      <c r="D86">
        <v>25</v>
      </c>
      <c r="E86" t="s">
        <v>16</v>
      </c>
      <c r="F86" s="4">
        <v>44322</v>
      </c>
      <c r="G86" t="s">
        <v>19</v>
      </c>
      <c r="H86">
        <v>65700</v>
      </c>
    </row>
    <row r="87" spans="2:8">
      <c r="B87" t="s">
        <v>135</v>
      </c>
      <c r="C87" t="s">
        <v>8</v>
      </c>
      <c r="D87">
        <v>33</v>
      </c>
      <c r="E87" t="s">
        <v>42</v>
      </c>
      <c r="F87" s="4">
        <v>44313</v>
      </c>
      <c r="G87" t="s">
        <v>12</v>
      </c>
      <c r="H87">
        <v>75480</v>
      </c>
    </row>
    <row r="88" spans="2:8">
      <c r="B88" t="s">
        <v>174</v>
      </c>
      <c r="C88" t="s">
        <v>15</v>
      </c>
      <c r="D88">
        <v>33</v>
      </c>
      <c r="E88" t="s">
        <v>16</v>
      </c>
      <c r="F88" s="4">
        <v>44448</v>
      </c>
      <c r="G88" t="s">
        <v>12</v>
      </c>
      <c r="H88">
        <v>53870</v>
      </c>
    </row>
    <row r="89" spans="2:8">
      <c r="B89" t="s">
        <v>141</v>
      </c>
      <c r="C89" t="s">
        <v>8</v>
      </c>
      <c r="D89">
        <v>36</v>
      </c>
      <c r="E89" t="s">
        <v>16</v>
      </c>
      <c r="F89" s="4">
        <v>44433</v>
      </c>
      <c r="G89" t="s">
        <v>19</v>
      </c>
      <c r="H89">
        <v>78540</v>
      </c>
    </row>
    <row r="90" spans="2:8">
      <c r="B90" t="s">
        <v>193</v>
      </c>
      <c r="C90" t="s">
        <v>15</v>
      </c>
      <c r="D90">
        <v>19</v>
      </c>
      <c r="E90" t="s">
        <v>16</v>
      </c>
      <c r="F90" s="4">
        <v>44218</v>
      </c>
      <c r="G90" t="s">
        <v>9</v>
      </c>
      <c r="H90">
        <v>58960</v>
      </c>
    </row>
    <row r="91" spans="2:8">
      <c r="B91" t="s">
        <v>162</v>
      </c>
      <c r="C91" t="s">
        <v>15</v>
      </c>
      <c r="D91">
        <v>46</v>
      </c>
      <c r="E91" t="s">
        <v>16</v>
      </c>
      <c r="F91" s="4">
        <v>44697</v>
      </c>
      <c r="G91" t="s">
        <v>9</v>
      </c>
      <c r="H91">
        <v>70610</v>
      </c>
    </row>
    <row r="92" spans="2:8">
      <c r="B92" t="s">
        <v>171</v>
      </c>
      <c r="C92" t="s">
        <v>15</v>
      </c>
      <c r="D92">
        <v>33</v>
      </c>
      <c r="E92" t="s">
        <v>16</v>
      </c>
      <c r="F92" s="4">
        <v>44181</v>
      </c>
      <c r="G92" t="s">
        <v>21</v>
      </c>
      <c r="H92">
        <v>59430</v>
      </c>
    </row>
    <row r="93" spans="2:8">
      <c r="B93" t="s">
        <v>144</v>
      </c>
      <c r="C93" t="s">
        <v>15</v>
      </c>
      <c r="D93">
        <v>33</v>
      </c>
      <c r="E93" t="s">
        <v>13</v>
      </c>
      <c r="F93" s="4">
        <v>44640</v>
      </c>
      <c r="G93" t="s">
        <v>9</v>
      </c>
      <c r="H93">
        <v>48530</v>
      </c>
    </row>
    <row r="94" spans="2:8">
      <c r="B94" t="s">
        <v>163</v>
      </c>
      <c r="C94" t="s">
        <v>8</v>
      </c>
      <c r="D94">
        <v>33</v>
      </c>
      <c r="E94" t="s">
        <v>16</v>
      </c>
      <c r="F94" s="4">
        <v>44129</v>
      </c>
      <c r="G94" t="s">
        <v>12</v>
      </c>
      <c r="H94">
        <v>96140</v>
      </c>
    </row>
    <row r="95" spans="2:8">
      <c r="B95" t="s">
        <v>156</v>
      </c>
      <c r="C95" t="s">
        <v>15</v>
      </c>
      <c r="D95">
        <v>20</v>
      </c>
      <c r="E95" t="s">
        <v>16</v>
      </c>
      <c r="F95" s="4">
        <v>44122</v>
      </c>
      <c r="G95" t="s">
        <v>12</v>
      </c>
      <c r="H95">
        <v>112650</v>
      </c>
    </row>
    <row r="96" spans="2:8">
      <c r="B96" t="s">
        <v>176</v>
      </c>
      <c r="C96" t="s">
        <v>8</v>
      </c>
      <c r="D96">
        <v>32</v>
      </c>
      <c r="E96" t="s">
        <v>13</v>
      </c>
      <c r="F96" s="4">
        <v>44293</v>
      </c>
      <c r="G96" t="s">
        <v>12</v>
      </c>
      <c r="H96">
        <v>43840</v>
      </c>
    </row>
    <row r="97" spans="2:8">
      <c r="B97" t="s">
        <v>143</v>
      </c>
      <c r="C97" t="s">
        <v>15</v>
      </c>
      <c r="D97">
        <v>31</v>
      </c>
      <c r="E97" t="s">
        <v>16</v>
      </c>
      <c r="F97" s="4">
        <v>44663</v>
      </c>
      <c r="G97" t="s">
        <v>9</v>
      </c>
      <c r="H97">
        <v>103550</v>
      </c>
    </row>
    <row r="98" spans="2:8">
      <c r="B98" t="s">
        <v>201</v>
      </c>
      <c r="C98" t="s">
        <v>8</v>
      </c>
      <c r="D98">
        <v>32</v>
      </c>
      <c r="E98" t="s">
        <v>16</v>
      </c>
      <c r="F98" s="4">
        <v>44339</v>
      </c>
      <c r="G98" t="s">
        <v>56</v>
      </c>
      <c r="H98">
        <v>45510</v>
      </c>
    </row>
    <row r="99" spans="2:8">
      <c r="B99" t="s">
        <v>142</v>
      </c>
      <c r="D99">
        <v>37</v>
      </c>
      <c r="E99" t="s">
        <v>24</v>
      </c>
      <c r="F99" s="4">
        <v>44085</v>
      </c>
      <c r="G99" t="s">
        <v>21</v>
      </c>
      <c r="H99">
        <v>115440</v>
      </c>
    </row>
    <row r="100" spans="2:8">
      <c r="B100" t="s">
        <v>202</v>
      </c>
      <c r="C100" t="s">
        <v>8</v>
      </c>
      <c r="D100">
        <v>38</v>
      </c>
      <c r="E100" t="s">
        <v>13</v>
      </c>
      <c r="F100" s="4">
        <v>44268</v>
      </c>
      <c r="G100" t="s">
        <v>19</v>
      </c>
      <c r="H100">
        <v>56870</v>
      </c>
    </row>
    <row r="101" spans="2:8">
      <c r="B101" t="s">
        <v>169</v>
      </c>
      <c r="C101" t="s">
        <v>8</v>
      </c>
      <c r="D101">
        <v>25</v>
      </c>
      <c r="E101" t="s">
        <v>16</v>
      </c>
      <c r="F101" s="4">
        <v>44144</v>
      </c>
      <c r="G101" t="s">
        <v>19</v>
      </c>
      <c r="H101">
        <v>92700</v>
      </c>
    </row>
    <row r="102" spans="2:8">
      <c r="B102" t="s">
        <v>145</v>
      </c>
      <c r="D102">
        <v>32</v>
      </c>
      <c r="E102" t="s">
        <v>16</v>
      </c>
      <c r="F102" s="4">
        <v>44713</v>
      </c>
      <c r="G102" t="s">
        <v>12</v>
      </c>
      <c r="H102">
        <v>91310</v>
      </c>
    </row>
    <row r="103" spans="2:8">
      <c r="B103" t="s">
        <v>115</v>
      </c>
      <c r="C103" t="s">
        <v>15</v>
      </c>
      <c r="D103">
        <v>33</v>
      </c>
      <c r="E103" t="s">
        <v>16</v>
      </c>
      <c r="F103" s="4">
        <v>44324</v>
      </c>
      <c r="G103" t="s">
        <v>19</v>
      </c>
      <c r="H103">
        <v>74550</v>
      </c>
    </row>
    <row r="104" spans="2:8">
      <c r="B104" t="s">
        <v>128</v>
      </c>
      <c r="C104" t="s">
        <v>15</v>
      </c>
      <c r="D104">
        <v>25</v>
      </c>
      <c r="E104" t="s">
        <v>13</v>
      </c>
      <c r="F104" s="4">
        <v>44665</v>
      </c>
      <c r="G104" t="s">
        <v>9</v>
      </c>
      <c r="H104">
        <v>109190</v>
      </c>
    </row>
    <row r="105" spans="2:8">
      <c r="B105" t="s">
        <v>194</v>
      </c>
      <c r="C105" t="s">
        <v>8</v>
      </c>
      <c r="D105">
        <v>40</v>
      </c>
      <c r="E105" t="s">
        <v>16</v>
      </c>
      <c r="F105" s="4">
        <v>44320</v>
      </c>
      <c r="G105" t="s">
        <v>12</v>
      </c>
      <c r="H105">
        <v>104410</v>
      </c>
    </row>
    <row r="106" spans="2:8">
      <c r="B106" t="s">
        <v>177</v>
      </c>
      <c r="C106" t="s">
        <v>15</v>
      </c>
      <c r="D106">
        <v>30</v>
      </c>
      <c r="E106" t="s">
        <v>16</v>
      </c>
      <c r="F106" s="4">
        <v>44544</v>
      </c>
      <c r="G106" t="s">
        <v>21</v>
      </c>
      <c r="H106">
        <v>96800</v>
      </c>
    </row>
    <row r="107" spans="2:8">
      <c r="B107" t="s">
        <v>123</v>
      </c>
      <c r="C107" t="s">
        <v>15</v>
      </c>
      <c r="D107">
        <v>28</v>
      </c>
      <c r="E107" t="s">
        <v>13</v>
      </c>
      <c r="F107" s="4">
        <v>43980</v>
      </c>
      <c r="G107" t="s">
        <v>21</v>
      </c>
      <c r="H107">
        <v>48170</v>
      </c>
    </row>
    <row r="108" spans="2:8">
      <c r="B108" t="s">
        <v>140</v>
      </c>
      <c r="C108" t="s">
        <v>15</v>
      </c>
      <c r="D108">
        <v>21</v>
      </c>
      <c r="E108" t="s">
        <v>16</v>
      </c>
      <c r="F108" s="4">
        <v>44042</v>
      </c>
      <c r="G108" t="s">
        <v>9</v>
      </c>
      <c r="H108">
        <v>37920</v>
      </c>
    </row>
    <row r="109" spans="2:8">
      <c r="B109" t="s">
        <v>178</v>
      </c>
      <c r="C109" t="s">
        <v>15</v>
      </c>
      <c r="D109">
        <v>34</v>
      </c>
      <c r="E109" t="s">
        <v>16</v>
      </c>
      <c r="F109" s="4">
        <v>44642</v>
      </c>
      <c r="G109" t="s">
        <v>9</v>
      </c>
      <c r="H109">
        <v>112650</v>
      </c>
    </row>
    <row r="110" spans="2:8">
      <c r="B110" t="s">
        <v>165</v>
      </c>
      <c r="C110" t="s">
        <v>8</v>
      </c>
      <c r="D110">
        <v>34</v>
      </c>
      <c r="E110" t="s">
        <v>24</v>
      </c>
      <c r="F110" s="4">
        <v>44660</v>
      </c>
      <c r="G110" t="s">
        <v>19</v>
      </c>
      <c r="H110">
        <v>49630</v>
      </c>
    </row>
    <row r="111" spans="2:8">
      <c r="B111" t="s">
        <v>199</v>
      </c>
      <c r="C111" t="s">
        <v>15</v>
      </c>
      <c r="D111">
        <v>36</v>
      </c>
      <c r="E111" t="s">
        <v>16</v>
      </c>
      <c r="F111" s="4">
        <v>43958</v>
      </c>
      <c r="G111" t="s">
        <v>12</v>
      </c>
      <c r="H111">
        <v>118840</v>
      </c>
    </row>
    <row r="112" spans="2:8">
      <c r="B112" t="s">
        <v>159</v>
      </c>
      <c r="C112" t="s">
        <v>15</v>
      </c>
      <c r="D112">
        <v>30</v>
      </c>
      <c r="E112" t="s">
        <v>16</v>
      </c>
      <c r="F112" s="4">
        <v>44789</v>
      </c>
      <c r="G112" t="s">
        <v>12</v>
      </c>
      <c r="H112">
        <v>69710</v>
      </c>
    </row>
    <row r="113" spans="2:8">
      <c r="B113" t="s">
        <v>197</v>
      </c>
      <c r="C113" t="s">
        <v>15</v>
      </c>
      <c r="D113">
        <v>20</v>
      </c>
      <c r="E113" t="s">
        <v>16</v>
      </c>
      <c r="F113" s="4">
        <v>44683</v>
      </c>
      <c r="G113" t="s">
        <v>9</v>
      </c>
      <c r="H113">
        <v>79570</v>
      </c>
    </row>
    <row r="114" spans="2:8">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184"/>
  <sheetViews>
    <sheetView zoomScaleNormal="100" workbookViewId="0">
      <selection activeCell="N30" sqref="N30"/>
    </sheetView>
  </sheetViews>
  <sheetFormatPr defaultRowHeight="15"/>
  <cols>
    <col min="1" max="1" width="30" bestFit="1" customWidth="1"/>
    <col min="2" max="2" width="10" bestFit="1" customWidth="1"/>
    <col min="3" max="3" width="14" bestFit="1" customWidth="1"/>
    <col min="4" max="4" width="6.7109375" bestFit="1" customWidth="1"/>
    <col min="5" max="5" width="13.7109375" bestFit="1" customWidth="1"/>
    <col min="6" max="6" width="13.7109375" customWidth="1"/>
    <col min="7" max="7" width="14.28515625" bestFit="1" customWidth="1"/>
    <col min="8" max="8" width="10.28515625" bestFit="1" customWidth="1"/>
    <col min="9" max="9" width="10.7109375" bestFit="1" customWidth="1"/>
    <col min="10" max="10" width="10.7109375" customWidth="1"/>
    <col min="11" max="11" width="18.7109375" bestFit="1" customWidth="1"/>
    <col min="14" max="14" width="22" bestFit="1" customWidth="1"/>
    <col min="15" max="15" width="14.28515625" bestFit="1" customWidth="1"/>
  </cols>
  <sheetData>
    <row r="1" spans="1:16">
      <c r="A1" s="6" t="s">
        <v>0</v>
      </c>
      <c r="B1" s="6" t="s">
        <v>1</v>
      </c>
      <c r="C1" s="6" t="s">
        <v>2</v>
      </c>
      <c r="D1" s="6" t="s">
        <v>3</v>
      </c>
      <c r="E1" s="6" t="s">
        <v>4</v>
      </c>
      <c r="F1" s="6" t="s">
        <v>5</v>
      </c>
      <c r="G1" s="6" t="s">
        <v>6</v>
      </c>
      <c r="H1" s="6" t="s">
        <v>204</v>
      </c>
      <c r="I1" t="s">
        <v>208</v>
      </c>
      <c r="J1" t="s">
        <v>225</v>
      </c>
      <c r="K1" t="s">
        <v>228</v>
      </c>
    </row>
    <row r="2" spans="1:16">
      <c r="A2" s="6" t="s">
        <v>179</v>
      </c>
      <c r="B2" s="6" t="s">
        <v>8</v>
      </c>
      <c r="C2" s="6" t="s">
        <v>12</v>
      </c>
      <c r="D2" s="6">
        <v>21</v>
      </c>
      <c r="E2" s="7">
        <v>44619</v>
      </c>
      <c r="F2" s="18">
        <v>33920</v>
      </c>
      <c r="G2" s="6" t="s">
        <v>16</v>
      </c>
      <c r="H2" s="6" t="s">
        <v>205</v>
      </c>
      <c r="I2" s="8">
        <f ca="1">(TODAY()-staff[[#This Row],[Date Joined]])/365</f>
        <v>1.3671232876712329</v>
      </c>
      <c r="J2" s="18">
        <f ca="1">ROUNDUP(IF(I2&gt;2,3%,2%)*staff[Salary],0)</f>
        <v>679</v>
      </c>
      <c r="K2" s="22">
        <f>VLOOKUP(staff[[#This Row],[Rating]],rating[],2,FALSE)</f>
        <v>3</v>
      </c>
      <c r="M2" s="14">
        <v>1</v>
      </c>
      <c r="N2" t="s">
        <v>209</v>
      </c>
      <c r="O2">
        <f>COUNTA(staff[Name])</f>
        <v>183</v>
      </c>
    </row>
    <row r="3" spans="1:16">
      <c r="A3" s="6" t="s">
        <v>86</v>
      </c>
      <c r="B3" s="6" t="s">
        <v>8</v>
      </c>
      <c r="C3" s="6" t="s">
        <v>12</v>
      </c>
      <c r="D3" s="6">
        <v>21</v>
      </c>
      <c r="E3" s="7">
        <v>44678</v>
      </c>
      <c r="F3" s="18">
        <v>33920</v>
      </c>
      <c r="G3" s="6" t="s">
        <v>16</v>
      </c>
      <c r="H3" s="6" t="s">
        <v>207</v>
      </c>
      <c r="I3" s="8">
        <f ca="1">(TODAY()-staff[[#This Row],[Date Joined]])/365</f>
        <v>1.2054794520547945</v>
      </c>
      <c r="J3" s="18">
        <f ca="1">ROUNDUP(IF(I3&gt;2,3%,2%)*staff[Salary],0)</f>
        <v>679</v>
      </c>
      <c r="K3" s="22">
        <f>VLOOKUP(staff[[#This Row],[Rating]],rating[],2,FALSE)</f>
        <v>3</v>
      </c>
      <c r="N3" t="s">
        <v>210</v>
      </c>
      <c r="O3">
        <f>AVERAGE(staff[Salary])</f>
        <v>77173.715846994543</v>
      </c>
      <c r="P3">
        <f>MEDIAN(staff[Salary])</f>
        <v>75000</v>
      </c>
    </row>
    <row r="4" spans="1:16">
      <c r="A4" s="6" t="s">
        <v>137</v>
      </c>
      <c r="B4" s="6" t="s">
        <v>8</v>
      </c>
      <c r="C4" s="6" t="s">
        <v>12</v>
      </c>
      <c r="D4" s="6">
        <v>29</v>
      </c>
      <c r="E4" s="7">
        <v>43962</v>
      </c>
      <c r="F4" s="18">
        <v>34980</v>
      </c>
      <c r="G4" s="6" t="s">
        <v>16</v>
      </c>
      <c r="H4" s="6" t="s">
        <v>205</v>
      </c>
      <c r="I4" s="8">
        <f ca="1">(TODAY()-staff[[#This Row],[Date Joined]])/365</f>
        <v>3.1671232876712327</v>
      </c>
      <c r="J4" s="18">
        <f ca="1">ROUNDUP(IF(I4&gt;2,3%,2%)*staff[Salary],0)</f>
        <v>1050</v>
      </c>
      <c r="K4" s="22">
        <f>VLOOKUP(staff[[#This Row],[Rating]],rating[],2,FALSE)</f>
        <v>3</v>
      </c>
      <c r="N4" t="s">
        <v>212</v>
      </c>
      <c r="O4">
        <f>AVERAGE(staff[Age])</f>
        <v>30.42622950819672</v>
      </c>
      <c r="P4">
        <f>MEDIAN(staff[Age])</f>
        <v>30</v>
      </c>
    </row>
    <row r="5" spans="1:16">
      <c r="A5" s="6" t="s">
        <v>44</v>
      </c>
      <c r="B5" s="6" t="s">
        <v>8</v>
      </c>
      <c r="C5" s="6" t="s">
        <v>12</v>
      </c>
      <c r="D5" s="6">
        <v>29</v>
      </c>
      <c r="E5" s="7">
        <v>44023</v>
      </c>
      <c r="F5" s="18">
        <v>34980</v>
      </c>
      <c r="G5" s="6" t="s">
        <v>16</v>
      </c>
      <c r="H5" s="6" t="s">
        <v>207</v>
      </c>
      <c r="I5" s="8">
        <f ca="1">(TODAY()-staff[[#This Row],[Date Joined]])/365</f>
        <v>3</v>
      </c>
      <c r="J5" s="18">
        <f ca="1">ROUNDUP(IF(I5&gt;2,3%,2%)*staff[Salary],0)</f>
        <v>1050</v>
      </c>
      <c r="K5" s="22">
        <f>VLOOKUP(staff[[#This Row],[Rating]],rating[],2,FALSE)</f>
        <v>3</v>
      </c>
      <c r="N5" t="s">
        <v>213</v>
      </c>
      <c r="O5">
        <f ca="1">AVERAGE(staff[Tenure])</f>
        <v>1.8766225016842593</v>
      </c>
    </row>
    <row r="6" spans="1:16">
      <c r="A6" s="6" t="s">
        <v>192</v>
      </c>
      <c r="B6" s="6" t="s">
        <v>15</v>
      </c>
      <c r="C6" s="6" t="s">
        <v>19</v>
      </c>
      <c r="D6" s="6">
        <v>43</v>
      </c>
      <c r="E6" s="7">
        <v>44558</v>
      </c>
      <c r="F6" s="18">
        <v>36040</v>
      </c>
      <c r="G6" s="6" t="s">
        <v>16</v>
      </c>
      <c r="H6" s="6" t="s">
        <v>205</v>
      </c>
      <c r="I6" s="8">
        <f ca="1">(TODAY()-staff[[#This Row],[Date Joined]])/365</f>
        <v>1.5342465753424657</v>
      </c>
      <c r="J6" s="18">
        <f ca="1">ROUNDUP(IF(I6&gt;2,3%,2%)*staff[Salary],0)</f>
        <v>721</v>
      </c>
      <c r="K6" s="22">
        <f>VLOOKUP(staff[[#This Row],[Rating]],rating[],2,FALSE)</f>
        <v>3</v>
      </c>
      <c r="N6" t="s">
        <v>214</v>
      </c>
      <c r="O6" s="9">
        <f>O7/O2</f>
        <v>0.46994535519125685</v>
      </c>
    </row>
    <row r="7" spans="1:16">
      <c r="A7" s="6" t="s">
        <v>99</v>
      </c>
      <c r="B7" s="6" t="s">
        <v>15</v>
      </c>
      <c r="C7" s="6" t="s">
        <v>19</v>
      </c>
      <c r="D7" s="6">
        <v>43</v>
      </c>
      <c r="E7" s="7">
        <v>44620</v>
      </c>
      <c r="F7" s="18">
        <v>36040</v>
      </c>
      <c r="G7" s="6" t="s">
        <v>16</v>
      </c>
      <c r="H7" s="6" t="s">
        <v>207</v>
      </c>
      <c r="I7" s="8">
        <f ca="1">(TODAY()-staff[[#This Row],[Date Joined]])/365</f>
        <v>1.3643835616438356</v>
      </c>
      <c r="J7" s="18">
        <f ca="1">ROUNDUP(IF(I7&gt;2,3%,2%)*staff[Salary],0)</f>
        <v>721</v>
      </c>
      <c r="K7" s="22">
        <f>VLOOKUP(staff[[#This Row],[Rating]],rating[],2,FALSE)</f>
        <v>3</v>
      </c>
      <c r="N7" t="s">
        <v>215</v>
      </c>
      <c r="O7">
        <f>COUNTIFS(staff[Gender], "Female")</f>
        <v>86</v>
      </c>
    </row>
    <row r="8" spans="1:16">
      <c r="A8" s="6" t="s">
        <v>140</v>
      </c>
      <c r="B8" s="6" t="s">
        <v>15</v>
      </c>
      <c r="C8" s="6" t="s">
        <v>9</v>
      </c>
      <c r="D8" s="6">
        <v>21</v>
      </c>
      <c r="E8" s="7">
        <v>44042</v>
      </c>
      <c r="F8" s="18">
        <v>37920</v>
      </c>
      <c r="G8" s="6" t="s">
        <v>16</v>
      </c>
      <c r="H8" s="6" t="s">
        <v>205</v>
      </c>
      <c r="I8" s="8">
        <f ca="1">(TODAY()-staff[[#This Row],[Date Joined]])/365</f>
        <v>2.9479452054794519</v>
      </c>
      <c r="J8" s="18">
        <f ca="1">ROUNDUP(IF(I8&gt;2,3%,2%)*staff[Salary],0)</f>
        <v>1138</v>
      </c>
      <c r="K8" s="22">
        <f>VLOOKUP(staff[[#This Row],[Rating]],rating[],2,FALSE)</f>
        <v>3</v>
      </c>
    </row>
    <row r="9" spans="1:16">
      <c r="A9" s="6" t="s">
        <v>47</v>
      </c>
      <c r="B9" s="6" t="s">
        <v>15</v>
      </c>
      <c r="C9" s="6" t="s">
        <v>9</v>
      </c>
      <c r="D9" s="6">
        <v>21</v>
      </c>
      <c r="E9" s="7">
        <v>44104</v>
      </c>
      <c r="F9" s="18">
        <v>37920</v>
      </c>
      <c r="G9" s="6" t="s">
        <v>16</v>
      </c>
      <c r="H9" s="6" t="s">
        <v>207</v>
      </c>
      <c r="I9" s="8">
        <f ca="1">(TODAY()-staff[[#This Row],[Date Joined]])/365</f>
        <v>2.7780821917808218</v>
      </c>
      <c r="J9" s="18">
        <f ca="1">ROUNDUP(IF(I9&gt;2,3%,2%)*staff[Salary],0)</f>
        <v>1138</v>
      </c>
      <c r="K9" s="22">
        <f>VLOOKUP(staff[[#This Row],[Rating]],rating[],2,FALSE)</f>
        <v>3</v>
      </c>
      <c r="N9" t="s">
        <v>216</v>
      </c>
      <c r="O9">
        <f>COUNTIFS(staff[Salary],"&gt;90000")</f>
        <v>63</v>
      </c>
      <c r="P9" s="9">
        <f>O9/O2</f>
        <v>0.34426229508196721</v>
      </c>
    </row>
    <row r="10" spans="1:16">
      <c r="A10" s="6" t="s">
        <v>149</v>
      </c>
      <c r="B10" s="6" t="s">
        <v>15</v>
      </c>
      <c r="C10" s="6" t="s">
        <v>9</v>
      </c>
      <c r="D10" s="6">
        <v>35</v>
      </c>
      <c r="E10" s="7">
        <v>44666</v>
      </c>
      <c r="F10" s="18">
        <v>40400</v>
      </c>
      <c r="G10" s="6" t="s">
        <v>16</v>
      </c>
      <c r="H10" s="6" t="s">
        <v>205</v>
      </c>
      <c r="I10" s="8">
        <f ca="1">(TODAY()-staff[[#This Row],[Date Joined]])/365</f>
        <v>1.2383561643835617</v>
      </c>
      <c r="J10" s="18">
        <f ca="1">ROUNDUP(IF(I10&gt;2,3%,2%)*staff[Salary],0)</f>
        <v>808</v>
      </c>
      <c r="K10" s="22">
        <f>VLOOKUP(staff[[#This Row],[Rating]],rating[],2,FALSE)</f>
        <v>3</v>
      </c>
    </row>
    <row r="11" spans="1:16">
      <c r="A11" s="6" t="s">
        <v>57</v>
      </c>
      <c r="B11" s="6" t="s">
        <v>15</v>
      </c>
      <c r="C11" s="6" t="s">
        <v>9</v>
      </c>
      <c r="D11" s="6">
        <v>35</v>
      </c>
      <c r="E11" s="7">
        <v>44727</v>
      </c>
      <c r="F11" s="18">
        <v>40400</v>
      </c>
      <c r="G11" s="6" t="s">
        <v>16</v>
      </c>
      <c r="H11" s="6" t="s">
        <v>207</v>
      </c>
      <c r="I11" s="8">
        <f ca="1">(TODAY()-staff[[#This Row],[Date Joined]])/365</f>
        <v>1.0712328767123287</v>
      </c>
      <c r="J11" s="18">
        <f ca="1">ROUNDUP(IF(I11&gt;2,3%,2%)*staff[Salary],0)</f>
        <v>808</v>
      </c>
      <c r="K11" s="22">
        <f>VLOOKUP(staff[[#This Row],[Rating]],rating[],2,FALSE)</f>
        <v>3</v>
      </c>
    </row>
    <row r="12" spans="1:16">
      <c r="A12" s="6" t="s">
        <v>158</v>
      </c>
      <c r="B12" s="6" t="s">
        <v>8</v>
      </c>
      <c r="C12" s="6" t="s">
        <v>9</v>
      </c>
      <c r="D12" s="6">
        <v>32</v>
      </c>
      <c r="E12" s="7">
        <v>44549</v>
      </c>
      <c r="F12" s="18">
        <v>41570</v>
      </c>
      <c r="G12" s="6" t="s">
        <v>16</v>
      </c>
      <c r="H12" s="6" t="s">
        <v>205</v>
      </c>
      <c r="I12" s="8">
        <f ca="1">(TODAY()-staff[[#This Row],[Date Joined]])/365</f>
        <v>1.558904109589041</v>
      </c>
      <c r="J12" s="18">
        <f ca="1">ROUNDUP(IF(I12&gt;2,3%,2%)*staff[Salary],0)</f>
        <v>832</v>
      </c>
      <c r="K12" s="22">
        <f>VLOOKUP(staff[[#This Row],[Rating]],rating[],2,FALSE)</f>
        <v>3</v>
      </c>
    </row>
    <row r="13" spans="1:16">
      <c r="A13" s="6" t="s">
        <v>66</v>
      </c>
      <c r="B13" s="6" t="s">
        <v>8</v>
      </c>
      <c r="C13" s="6" t="s">
        <v>9</v>
      </c>
      <c r="D13" s="6">
        <v>32</v>
      </c>
      <c r="E13" s="7">
        <v>44611</v>
      </c>
      <c r="F13" s="18">
        <v>41570</v>
      </c>
      <c r="G13" s="6" t="s">
        <v>16</v>
      </c>
      <c r="H13" s="6" t="s">
        <v>207</v>
      </c>
      <c r="I13" s="8">
        <f ca="1">(TODAY()-staff[[#This Row],[Date Joined]])/365</f>
        <v>1.3890410958904109</v>
      </c>
      <c r="J13" s="18">
        <f ca="1">ROUNDUP(IF(I13&gt;2,3%,2%)*staff[Salary],0)</f>
        <v>832</v>
      </c>
      <c r="K13" s="22">
        <f>VLOOKUP(staff[[#This Row],[Rating]],rating[],2,FALSE)</f>
        <v>3</v>
      </c>
      <c r="M13" s="14">
        <v>2</v>
      </c>
      <c r="N13" t="s">
        <v>217</v>
      </c>
    </row>
    <row r="14" spans="1:16">
      <c r="A14" s="6" t="s">
        <v>124</v>
      </c>
      <c r="B14" s="6" t="s">
        <v>8</v>
      </c>
      <c r="C14" s="6" t="s">
        <v>12</v>
      </c>
      <c r="D14" s="6">
        <v>31</v>
      </c>
      <c r="E14" s="7">
        <v>44084</v>
      </c>
      <c r="F14" s="18">
        <v>41980</v>
      </c>
      <c r="G14" s="6" t="s">
        <v>16</v>
      </c>
      <c r="H14" s="6" t="s">
        <v>205</v>
      </c>
      <c r="I14" s="8">
        <f ca="1">(TODAY()-staff[[#This Row],[Date Joined]])/365</f>
        <v>2.8328767123287673</v>
      </c>
      <c r="J14" s="18">
        <f ca="1">ROUNDUP(IF(I14&gt;2,3%,2%)*staff[Salary],0)</f>
        <v>1260</v>
      </c>
      <c r="K14" s="22">
        <f>VLOOKUP(staff[[#This Row],[Rating]],rating[],2,FALSE)</f>
        <v>3</v>
      </c>
      <c r="N14" t="s">
        <v>198</v>
      </c>
    </row>
    <row r="15" spans="1:16">
      <c r="A15" s="6" t="s">
        <v>30</v>
      </c>
      <c r="B15" s="6" t="s">
        <v>8</v>
      </c>
      <c r="C15" s="6" t="s">
        <v>12</v>
      </c>
      <c r="D15" s="6">
        <v>31</v>
      </c>
      <c r="E15" s="7">
        <v>44145</v>
      </c>
      <c r="F15" s="18">
        <v>41980</v>
      </c>
      <c r="G15" s="6" t="s">
        <v>16</v>
      </c>
      <c r="H15" s="6" t="s">
        <v>207</v>
      </c>
      <c r="I15" s="8">
        <f ca="1">(TODAY()-staff[[#This Row],[Date Joined]])/365</f>
        <v>2.6657534246575341</v>
      </c>
      <c r="J15" s="18">
        <f ca="1">ROUNDUP(IF(I15&gt;2,3%,2%)*staff[Salary],0)</f>
        <v>1260</v>
      </c>
      <c r="K15" s="22">
        <f>VLOOKUP(staff[[#This Row],[Rating]],rating[],2,FALSE)</f>
        <v>3</v>
      </c>
    </row>
    <row r="16" spans="1:16">
      <c r="A16" s="6" t="s">
        <v>172</v>
      </c>
      <c r="B16" s="6" t="s">
        <v>15</v>
      </c>
      <c r="C16" s="6" t="s">
        <v>19</v>
      </c>
      <c r="D16" s="6">
        <v>28</v>
      </c>
      <c r="E16" s="7">
        <v>44758</v>
      </c>
      <c r="F16" s="18">
        <v>43510</v>
      </c>
      <c r="G16" s="6" t="s">
        <v>42</v>
      </c>
      <c r="H16" s="6" t="s">
        <v>205</v>
      </c>
      <c r="I16" s="8">
        <f ca="1">(TODAY()-staff[[#This Row],[Date Joined]])/365</f>
        <v>0.98630136986301364</v>
      </c>
      <c r="J16" s="18">
        <f ca="1">ROUNDUP(IF(I16&gt;2,3%,2%)*staff[Salary],0)</f>
        <v>871</v>
      </c>
      <c r="K16" s="22">
        <f>VLOOKUP(staff[[#This Row],[Rating]],rating[],2,FALSE)</f>
        <v>1</v>
      </c>
    </row>
    <row r="17" spans="1:15">
      <c r="A17" s="6" t="s">
        <v>80</v>
      </c>
      <c r="B17" s="6" t="s">
        <v>15</v>
      </c>
      <c r="C17" s="6" t="s">
        <v>19</v>
      </c>
      <c r="D17" s="6">
        <v>28</v>
      </c>
      <c r="E17" s="7">
        <v>44820</v>
      </c>
      <c r="F17" s="18">
        <v>43510</v>
      </c>
      <c r="G17" s="6" t="s">
        <v>42</v>
      </c>
      <c r="H17" s="6" t="s">
        <v>207</v>
      </c>
      <c r="I17" s="8">
        <f ca="1">(TODAY()-staff[[#This Row],[Date Joined]])/365</f>
        <v>0.81643835616438354</v>
      </c>
      <c r="J17" s="18">
        <f ca="1">ROUNDUP(IF(I17&gt;2,3%,2%)*staff[Salary],0)</f>
        <v>871</v>
      </c>
      <c r="K17" s="22">
        <f>VLOOKUP(staff[[#This Row],[Rating]],rating[],2,FALSE)</f>
        <v>1</v>
      </c>
      <c r="N17" s="10" t="str">
        <f ca="1">TRANSPOSE(N17:U17)</f>
        <v>Gender</v>
      </c>
      <c r="O17" s="11" t="str">
        <f>VLOOKUP(N14,staff[],2,FALSE)</f>
        <v>Male</v>
      </c>
    </row>
    <row r="18" spans="1:15">
      <c r="A18" s="6" t="s">
        <v>176</v>
      </c>
      <c r="B18" s="6" t="s">
        <v>8</v>
      </c>
      <c r="C18" s="6" t="s">
        <v>12</v>
      </c>
      <c r="D18" s="6">
        <v>32</v>
      </c>
      <c r="E18" s="7">
        <v>44293</v>
      </c>
      <c r="F18" s="18">
        <v>43840</v>
      </c>
      <c r="G18" s="6" t="s">
        <v>13</v>
      </c>
      <c r="H18" s="6" t="s">
        <v>205</v>
      </c>
      <c r="I18" s="8">
        <f ca="1">(TODAY()-staff[[#This Row],[Date Joined]])/365</f>
        <v>2.2602739726027399</v>
      </c>
      <c r="J18" s="18">
        <f ca="1">ROUNDUP(IF(I18&gt;2,3%,2%)*staff[Salary],0)</f>
        <v>1316</v>
      </c>
      <c r="K18" s="22">
        <f>VLOOKUP(staff[[#This Row],[Rating]],rating[],2,FALSE)</f>
        <v>4</v>
      </c>
      <c r="N18" s="10" t="s">
        <v>2</v>
      </c>
      <c r="O18" s="11" t="str">
        <f>VLOOKUP(N14,staff[],3,FALSE)</f>
        <v>Procurement</v>
      </c>
    </row>
    <row r="19" spans="1:15">
      <c r="A19" s="6" t="s">
        <v>84</v>
      </c>
      <c r="B19" s="6" t="s">
        <v>8</v>
      </c>
      <c r="C19" s="6" t="s">
        <v>12</v>
      </c>
      <c r="D19" s="6">
        <v>32</v>
      </c>
      <c r="E19" s="7">
        <v>44354</v>
      </c>
      <c r="F19" s="18">
        <v>43840</v>
      </c>
      <c r="G19" s="6" t="s">
        <v>13</v>
      </c>
      <c r="H19" s="6" t="s">
        <v>207</v>
      </c>
      <c r="I19" s="8">
        <f ca="1">(TODAY()-staff[[#This Row],[Date Joined]])/365</f>
        <v>2.0931506849315067</v>
      </c>
      <c r="J19" s="18">
        <f ca="1">ROUNDUP(IF(I19&gt;2,3%,2%)*staff[Salary],0)</f>
        <v>1316</v>
      </c>
      <c r="K19" s="22">
        <f>VLOOKUP(staff[[#This Row],[Rating]],rating[],2,FALSE)</f>
        <v>4</v>
      </c>
      <c r="N19" s="10" t="s">
        <v>3</v>
      </c>
      <c r="O19" s="11">
        <f>VLOOKUP(N14,staff[],4,FALSE)</f>
        <v>40</v>
      </c>
    </row>
    <row r="20" spans="1:15">
      <c r="A20" s="6" t="s">
        <v>201</v>
      </c>
      <c r="B20" s="6" t="s">
        <v>8</v>
      </c>
      <c r="C20" s="6" t="s">
        <v>56</v>
      </c>
      <c r="D20" s="6">
        <v>32</v>
      </c>
      <c r="E20" s="7">
        <v>44339</v>
      </c>
      <c r="F20" s="18">
        <v>45510</v>
      </c>
      <c r="G20" s="6" t="s">
        <v>16</v>
      </c>
      <c r="H20" s="6" t="s">
        <v>205</v>
      </c>
      <c r="I20" s="8">
        <f ca="1">(TODAY()-staff[[#This Row],[Date Joined]])/365</f>
        <v>2.1342465753424658</v>
      </c>
      <c r="J20" s="18">
        <f ca="1">ROUNDUP(IF(I20&gt;2,3%,2%)*staff[Salary],0)</f>
        <v>1366</v>
      </c>
      <c r="K20" s="22">
        <f>VLOOKUP(staff[[#This Row],[Rating]],rating[],2,FALSE)</f>
        <v>3</v>
      </c>
      <c r="N20" s="10" t="s">
        <v>4</v>
      </c>
      <c r="O20" s="12">
        <f>VLOOKUP(N14,staff[],5,FALSE)</f>
        <v>44204</v>
      </c>
    </row>
    <row r="21" spans="1:15">
      <c r="A21" s="6" t="s">
        <v>108</v>
      </c>
      <c r="B21" s="6" t="s">
        <v>8</v>
      </c>
      <c r="C21" s="6" t="s">
        <v>56</v>
      </c>
      <c r="D21" s="6">
        <v>32</v>
      </c>
      <c r="E21" s="7">
        <v>44400</v>
      </c>
      <c r="F21" s="18">
        <v>45510</v>
      </c>
      <c r="G21" s="6" t="s">
        <v>16</v>
      </c>
      <c r="H21" s="6" t="s">
        <v>207</v>
      </c>
      <c r="I21" s="8">
        <f ca="1">(TODAY()-staff[[#This Row],[Date Joined]])/365</f>
        <v>1.9671232876712328</v>
      </c>
      <c r="J21" s="18">
        <f ca="1">ROUNDUP(IF(I21&gt;2,3%,2%)*staff[Salary],0)</f>
        <v>911</v>
      </c>
      <c r="K21" s="22">
        <f>VLOOKUP(staff[[#This Row],[Rating]],rating[],2,FALSE)</f>
        <v>3</v>
      </c>
      <c r="N21" s="10" t="s">
        <v>5</v>
      </c>
      <c r="O21" s="11">
        <f>VLOOKUP(N14,staff[],6,FALSE)</f>
        <v>99750</v>
      </c>
    </row>
    <row r="22" spans="1:15">
      <c r="A22" s="6" t="s">
        <v>151</v>
      </c>
      <c r="B22" s="6" t="s">
        <v>15</v>
      </c>
      <c r="C22" s="6" t="s">
        <v>9</v>
      </c>
      <c r="D22" s="6">
        <v>26</v>
      </c>
      <c r="E22" s="7">
        <v>44164</v>
      </c>
      <c r="F22" s="18">
        <v>47360</v>
      </c>
      <c r="G22" s="6" t="s">
        <v>16</v>
      </c>
      <c r="H22" s="6" t="s">
        <v>205</v>
      </c>
      <c r="I22" s="8">
        <f ca="1">(TODAY()-staff[[#This Row],[Date Joined]])/365</f>
        <v>2.6136986301369864</v>
      </c>
      <c r="J22" s="18">
        <f ca="1">ROUNDUP(IF(I22&gt;2,3%,2%)*staff[Salary],0)</f>
        <v>1421</v>
      </c>
      <c r="K22" s="22">
        <f>VLOOKUP(staff[[#This Row],[Rating]],rating[],2,FALSE)</f>
        <v>3</v>
      </c>
      <c r="N22" s="10" t="s">
        <v>6</v>
      </c>
      <c r="O22" s="11" t="str">
        <f>VLOOKUP(N14,staff[],7,FALSE)</f>
        <v>Average</v>
      </c>
    </row>
    <row r="23" spans="1:15">
      <c r="A23" s="6" t="s">
        <v>59</v>
      </c>
      <c r="B23" s="6" t="s">
        <v>15</v>
      </c>
      <c r="C23" s="6" t="s">
        <v>9</v>
      </c>
      <c r="D23" s="6">
        <v>26</v>
      </c>
      <c r="E23" s="7">
        <v>44225</v>
      </c>
      <c r="F23" s="18">
        <v>47360</v>
      </c>
      <c r="G23" s="6" t="s">
        <v>16</v>
      </c>
      <c r="H23" s="6" t="s">
        <v>207</v>
      </c>
      <c r="I23" s="8">
        <f ca="1">(TODAY()-staff[[#This Row],[Date Joined]])/365</f>
        <v>2.4465753424657533</v>
      </c>
      <c r="J23" s="18">
        <f ca="1">ROUNDUP(IF(I23&gt;2,3%,2%)*staff[Salary],0)</f>
        <v>1421</v>
      </c>
      <c r="K23" s="22">
        <f>VLOOKUP(staff[[#This Row],[Rating]],rating[],2,FALSE)</f>
        <v>3</v>
      </c>
      <c r="N23" s="10" t="s">
        <v>204</v>
      </c>
      <c r="O23" s="11" t="str">
        <f>VLOOKUP(N14,staff[],8,FALSE)</f>
        <v>IND</v>
      </c>
    </row>
    <row r="24" spans="1:15">
      <c r="A24" s="6" t="s">
        <v>123</v>
      </c>
      <c r="B24" s="6" t="s">
        <v>15</v>
      </c>
      <c r="C24" s="6" t="s">
        <v>21</v>
      </c>
      <c r="D24" s="6">
        <v>28</v>
      </c>
      <c r="E24" s="7">
        <v>43980</v>
      </c>
      <c r="F24" s="18">
        <v>48170</v>
      </c>
      <c r="G24" s="6" t="s">
        <v>13</v>
      </c>
      <c r="H24" s="6" t="s">
        <v>205</v>
      </c>
      <c r="I24" s="8">
        <f ca="1">(TODAY()-staff[[#This Row],[Date Joined]])/365</f>
        <v>3.117808219178082</v>
      </c>
      <c r="J24" s="18">
        <f ca="1">ROUNDUP(IF(I24&gt;2,3%,2%)*staff[Salary],0)</f>
        <v>1446</v>
      </c>
      <c r="K24" s="22">
        <f>VLOOKUP(staff[[#This Row],[Rating]],rating[],2,FALSE)</f>
        <v>4</v>
      </c>
      <c r="N24" s="10" t="s">
        <v>208</v>
      </c>
      <c r="O24" s="13">
        <f ca="1">VLOOKUP(N14,staff[],9,FALSE)</f>
        <v>2.504109589041096</v>
      </c>
    </row>
    <row r="25" spans="1:15">
      <c r="A25" s="6" t="s">
        <v>29</v>
      </c>
      <c r="B25" s="6" t="s">
        <v>15</v>
      </c>
      <c r="C25" s="6" t="s">
        <v>21</v>
      </c>
      <c r="D25" s="6">
        <v>28</v>
      </c>
      <c r="E25" s="7">
        <v>44041</v>
      </c>
      <c r="F25" s="18">
        <v>48170</v>
      </c>
      <c r="G25" s="6" t="s">
        <v>13</v>
      </c>
      <c r="H25" s="6" t="s">
        <v>207</v>
      </c>
      <c r="I25" s="8">
        <f ca="1">(TODAY()-staff[[#This Row],[Date Joined]])/365</f>
        <v>2.9506849315068493</v>
      </c>
      <c r="J25" s="18">
        <f ca="1">ROUNDUP(IF(I25&gt;2,3%,2%)*staff[Salary],0)</f>
        <v>1446</v>
      </c>
      <c r="K25" s="22">
        <f>VLOOKUP(staff[[#This Row],[Rating]],rating[],2,FALSE)</f>
        <v>4</v>
      </c>
    </row>
    <row r="26" spans="1:15">
      <c r="A26" s="6" t="s">
        <v>144</v>
      </c>
      <c r="B26" s="6" t="s">
        <v>15</v>
      </c>
      <c r="C26" s="6" t="s">
        <v>9</v>
      </c>
      <c r="D26" s="6">
        <v>33</v>
      </c>
      <c r="E26" s="7">
        <v>44640</v>
      </c>
      <c r="F26" s="18">
        <v>48530</v>
      </c>
      <c r="G26" s="6" t="s">
        <v>13</v>
      </c>
      <c r="H26" s="6" t="s">
        <v>205</v>
      </c>
      <c r="I26" s="8">
        <f ca="1">(TODAY()-staff[[#This Row],[Date Joined]])/365</f>
        <v>1.3095890410958904</v>
      </c>
      <c r="J26" s="18">
        <f ca="1">ROUNDUP(IF(I26&gt;2,3%,2%)*staff[Salary],0)</f>
        <v>971</v>
      </c>
      <c r="K26" s="22">
        <f>VLOOKUP(staff[[#This Row],[Rating]],rating[],2,FALSE)</f>
        <v>4</v>
      </c>
    </row>
    <row r="27" spans="1:15">
      <c r="A27" s="6" t="s">
        <v>51</v>
      </c>
      <c r="B27" s="6" t="s">
        <v>15</v>
      </c>
      <c r="C27" s="6" t="s">
        <v>9</v>
      </c>
      <c r="D27" s="6">
        <v>33</v>
      </c>
      <c r="E27" s="7">
        <v>44701</v>
      </c>
      <c r="F27" s="18">
        <v>48530</v>
      </c>
      <c r="G27" s="6" t="s">
        <v>13</v>
      </c>
      <c r="H27" s="6" t="s">
        <v>207</v>
      </c>
      <c r="I27" s="8">
        <f ca="1">(TODAY()-staff[[#This Row],[Date Joined]])/365</f>
        <v>1.1424657534246576</v>
      </c>
      <c r="J27" s="18">
        <f ca="1">ROUNDUP(IF(I27&gt;2,3%,2%)*staff[Salary],0)</f>
        <v>971</v>
      </c>
      <c r="K27" s="22">
        <f>VLOOKUP(staff[[#This Row],[Rating]],rating[],2,FALSE)</f>
        <v>4</v>
      </c>
    </row>
    <row r="28" spans="1:15">
      <c r="A28" s="6" t="s">
        <v>113</v>
      </c>
      <c r="B28" s="6" t="s">
        <v>15</v>
      </c>
      <c r="C28" s="6" t="s">
        <v>12</v>
      </c>
      <c r="D28" s="6">
        <v>31</v>
      </c>
      <c r="E28" s="7">
        <v>44450</v>
      </c>
      <c r="F28" s="18">
        <v>48950</v>
      </c>
      <c r="G28" s="6" t="s">
        <v>16</v>
      </c>
      <c r="H28" s="6" t="s">
        <v>205</v>
      </c>
      <c r="I28" s="8">
        <f ca="1">(TODAY()-staff[[#This Row],[Date Joined]])/365</f>
        <v>1.8301369863013699</v>
      </c>
      <c r="J28" s="18">
        <f ca="1">ROUNDUP(IF(I28&gt;2,3%,2%)*staff[Salary],0)</f>
        <v>979</v>
      </c>
      <c r="K28" s="22">
        <f>VLOOKUP(staff[[#This Row],[Rating]],rating[],2,FALSE)</f>
        <v>3</v>
      </c>
    </row>
    <row r="29" spans="1:15">
      <c r="A29" s="6" t="s">
        <v>14</v>
      </c>
      <c r="B29" s="6" t="s">
        <v>15</v>
      </c>
      <c r="C29" s="6" t="s">
        <v>12</v>
      </c>
      <c r="D29" s="6">
        <v>31</v>
      </c>
      <c r="E29" s="7">
        <v>44511</v>
      </c>
      <c r="F29" s="18">
        <v>48950</v>
      </c>
      <c r="G29" s="6" t="s">
        <v>16</v>
      </c>
      <c r="H29" s="6" t="s">
        <v>207</v>
      </c>
      <c r="I29" s="8">
        <f ca="1">(TODAY()-staff[[#This Row],[Date Joined]])/365</f>
        <v>1.6630136986301369</v>
      </c>
      <c r="J29" s="18">
        <f ca="1">ROUNDUP(IF(I29&gt;2,3%,2%)*staff[Salary],0)</f>
        <v>979</v>
      </c>
      <c r="K29" s="22">
        <f>VLOOKUP(staff[[#This Row],[Rating]],rating[],2,FALSE)</f>
        <v>3</v>
      </c>
      <c r="N29" t="s">
        <v>211</v>
      </c>
    </row>
    <row r="30" spans="1:15">
      <c r="A30" s="6" t="s">
        <v>146</v>
      </c>
      <c r="B30" s="6" t="s">
        <v>15</v>
      </c>
      <c r="C30" s="6" t="s">
        <v>21</v>
      </c>
      <c r="D30" s="6">
        <v>27</v>
      </c>
      <c r="E30" s="7">
        <v>44506</v>
      </c>
      <c r="F30" s="18">
        <v>48980</v>
      </c>
      <c r="G30" s="6" t="s">
        <v>16</v>
      </c>
      <c r="H30" s="6" t="s">
        <v>205</v>
      </c>
      <c r="I30" s="8">
        <f ca="1">(TODAY()-staff[[#This Row],[Date Joined]])/365</f>
        <v>1.6767123287671233</v>
      </c>
      <c r="J30" s="18">
        <f ca="1">ROUNDUP(IF(I30&gt;2,3%,2%)*staff[Salary],0)</f>
        <v>980</v>
      </c>
      <c r="K30" s="22">
        <f>VLOOKUP(staff[[#This Row],[Rating]],rating[],2,FALSE)</f>
        <v>3</v>
      </c>
    </row>
    <row r="31" spans="1:15">
      <c r="A31" s="6" t="s">
        <v>53</v>
      </c>
      <c r="B31" s="6" t="s">
        <v>15</v>
      </c>
      <c r="C31" s="6" t="s">
        <v>21</v>
      </c>
      <c r="D31" s="6">
        <v>27</v>
      </c>
      <c r="E31" s="7">
        <v>44567</v>
      </c>
      <c r="F31" s="18">
        <v>48980</v>
      </c>
      <c r="G31" s="6" t="s">
        <v>16</v>
      </c>
      <c r="H31" s="6" t="s">
        <v>207</v>
      </c>
      <c r="I31" s="8">
        <f ca="1">(TODAY()-staff[[#This Row],[Date Joined]])/365</f>
        <v>1.5095890410958903</v>
      </c>
      <c r="J31" s="18">
        <f ca="1">ROUNDUP(IF(I31&gt;2,3%,2%)*staff[Salary],0)</f>
        <v>980</v>
      </c>
      <c r="K31" s="22">
        <f>VLOOKUP(staff[[#This Row],[Rating]],rating[],2,FALSE)</f>
        <v>3</v>
      </c>
    </row>
    <row r="32" spans="1:15">
      <c r="A32" s="6" t="s">
        <v>165</v>
      </c>
      <c r="B32" s="6" t="s">
        <v>8</v>
      </c>
      <c r="C32" s="6" t="s">
        <v>19</v>
      </c>
      <c r="D32" s="6">
        <v>34</v>
      </c>
      <c r="E32" s="7">
        <v>44660</v>
      </c>
      <c r="F32" s="18">
        <v>49630</v>
      </c>
      <c r="G32" s="6" t="s">
        <v>24</v>
      </c>
      <c r="H32" s="6" t="s">
        <v>205</v>
      </c>
      <c r="I32" s="8">
        <f ca="1">(TODAY()-staff[[#This Row],[Date Joined]])/365</f>
        <v>1.2547945205479452</v>
      </c>
      <c r="J32" s="18">
        <f ca="1">ROUNDUP(IF(I32&gt;2,3%,2%)*staff[Salary],0)</f>
        <v>993</v>
      </c>
      <c r="K32" s="22">
        <f>VLOOKUP(staff[[#This Row],[Rating]],rating[],2,FALSE)</f>
        <v>2</v>
      </c>
    </row>
    <row r="33" spans="1:11">
      <c r="A33" s="6" t="s">
        <v>73</v>
      </c>
      <c r="B33" s="6" t="s">
        <v>8</v>
      </c>
      <c r="C33" s="6" t="s">
        <v>19</v>
      </c>
      <c r="D33" s="6">
        <v>34</v>
      </c>
      <c r="E33" s="7">
        <v>44721</v>
      </c>
      <c r="F33" s="18">
        <v>49630</v>
      </c>
      <c r="G33" s="6" t="s">
        <v>24</v>
      </c>
      <c r="H33" s="6" t="s">
        <v>207</v>
      </c>
      <c r="I33" s="8">
        <f ca="1">(TODAY()-staff[[#This Row],[Date Joined]])/365</f>
        <v>1.0876712328767124</v>
      </c>
      <c r="J33" s="18">
        <f ca="1">ROUNDUP(IF(I33&gt;2,3%,2%)*staff[Salary],0)</f>
        <v>993</v>
      </c>
      <c r="K33" s="22">
        <f>VLOOKUP(staff[[#This Row],[Rating]],rating[],2,FALSE)</f>
        <v>2</v>
      </c>
    </row>
    <row r="34" spans="1:11">
      <c r="A34" s="6" t="s">
        <v>155</v>
      </c>
      <c r="B34" s="6" t="s">
        <v>15</v>
      </c>
      <c r="C34" s="6" t="s">
        <v>21</v>
      </c>
      <c r="D34" s="6">
        <v>24</v>
      </c>
      <c r="E34" s="7">
        <v>44375</v>
      </c>
      <c r="F34" s="18">
        <v>52610</v>
      </c>
      <c r="G34" s="6" t="s">
        <v>24</v>
      </c>
      <c r="H34" s="6" t="s">
        <v>205</v>
      </c>
      <c r="I34" s="8">
        <f ca="1">(TODAY()-staff[[#This Row],[Date Joined]])/365</f>
        <v>2.0356164383561643</v>
      </c>
      <c r="J34" s="18">
        <f ca="1">ROUNDUP(IF(I34&gt;2,3%,2%)*staff[Salary],0)</f>
        <v>1579</v>
      </c>
      <c r="K34" s="22">
        <f>VLOOKUP(staff[[#This Row],[Rating]],rating[],2,FALSE)</f>
        <v>2</v>
      </c>
    </row>
    <row r="35" spans="1:11">
      <c r="A35" s="6" t="s">
        <v>63</v>
      </c>
      <c r="B35" s="6" t="s">
        <v>15</v>
      </c>
      <c r="C35" s="6" t="s">
        <v>21</v>
      </c>
      <c r="D35" s="6">
        <v>24</v>
      </c>
      <c r="E35" s="7">
        <v>44436</v>
      </c>
      <c r="F35" s="18">
        <v>52610</v>
      </c>
      <c r="G35" s="6" t="s">
        <v>24</v>
      </c>
      <c r="H35" s="6" t="s">
        <v>207</v>
      </c>
      <c r="I35" s="8">
        <f ca="1">(TODAY()-staff[[#This Row],[Date Joined]])/365</f>
        <v>1.8684931506849316</v>
      </c>
      <c r="J35" s="18">
        <f ca="1">ROUNDUP(IF(I35&gt;2,3%,2%)*staff[Salary],0)</f>
        <v>1053</v>
      </c>
      <c r="K35" s="22">
        <f>VLOOKUP(staff[[#This Row],[Rating]],rating[],2,FALSE)</f>
        <v>2</v>
      </c>
    </row>
    <row r="36" spans="1:11">
      <c r="A36" s="6" t="s">
        <v>167</v>
      </c>
      <c r="B36" s="6" t="s">
        <v>8</v>
      </c>
      <c r="C36" s="6" t="s">
        <v>19</v>
      </c>
      <c r="D36" s="6">
        <v>28</v>
      </c>
      <c r="E36" s="7">
        <v>44296</v>
      </c>
      <c r="F36" s="18">
        <v>53240</v>
      </c>
      <c r="G36" s="6" t="s">
        <v>16</v>
      </c>
      <c r="H36" s="6" t="s">
        <v>205</v>
      </c>
      <c r="I36" s="8">
        <f ca="1">(TODAY()-staff[[#This Row],[Date Joined]])/365</f>
        <v>2.2520547945205478</v>
      </c>
      <c r="J36" s="18">
        <f ca="1">ROUNDUP(IF(I36&gt;2,3%,2%)*staff[Salary],0)</f>
        <v>1598</v>
      </c>
      <c r="K36" s="22">
        <f>VLOOKUP(staff[[#This Row],[Rating]],rating[],2,FALSE)</f>
        <v>3</v>
      </c>
    </row>
    <row r="37" spans="1:11">
      <c r="A37" s="6" t="s">
        <v>75</v>
      </c>
      <c r="B37" s="6" t="s">
        <v>8</v>
      </c>
      <c r="C37" s="6" t="s">
        <v>19</v>
      </c>
      <c r="D37" s="6">
        <v>28</v>
      </c>
      <c r="E37" s="7">
        <v>44357</v>
      </c>
      <c r="F37" s="18">
        <v>53240</v>
      </c>
      <c r="G37" s="6" t="s">
        <v>16</v>
      </c>
      <c r="H37" s="6" t="s">
        <v>207</v>
      </c>
      <c r="I37" s="8">
        <f ca="1">(TODAY()-staff[[#This Row],[Date Joined]])/365</f>
        <v>2.0849315068493151</v>
      </c>
      <c r="J37" s="18">
        <f ca="1">ROUNDUP(IF(I37&gt;2,3%,2%)*staff[Salary],0)</f>
        <v>1598</v>
      </c>
      <c r="K37" s="22">
        <f>VLOOKUP(staff[[#This Row],[Rating]],rating[],2,FALSE)</f>
        <v>3</v>
      </c>
    </row>
    <row r="38" spans="1:11">
      <c r="A38" s="6" t="s">
        <v>139</v>
      </c>
      <c r="B38" s="6" t="s">
        <v>15</v>
      </c>
      <c r="C38" s="6" t="s">
        <v>9</v>
      </c>
      <c r="D38" s="6">
        <v>26</v>
      </c>
      <c r="E38" s="7">
        <v>44350</v>
      </c>
      <c r="F38" s="18">
        <v>53540</v>
      </c>
      <c r="G38" s="6" t="s">
        <v>16</v>
      </c>
      <c r="H38" s="6" t="s">
        <v>205</v>
      </c>
      <c r="I38" s="8">
        <f ca="1">(TODAY()-staff[[#This Row],[Date Joined]])/365</f>
        <v>2.1041095890410957</v>
      </c>
      <c r="J38" s="18">
        <f ca="1">ROUNDUP(IF(I38&gt;2,3%,2%)*staff[Salary],0)</f>
        <v>1607</v>
      </c>
      <c r="K38" s="22">
        <f>VLOOKUP(staff[[#This Row],[Rating]],rating[],2,FALSE)</f>
        <v>3</v>
      </c>
    </row>
    <row r="39" spans="1:11">
      <c r="A39" s="6" t="s">
        <v>157</v>
      </c>
      <c r="B39" s="6" t="s">
        <v>15</v>
      </c>
      <c r="C39" s="6" t="s">
        <v>19</v>
      </c>
      <c r="D39" s="6">
        <v>32</v>
      </c>
      <c r="E39" s="7">
        <v>44403</v>
      </c>
      <c r="F39" s="18">
        <v>53540</v>
      </c>
      <c r="G39" s="6" t="s">
        <v>16</v>
      </c>
      <c r="H39" s="6" t="s">
        <v>205</v>
      </c>
      <c r="I39" s="8">
        <f ca="1">(TODAY()-staff[[#This Row],[Date Joined]])/365</f>
        <v>1.9589041095890412</v>
      </c>
      <c r="J39" s="18">
        <f ca="1">ROUNDUP(IF(I39&gt;2,3%,2%)*staff[Salary],0)</f>
        <v>1071</v>
      </c>
      <c r="K39" s="22">
        <f>VLOOKUP(staff[[#This Row],[Rating]],rating[],2,FALSE)</f>
        <v>3</v>
      </c>
    </row>
    <row r="40" spans="1:11">
      <c r="A40" s="6" t="s">
        <v>65</v>
      </c>
      <c r="B40" s="6" t="s">
        <v>15</v>
      </c>
      <c r="C40" s="6" t="s">
        <v>19</v>
      </c>
      <c r="D40" s="6">
        <v>32</v>
      </c>
      <c r="E40" s="7">
        <v>44465</v>
      </c>
      <c r="F40" s="18">
        <v>53540</v>
      </c>
      <c r="G40" s="6" t="s">
        <v>16</v>
      </c>
      <c r="H40" s="6" t="s">
        <v>207</v>
      </c>
      <c r="I40" s="8">
        <f ca="1">(TODAY()-staff[[#This Row],[Date Joined]])/365</f>
        <v>1.789041095890411</v>
      </c>
      <c r="J40" s="18">
        <f ca="1">ROUNDUP(IF(I40&gt;2,3%,2%)*staff[Salary],0)</f>
        <v>1071</v>
      </c>
      <c r="K40" s="22">
        <f>VLOOKUP(staff[[#This Row],[Rating]],rating[],2,FALSE)</f>
        <v>3</v>
      </c>
    </row>
    <row r="41" spans="1:11">
      <c r="A41" s="6" t="s">
        <v>46</v>
      </c>
      <c r="B41" s="6" t="s">
        <v>15</v>
      </c>
      <c r="C41" s="6" t="s">
        <v>9</v>
      </c>
      <c r="D41" s="6">
        <v>26</v>
      </c>
      <c r="E41" s="7">
        <v>44411</v>
      </c>
      <c r="F41" s="18">
        <v>53540</v>
      </c>
      <c r="G41" s="6" t="s">
        <v>16</v>
      </c>
      <c r="H41" s="6" t="s">
        <v>207</v>
      </c>
      <c r="I41" s="8">
        <f ca="1">(TODAY()-staff[[#This Row],[Date Joined]])/365</f>
        <v>1.9369863013698629</v>
      </c>
      <c r="J41" s="18">
        <f ca="1">ROUNDUP(IF(I41&gt;2,3%,2%)*staff[Salary],0)</f>
        <v>1071</v>
      </c>
      <c r="K41" s="22">
        <f>VLOOKUP(staff[[#This Row],[Rating]],rating[],2,FALSE)</f>
        <v>3</v>
      </c>
    </row>
    <row r="42" spans="1:11">
      <c r="A42" s="6" t="s">
        <v>174</v>
      </c>
      <c r="B42" s="6" t="s">
        <v>15</v>
      </c>
      <c r="C42" s="6" t="s">
        <v>12</v>
      </c>
      <c r="D42" s="6">
        <v>33</v>
      </c>
      <c r="E42" s="7">
        <v>44448</v>
      </c>
      <c r="F42" s="18">
        <v>53870</v>
      </c>
      <c r="G42" s="6" t="s">
        <v>16</v>
      </c>
      <c r="H42" s="6" t="s">
        <v>205</v>
      </c>
      <c r="I42" s="8">
        <f ca="1">(TODAY()-staff[[#This Row],[Date Joined]])/365</f>
        <v>1.8356164383561644</v>
      </c>
      <c r="J42" s="18">
        <f ca="1">ROUNDUP(IF(I42&gt;2,3%,2%)*staff[Salary],0)</f>
        <v>1078</v>
      </c>
      <c r="K42" s="22">
        <f>VLOOKUP(staff[[#This Row],[Rating]],rating[],2,FALSE)</f>
        <v>3</v>
      </c>
    </row>
    <row r="43" spans="1:11">
      <c r="A43" s="6" t="s">
        <v>82</v>
      </c>
      <c r="B43" s="6" t="s">
        <v>15</v>
      </c>
      <c r="C43" s="6" t="s">
        <v>12</v>
      </c>
      <c r="D43" s="6">
        <v>33</v>
      </c>
      <c r="E43" s="7">
        <v>44509</v>
      </c>
      <c r="F43" s="18">
        <v>53870</v>
      </c>
      <c r="G43" s="6" t="s">
        <v>16</v>
      </c>
      <c r="H43" s="6" t="s">
        <v>207</v>
      </c>
      <c r="I43" s="8">
        <f ca="1">(TODAY()-staff[[#This Row],[Date Joined]])/365</f>
        <v>1.6684931506849314</v>
      </c>
      <c r="J43" s="18">
        <f ca="1">ROUNDUP(IF(I43&gt;2,3%,2%)*staff[Salary],0)</f>
        <v>1078</v>
      </c>
      <c r="K43" s="22">
        <f>VLOOKUP(staff[[#This Row],[Rating]],rating[],2,FALSE)</f>
        <v>3</v>
      </c>
    </row>
    <row r="44" spans="1:11">
      <c r="A44" s="6" t="s">
        <v>182</v>
      </c>
      <c r="B44" s="6" t="s">
        <v>15</v>
      </c>
      <c r="C44" s="6" t="s">
        <v>19</v>
      </c>
      <c r="D44" s="6">
        <v>27</v>
      </c>
      <c r="E44" s="7">
        <v>44073</v>
      </c>
      <c r="F44" s="18">
        <v>54970</v>
      </c>
      <c r="G44" s="6" t="s">
        <v>16</v>
      </c>
      <c r="H44" s="6" t="s">
        <v>205</v>
      </c>
      <c r="I44" s="8">
        <f ca="1">(TODAY()-staff[[#This Row],[Date Joined]])/365</f>
        <v>2.8630136986301369</v>
      </c>
      <c r="J44" s="18">
        <f ca="1">ROUNDUP(IF(I44&gt;2,3%,2%)*staff[Salary],0)</f>
        <v>1650</v>
      </c>
      <c r="K44" s="22">
        <f>VLOOKUP(staff[[#This Row],[Rating]],rating[],2,FALSE)</f>
        <v>3</v>
      </c>
    </row>
    <row r="45" spans="1:11">
      <c r="A45" s="6" t="s">
        <v>89</v>
      </c>
      <c r="B45" s="6" t="s">
        <v>15</v>
      </c>
      <c r="C45" s="6" t="s">
        <v>19</v>
      </c>
      <c r="D45" s="6">
        <v>27</v>
      </c>
      <c r="E45" s="7">
        <v>44134</v>
      </c>
      <c r="F45" s="18">
        <v>54970</v>
      </c>
      <c r="G45" s="6" t="s">
        <v>16</v>
      </c>
      <c r="H45" s="6" t="s">
        <v>207</v>
      </c>
      <c r="I45" s="8">
        <f ca="1">(TODAY()-staff[[#This Row],[Date Joined]])/365</f>
        <v>2.6958904109589041</v>
      </c>
      <c r="J45" s="18">
        <f ca="1">ROUNDUP(IF(I45&gt;2,3%,2%)*staff[Salary],0)</f>
        <v>1650</v>
      </c>
      <c r="K45" s="22">
        <f>VLOOKUP(staff[[#This Row],[Rating]],rating[],2,FALSE)</f>
        <v>3</v>
      </c>
    </row>
    <row r="46" spans="1:11">
      <c r="A46" s="6" t="s">
        <v>202</v>
      </c>
      <c r="B46" s="6" t="s">
        <v>8</v>
      </c>
      <c r="C46" s="6" t="s">
        <v>19</v>
      </c>
      <c r="D46" s="6">
        <v>38</v>
      </c>
      <c r="E46" s="7">
        <v>44268</v>
      </c>
      <c r="F46" s="18">
        <v>56870</v>
      </c>
      <c r="G46" s="6" t="s">
        <v>13</v>
      </c>
      <c r="H46" s="6" t="s">
        <v>205</v>
      </c>
      <c r="I46" s="8">
        <f ca="1">(TODAY()-staff[[#This Row],[Date Joined]])/365</f>
        <v>2.3287671232876712</v>
      </c>
      <c r="J46" s="18">
        <f ca="1">ROUNDUP(IF(I46&gt;2,3%,2%)*staff[Salary],0)</f>
        <v>1707</v>
      </c>
      <c r="K46" s="22">
        <f>VLOOKUP(staff[[#This Row],[Rating]],rating[],2,FALSE)</f>
        <v>4</v>
      </c>
    </row>
    <row r="47" spans="1:11">
      <c r="A47" s="6" t="s">
        <v>109</v>
      </c>
      <c r="B47" s="6" t="s">
        <v>8</v>
      </c>
      <c r="C47" s="6" t="s">
        <v>19</v>
      </c>
      <c r="D47" s="6">
        <v>38</v>
      </c>
      <c r="E47" s="7">
        <v>44329</v>
      </c>
      <c r="F47" s="18">
        <v>56870</v>
      </c>
      <c r="G47" s="6" t="s">
        <v>13</v>
      </c>
      <c r="H47" s="6" t="s">
        <v>207</v>
      </c>
      <c r="I47" s="8">
        <f ca="1">(TODAY()-staff[[#This Row],[Date Joined]])/365</f>
        <v>2.1616438356164385</v>
      </c>
      <c r="J47" s="18">
        <f ca="1">ROUNDUP(IF(I47&gt;2,3%,2%)*staff[Salary],0)</f>
        <v>1707</v>
      </c>
      <c r="K47" s="22">
        <f>VLOOKUP(staff[[#This Row],[Rating]],rating[],2,FALSE)</f>
        <v>4</v>
      </c>
    </row>
    <row r="48" spans="1:11">
      <c r="A48" s="6" t="s">
        <v>125</v>
      </c>
      <c r="B48" s="6" t="s">
        <v>15</v>
      </c>
      <c r="C48" s="6" t="s">
        <v>9</v>
      </c>
      <c r="D48" s="6">
        <v>21</v>
      </c>
      <c r="E48" s="7">
        <v>44701</v>
      </c>
      <c r="F48" s="18">
        <v>57090</v>
      </c>
      <c r="G48" s="6" t="s">
        <v>16</v>
      </c>
      <c r="H48" s="6" t="s">
        <v>205</v>
      </c>
      <c r="I48" s="8">
        <f ca="1">(TODAY()-staff[[#This Row],[Date Joined]])/365</f>
        <v>1.1424657534246576</v>
      </c>
      <c r="J48" s="18">
        <f ca="1">ROUNDUP(IF(I48&gt;2,3%,2%)*staff[Salary],0)</f>
        <v>1142</v>
      </c>
      <c r="K48" s="22">
        <f>VLOOKUP(staff[[#This Row],[Rating]],rating[],2,FALSE)</f>
        <v>3</v>
      </c>
    </row>
    <row r="49" spans="1:11">
      <c r="A49" s="6" t="s">
        <v>31</v>
      </c>
      <c r="B49" s="6" t="s">
        <v>15</v>
      </c>
      <c r="C49" s="6" t="s">
        <v>9</v>
      </c>
      <c r="D49" s="6">
        <v>21</v>
      </c>
      <c r="E49" s="7">
        <v>44762</v>
      </c>
      <c r="F49" s="18">
        <v>57090</v>
      </c>
      <c r="G49" s="6" t="s">
        <v>16</v>
      </c>
      <c r="H49" s="6" t="s">
        <v>207</v>
      </c>
      <c r="I49" s="8">
        <f ca="1">(TODAY()-staff[[#This Row],[Date Joined]])/365</f>
        <v>0.97534246575342465</v>
      </c>
      <c r="J49" s="18">
        <f ca="1">ROUNDUP(IF(I49&gt;2,3%,2%)*staff[Salary],0)</f>
        <v>1142</v>
      </c>
      <c r="K49" s="22">
        <f>VLOOKUP(staff[[#This Row],[Rating]],rating[],2,FALSE)</f>
        <v>3</v>
      </c>
    </row>
    <row r="50" spans="1:11">
      <c r="A50" s="6" t="s">
        <v>120</v>
      </c>
      <c r="B50" s="6" t="s">
        <v>8</v>
      </c>
      <c r="C50" s="6" t="s">
        <v>12</v>
      </c>
      <c r="D50" s="6">
        <v>31</v>
      </c>
      <c r="E50" s="7">
        <v>44604</v>
      </c>
      <c r="F50" s="18">
        <v>58100</v>
      </c>
      <c r="G50" s="6" t="s">
        <v>16</v>
      </c>
      <c r="H50" s="6" t="s">
        <v>205</v>
      </c>
      <c r="I50" s="8">
        <f ca="1">(TODAY()-staff[[#This Row],[Date Joined]])/365</f>
        <v>1.4082191780821918</v>
      </c>
      <c r="J50" s="18">
        <f ca="1">ROUNDUP(IF(I50&gt;2,3%,2%)*staff[Salary],0)</f>
        <v>1162</v>
      </c>
      <c r="K50" s="22">
        <f>VLOOKUP(staff[[#This Row],[Rating]],rating[],2,FALSE)</f>
        <v>3</v>
      </c>
    </row>
    <row r="51" spans="1:11">
      <c r="A51" s="6" t="s">
        <v>26</v>
      </c>
      <c r="B51" s="6" t="s">
        <v>8</v>
      </c>
      <c r="C51" s="6" t="s">
        <v>12</v>
      </c>
      <c r="D51" s="6">
        <v>31</v>
      </c>
      <c r="E51" s="7">
        <v>44663</v>
      </c>
      <c r="F51" s="18">
        <v>58100</v>
      </c>
      <c r="G51" s="6" t="s">
        <v>16</v>
      </c>
      <c r="H51" s="6" t="s">
        <v>207</v>
      </c>
      <c r="I51" s="8">
        <f ca="1">(TODAY()-staff[[#This Row],[Date Joined]])/365</f>
        <v>1.2465753424657535</v>
      </c>
      <c r="J51" s="18">
        <f ca="1">ROUNDUP(IF(I51&gt;2,3%,2%)*staff[Salary],0)</f>
        <v>1162</v>
      </c>
      <c r="K51" s="22">
        <f>VLOOKUP(staff[[#This Row],[Rating]],rating[],2,FALSE)</f>
        <v>3</v>
      </c>
    </row>
    <row r="52" spans="1:11">
      <c r="A52" s="6" t="s">
        <v>130</v>
      </c>
      <c r="B52" s="6" t="s">
        <v>8</v>
      </c>
      <c r="C52" s="6" t="s">
        <v>21</v>
      </c>
      <c r="D52" s="6">
        <v>34</v>
      </c>
      <c r="E52" s="7">
        <v>44594</v>
      </c>
      <c r="F52" s="18">
        <v>58940</v>
      </c>
      <c r="G52" s="6" t="s">
        <v>16</v>
      </c>
      <c r="H52" s="6" t="s">
        <v>205</v>
      </c>
      <c r="I52" s="8">
        <f ca="1">(TODAY()-staff[[#This Row],[Date Joined]])/365</f>
        <v>1.4356164383561645</v>
      </c>
      <c r="J52" s="18">
        <f ca="1">ROUNDUP(IF(I52&gt;2,3%,2%)*staff[Salary],0)</f>
        <v>1179</v>
      </c>
      <c r="K52" s="22">
        <f>VLOOKUP(staff[[#This Row],[Rating]],rating[],2,FALSE)</f>
        <v>3</v>
      </c>
    </row>
    <row r="53" spans="1:11">
      <c r="A53" s="6" t="s">
        <v>36</v>
      </c>
      <c r="B53" s="6" t="s">
        <v>8</v>
      </c>
      <c r="C53" s="6" t="s">
        <v>21</v>
      </c>
      <c r="D53" s="6">
        <v>34</v>
      </c>
      <c r="E53" s="7">
        <v>44653</v>
      </c>
      <c r="F53" s="18">
        <v>58940</v>
      </c>
      <c r="G53" s="6" t="s">
        <v>16</v>
      </c>
      <c r="H53" s="6" t="s">
        <v>207</v>
      </c>
      <c r="I53" s="8">
        <f ca="1">(TODAY()-staff[[#This Row],[Date Joined]])/365</f>
        <v>1.273972602739726</v>
      </c>
      <c r="J53" s="18">
        <f ca="1">ROUNDUP(IF(I53&gt;2,3%,2%)*staff[Salary],0)</f>
        <v>1179</v>
      </c>
      <c r="K53" s="22">
        <f>VLOOKUP(staff[[#This Row],[Rating]],rating[],2,FALSE)</f>
        <v>3</v>
      </c>
    </row>
    <row r="54" spans="1:11">
      <c r="A54" s="6" t="s">
        <v>193</v>
      </c>
      <c r="B54" s="6" t="s">
        <v>15</v>
      </c>
      <c r="C54" s="6" t="s">
        <v>9</v>
      </c>
      <c r="D54" s="6">
        <v>19</v>
      </c>
      <c r="E54" s="7">
        <v>44218</v>
      </c>
      <c r="F54" s="18">
        <v>58960</v>
      </c>
      <c r="G54" s="6" t="s">
        <v>16</v>
      </c>
      <c r="H54" s="6" t="s">
        <v>205</v>
      </c>
      <c r="I54" s="8">
        <f ca="1">(TODAY()-staff[[#This Row],[Date Joined]])/365</f>
        <v>2.4657534246575343</v>
      </c>
      <c r="J54" s="18">
        <f ca="1">ROUNDUP(IF(I54&gt;2,3%,2%)*staff[Salary],0)</f>
        <v>1769</v>
      </c>
      <c r="K54" s="22">
        <f>VLOOKUP(staff[[#This Row],[Rating]],rating[],2,FALSE)</f>
        <v>3</v>
      </c>
    </row>
    <row r="55" spans="1:11">
      <c r="A55" s="6" t="s">
        <v>100</v>
      </c>
      <c r="B55" s="6" t="s">
        <v>15</v>
      </c>
      <c r="C55" s="6" t="s">
        <v>9</v>
      </c>
      <c r="D55" s="6">
        <v>19</v>
      </c>
      <c r="E55" s="7">
        <v>44277</v>
      </c>
      <c r="F55" s="18">
        <v>58960</v>
      </c>
      <c r="G55" s="6" t="s">
        <v>16</v>
      </c>
      <c r="H55" s="6" t="s">
        <v>207</v>
      </c>
      <c r="I55" s="8">
        <f ca="1">(TODAY()-staff[[#This Row],[Date Joined]])/365</f>
        <v>2.3041095890410959</v>
      </c>
      <c r="J55" s="18">
        <f ca="1">ROUNDUP(IF(I55&gt;2,3%,2%)*staff[Salary],0)</f>
        <v>1769</v>
      </c>
      <c r="K55" s="22">
        <f>VLOOKUP(staff[[#This Row],[Rating]],rating[],2,FALSE)</f>
        <v>3</v>
      </c>
    </row>
    <row r="56" spans="1:11">
      <c r="A56" s="6" t="s">
        <v>171</v>
      </c>
      <c r="B56" s="6" t="s">
        <v>15</v>
      </c>
      <c r="C56" s="6" t="s">
        <v>21</v>
      </c>
      <c r="D56" s="6">
        <v>33</v>
      </c>
      <c r="E56" s="7">
        <v>44181</v>
      </c>
      <c r="F56" s="18">
        <v>59430</v>
      </c>
      <c r="G56" s="6" t="s">
        <v>16</v>
      </c>
      <c r="H56" s="6" t="s">
        <v>205</v>
      </c>
      <c r="I56" s="8">
        <f ca="1">(TODAY()-staff[[#This Row],[Date Joined]])/365</f>
        <v>2.5671232876712327</v>
      </c>
      <c r="J56" s="18">
        <f ca="1">ROUNDUP(IF(I56&gt;2,3%,2%)*staff[Salary],0)</f>
        <v>1783</v>
      </c>
      <c r="K56" s="22">
        <f>VLOOKUP(staff[[#This Row],[Rating]],rating[],2,FALSE)</f>
        <v>3</v>
      </c>
    </row>
    <row r="57" spans="1:11">
      <c r="A57" s="6" t="s">
        <v>79</v>
      </c>
      <c r="B57" s="6" t="s">
        <v>15</v>
      </c>
      <c r="C57" s="6" t="s">
        <v>21</v>
      </c>
      <c r="D57" s="6">
        <v>33</v>
      </c>
      <c r="E57" s="7">
        <v>44243</v>
      </c>
      <c r="F57" s="18">
        <v>59430</v>
      </c>
      <c r="G57" s="6" t="s">
        <v>16</v>
      </c>
      <c r="H57" s="6" t="s">
        <v>207</v>
      </c>
      <c r="I57" s="8">
        <f ca="1">(TODAY()-staff[[#This Row],[Date Joined]])/365</f>
        <v>2.3972602739726026</v>
      </c>
      <c r="J57" s="18">
        <f ca="1">ROUNDUP(IF(I57&gt;2,3%,2%)*staff[Salary],0)</f>
        <v>1783</v>
      </c>
      <c r="K57" s="22">
        <f>VLOOKUP(staff[[#This Row],[Rating]],rating[],2,FALSE)</f>
        <v>3</v>
      </c>
    </row>
    <row r="58" spans="1:11">
      <c r="A58" s="6" t="s">
        <v>132</v>
      </c>
      <c r="B58" s="6" t="s">
        <v>8</v>
      </c>
      <c r="C58" s="6" t="s">
        <v>21</v>
      </c>
      <c r="D58" s="6">
        <v>34</v>
      </c>
      <c r="E58" s="7">
        <v>44550</v>
      </c>
      <c r="F58" s="18">
        <v>60130</v>
      </c>
      <c r="G58" s="6" t="s">
        <v>16</v>
      </c>
      <c r="H58" s="6" t="s">
        <v>205</v>
      </c>
      <c r="I58" s="8">
        <f ca="1">(TODAY()-staff[[#This Row],[Date Joined]])/365</f>
        <v>1.5561643835616439</v>
      </c>
      <c r="J58" s="18">
        <f ca="1">ROUNDUP(IF(I58&gt;2,3%,2%)*staff[Salary],0)</f>
        <v>1203</v>
      </c>
      <c r="K58" s="22">
        <f>VLOOKUP(staff[[#This Row],[Rating]],rating[],2,FALSE)</f>
        <v>3</v>
      </c>
    </row>
    <row r="59" spans="1:11">
      <c r="A59" s="6" t="s">
        <v>38</v>
      </c>
      <c r="B59" s="6" t="s">
        <v>8</v>
      </c>
      <c r="C59" s="6" t="s">
        <v>21</v>
      </c>
      <c r="D59" s="6">
        <v>34</v>
      </c>
      <c r="E59" s="7">
        <v>44612</v>
      </c>
      <c r="F59" s="18">
        <v>60130</v>
      </c>
      <c r="G59" s="6" t="s">
        <v>16</v>
      </c>
      <c r="H59" s="6" t="s">
        <v>207</v>
      </c>
      <c r="I59" s="8">
        <f ca="1">(TODAY()-staff[[#This Row],[Date Joined]])/365</f>
        <v>1.3863013698630138</v>
      </c>
      <c r="J59" s="18">
        <f ca="1">ROUNDUP(IF(I59&gt;2,3%,2%)*staff[Salary],0)</f>
        <v>1203</v>
      </c>
      <c r="K59" s="22">
        <f>VLOOKUP(staff[[#This Row],[Rating]],rating[],2,FALSE)</f>
        <v>3</v>
      </c>
    </row>
    <row r="60" spans="1:11">
      <c r="A60" s="6" t="s">
        <v>131</v>
      </c>
      <c r="B60" s="6" t="s">
        <v>15</v>
      </c>
      <c r="C60" s="6" t="s">
        <v>9</v>
      </c>
      <c r="D60" s="6">
        <v>30</v>
      </c>
      <c r="E60" s="7">
        <v>44607</v>
      </c>
      <c r="F60" s="18">
        <v>60570</v>
      </c>
      <c r="G60" s="6" t="s">
        <v>16</v>
      </c>
      <c r="H60" s="6" t="s">
        <v>205</v>
      </c>
      <c r="I60" s="8">
        <f ca="1">(TODAY()-staff[[#This Row],[Date Joined]])/365</f>
        <v>1.4</v>
      </c>
      <c r="J60" s="18">
        <f ca="1">ROUNDUP(IF(I60&gt;2,3%,2%)*staff[Salary],0)</f>
        <v>1212</v>
      </c>
      <c r="K60" s="22">
        <f>VLOOKUP(staff[[#This Row],[Rating]],rating[],2,FALSE)</f>
        <v>3</v>
      </c>
    </row>
    <row r="61" spans="1:11">
      <c r="A61" s="6" t="s">
        <v>37</v>
      </c>
      <c r="B61" s="6" t="s">
        <v>15</v>
      </c>
      <c r="C61" s="6" t="s">
        <v>9</v>
      </c>
      <c r="D61" s="6">
        <v>30</v>
      </c>
      <c r="E61" s="7">
        <v>44666</v>
      </c>
      <c r="F61" s="18">
        <v>60570</v>
      </c>
      <c r="G61" s="6" t="s">
        <v>16</v>
      </c>
      <c r="H61" s="6" t="s">
        <v>207</v>
      </c>
      <c r="I61" s="8">
        <f ca="1">(TODAY()-staff[[#This Row],[Date Joined]])/365</f>
        <v>1.2383561643835617</v>
      </c>
      <c r="J61" s="18">
        <f ca="1">ROUNDUP(IF(I61&gt;2,3%,2%)*staff[Salary],0)</f>
        <v>1212</v>
      </c>
      <c r="K61" s="22">
        <f>VLOOKUP(staff[[#This Row],[Rating]],rating[],2,FALSE)</f>
        <v>3</v>
      </c>
    </row>
    <row r="62" spans="1:11">
      <c r="A62" s="6" t="s">
        <v>153</v>
      </c>
      <c r="B62" s="6" t="s">
        <v>8</v>
      </c>
      <c r="C62" s="6" t="s">
        <v>12</v>
      </c>
      <c r="D62" s="6">
        <v>24</v>
      </c>
      <c r="E62" s="7">
        <v>44087</v>
      </c>
      <c r="F62" s="18">
        <v>62780</v>
      </c>
      <c r="G62" s="6" t="s">
        <v>16</v>
      </c>
      <c r="H62" s="6" t="s">
        <v>205</v>
      </c>
      <c r="I62" s="8">
        <f ca="1">(TODAY()-staff[[#This Row],[Date Joined]])/365</f>
        <v>2.8246575342465752</v>
      </c>
      <c r="J62" s="18">
        <f ca="1">ROUNDUP(IF(I62&gt;2,3%,2%)*staff[Salary],0)</f>
        <v>1884</v>
      </c>
      <c r="K62" s="22">
        <f>VLOOKUP(staff[[#This Row],[Rating]],rating[],2,FALSE)</f>
        <v>3</v>
      </c>
    </row>
    <row r="63" spans="1:11">
      <c r="A63" s="6" t="s">
        <v>61</v>
      </c>
      <c r="B63" s="6" t="s">
        <v>8</v>
      </c>
      <c r="C63" s="6" t="s">
        <v>12</v>
      </c>
      <c r="D63" s="6">
        <v>24</v>
      </c>
      <c r="E63" s="7">
        <v>44148</v>
      </c>
      <c r="F63" s="18">
        <v>62780</v>
      </c>
      <c r="G63" s="6" t="s">
        <v>16</v>
      </c>
      <c r="H63" s="6" t="s">
        <v>207</v>
      </c>
      <c r="I63" s="8">
        <f ca="1">(TODAY()-staff[[#This Row],[Date Joined]])/365</f>
        <v>2.6575342465753424</v>
      </c>
      <c r="J63" s="18">
        <f ca="1">ROUNDUP(IF(I63&gt;2,3%,2%)*staff[Salary],0)</f>
        <v>1884</v>
      </c>
      <c r="K63" s="22">
        <f>VLOOKUP(staff[[#This Row],[Rating]],rating[],2,FALSE)</f>
        <v>3</v>
      </c>
    </row>
    <row r="64" spans="1:11">
      <c r="A64" s="6" t="s">
        <v>116</v>
      </c>
      <c r="B64" s="6" t="s">
        <v>206</v>
      </c>
      <c r="C64" s="6" t="s">
        <v>21</v>
      </c>
      <c r="D64" s="6">
        <v>30</v>
      </c>
      <c r="E64" s="7">
        <v>44535</v>
      </c>
      <c r="F64" s="18">
        <v>64000</v>
      </c>
      <c r="G64" s="6" t="s">
        <v>16</v>
      </c>
      <c r="H64" s="6" t="s">
        <v>205</v>
      </c>
      <c r="I64" s="8">
        <f ca="1">(TODAY()-staff[[#This Row],[Date Joined]])/365</f>
        <v>1.5972602739726027</v>
      </c>
      <c r="J64" s="18">
        <f ca="1">ROUNDUP(IF(I64&gt;2,3%,2%)*staff[Salary],0)</f>
        <v>1280</v>
      </c>
      <c r="K64" s="22">
        <f>VLOOKUP(staff[[#This Row],[Rating]],rating[],2,FALSE)</f>
        <v>3</v>
      </c>
    </row>
    <row r="65" spans="1:11">
      <c r="A65" s="6" t="s">
        <v>20</v>
      </c>
      <c r="B65" s="6" t="s">
        <v>206</v>
      </c>
      <c r="C65" s="6" t="s">
        <v>21</v>
      </c>
      <c r="D65" s="6">
        <v>30</v>
      </c>
      <c r="E65" s="7">
        <v>44597</v>
      </c>
      <c r="F65" s="18">
        <v>64000</v>
      </c>
      <c r="G65" s="6" t="s">
        <v>16</v>
      </c>
      <c r="H65" s="6" t="s">
        <v>207</v>
      </c>
      <c r="I65" s="8">
        <f ca="1">(TODAY()-staff[[#This Row],[Date Joined]])/365</f>
        <v>1.4273972602739726</v>
      </c>
      <c r="J65" s="18">
        <f ca="1">ROUNDUP(IF(I65&gt;2,3%,2%)*staff[Salary],0)</f>
        <v>1280</v>
      </c>
      <c r="K65" s="22">
        <f>VLOOKUP(staff[[#This Row],[Rating]],rating[],2,FALSE)</f>
        <v>3</v>
      </c>
    </row>
    <row r="66" spans="1:11">
      <c r="A66" s="6" t="s">
        <v>186</v>
      </c>
      <c r="B66" s="6" t="s">
        <v>8</v>
      </c>
      <c r="C66" s="6" t="s">
        <v>21</v>
      </c>
      <c r="D66" s="6">
        <v>33</v>
      </c>
      <c r="E66" s="7">
        <v>44006</v>
      </c>
      <c r="F66" s="18">
        <v>65360</v>
      </c>
      <c r="G66" s="6" t="s">
        <v>16</v>
      </c>
      <c r="H66" s="6" t="s">
        <v>205</v>
      </c>
      <c r="I66" s="8">
        <f ca="1">(TODAY()-staff[[#This Row],[Date Joined]])/365</f>
        <v>3.0465753424657533</v>
      </c>
      <c r="J66" s="18">
        <f ca="1">ROUNDUP(IF(I66&gt;2,3%,2%)*staff[Salary],0)</f>
        <v>1961</v>
      </c>
      <c r="K66" s="22">
        <f>VLOOKUP(staff[[#This Row],[Rating]],rating[],2,FALSE)</f>
        <v>3</v>
      </c>
    </row>
    <row r="67" spans="1:11">
      <c r="A67" s="6" t="s">
        <v>93</v>
      </c>
      <c r="B67" s="6" t="s">
        <v>8</v>
      </c>
      <c r="C67" s="6" t="s">
        <v>21</v>
      </c>
      <c r="D67" s="6">
        <v>33</v>
      </c>
      <c r="E67" s="7">
        <v>44067</v>
      </c>
      <c r="F67" s="18">
        <v>65360</v>
      </c>
      <c r="G67" s="6" t="s">
        <v>16</v>
      </c>
      <c r="H67" s="6" t="s">
        <v>207</v>
      </c>
      <c r="I67" s="8">
        <f ca="1">(TODAY()-staff[[#This Row],[Date Joined]])/365</f>
        <v>2.8794520547945206</v>
      </c>
      <c r="J67" s="18">
        <f ca="1">ROUNDUP(IF(I67&gt;2,3%,2%)*staff[Salary],0)</f>
        <v>1961</v>
      </c>
      <c r="K67" s="22">
        <f>VLOOKUP(staff[[#This Row],[Rating]],rating[],2,FALSE)</f>
        <v>3</v>
      </c>
    </row>
    <row r="68" spans="1:11">
      <c r="A68" s="6" t="s">
        <v>168</v>
      </c>
      <c r="B68" s="6" t="s">
        <v>15</v>
      </c>
      <c r="C68" s="6" t="s">
        <v>19</v>
      </c>
      <c r="D68" s="6">
        <v>25</v>
      </c>
      <c r="E68" s="7">
        <v>44322</v>
      </c>
      <c r="F68" s="18">
        <v>65700</v>
      </c>
      <c r="G68" s="6" t="s">
        <v>16</v>
      </c>
      <c r="H68" s="6" t="s">
        <v>205</v>
      </c>
      <c r="I68" s="8">
        <f ca="1">(TODAY()-staff[[#This Row],[Date Joined]])/365</f>
        <v>2.1808219178082191</v>
      </c>
      <c r="J68" s="18">
        <f ca="1">ROUNDUP(IF(I68&gt;2,3%,2%)*staff[Salary],0)</f>
        <v>1971</v>
      </c>
      <c r="K68" s="22">
        <f>VLOOKUP(staff[[#This Row],[Rating]],rating[],2,FALSE)</f>
        <v>3</v>
      </c>
    </row>
    <row r="69" spans="1:11">
      <c r="A69" s="6" t="s">
        <v>76</v>
      </c>
      <c r="B69" s="6" t="s">
        <v>15</v>
      </c>
      <c r="C69" s="6" t="s">
        <v>19</v>
      </c>
      <c r="D69" s="6">
        <v>25</v>
      </c>
      <c r="E69" s="7">
        <v>44383</v>
      </c>
      <c r="F69" s="18">
        <v>65700</v>
      </c>
      <c r="G69" s="6" t="s">
        <v>16</v>
      </c>
      <c r="H69" s="6" t="s">
        <v>207</v>
      </c>
      <c r="I69" s="8">
        <f ca="1">(TODAY()-staff[[#This Row],[Date Joined]])/365</f>
        <v>2.0136986301369864</v>
      </c>
      <c r="J69" s="18">
        <f ca="1">ROUNDUP(IF(I69&gt;2,3%,2%)*staff[Salary],0)</f>
        <v>1971</v>
      </c>
      <c r="K69" s="22">
        <f>VLOOKUP(staff[[#This Row],[Rating]],rating[],2,FALSE)</f>
        <v>3</v>
      </c>
    </row>
    <row r="70" spans="1:11">
      <c r="A70" s="6" t="s">
        <v>126</v>
      </c>
      <c r="B70" s="6" t="s">
        <v>8</v>
      </c>
      <c r="C70" s="6" t="s">
        <v>21</v>
      </c>
      <c r="D70" s="6">
        <v>21</v>
      </c>
      <c r="E70" s="7">
        <v>44256</v>
      </c>
      <c r="F70" s="18">
        <v>65920</v>
      </c>
      <c r="G70" s="6" t="s">
        <v>16</v>
      </c>
      <c r="H70" s="6" t="s">
        <v>205</v>
      </c>
      <c r="I70" s="8">
        <f ca="1">(TODAY()-staff[[#This Row],[Date Joined]])/365</f>
        <v>2.3616438356164382</v>
      </c>
      <c r="J70" s="18">
        <f ca="1">ROUNDUP(IF(I70&gt;2,3%,2%)*staff[Salary],0)</f>
        <v>1978</v>
      </c>
      <c r="K70" s="22">
        <f>VLOOKUP(staff[[#This Row],[Rating]],rating[],2,FALSE)</f>
        <v>3</v>
      </c>
    </row>
    <row r="71" spans="1:11">
      <c r="A71" s="6" t="s">
        <v>32</v>
      </c>
      <c r="B71" s="6" t="s">
        <v>8</v>
      </c>
      <c r="C71" s="6" t="s">
        <v>21</v>
      </c>
      <c r="D71" s="6">
        <v>21</v>
      </c>
      <c r="E71" s="7">
        <v>44317</v>
      </c>
      <c r="F71" s="18">
        <v>65920</v>
      </c>
      <c r="G71" s="6" t="s">
        <v>16</v>
      </c>
      <c r="H71" s="6" t="s">
        <v>207</v>
      </c>
      <c r="I71" s="8">
        <f ca="1">(TODAY()-staff[[#This Row],[Date Joined]])/365</f>
        <v>2.1945205479452055</v>
      </c>
      <c r="J71" s="18">
        <f ca="1">ROUNDUP(IF(I71&gt;2,3%,2%)*staff[Salary],0)</f>
        <v>1978</v>
      </c>
      <c r="K71" s="22">
        <f>VLOOKUP(staff[[#This Row],[Rating]],rating[],2,FALSE)</f>
        <v>3</v>
      </c>
    </row>
    <row r="72" spans="1:11">
      <c r="A72" s="6" t="s">
        <v>121</v>
      </c>
      <c r="B72" s="6" t="s">
        <v>8</v>
      </c>
      <c r="C72" s="6" t="s">
        <v>21</v>
      </c>
      <c r="D72" s="6">
        <v>30</v>
      </c>
      <c r="E72" s="7">
        <v>44328</v>
      </c>
      <c r="F72" s="18">
        <v>67910</v>
      </c>
      <c r="G72" s="6" t="s">
        <v>24</v>
      </c>
      <c r="H72" s="6" t="s">
        <v>205</v>
      </c>
      <c r="I72" s="8">
        <f ca="1">(TODAY()-staff[[#This Row],[Date Joined]])/365</f>
        <v>2.1643835616438358</v>
      </c>
      <c r="J72" s="18">
        <f ca="1">ROUNDUP(IF(I72&gt;2,3%,2%)*staff[Salary],0)</f>
        <v>2038</v>
      </c>
      <c r="K72" s="22">
        <f>VLOOKUP(staff[[#This Row],[Rating]],rating[],2,FALSE)</f>
        <v>2</v>
      </c>
    </row>
    <row r="73" spans="1:11">
      <c r="A73" s="6" t="s">
        <v>27</v>
      </c>
      <c r="B73" s="6" t="s">
        <v>8</v>
      </c>
      <c r="C73" s="6" t="s">
        <v>21</v>
      </c>
      <c r="D73" s="6">
        <v>30</v>
      </c>
      <c r="E73" s="7">
        <v>44389</v>
      </c>
      <c r="F73" s="18">
        <v>67910</v>
      </c>
      <c r="G73" s="6" t="s">
        <v>24</v>
      </c>
      <c r="H73" s="6" t="s">
        <v>207</v>
      </c>
      <c r="I73" s="8">
        <f ca="1">(TODAY()-staff[[#This Row],[Date Joined]])/365</f>
        <v>1.9972602739726026</v>
      </c>
      <c r="J73" s="18">
        <f ca="1">ROUNDUP(IF(I73&gt;2,3%,2%)*staff[Salary],0)</f>
        <v>1359</v>
      </c>
      <c r="K73" s="22">
        <f>VLOOKUP(staff[[#This Row],[Rating]],rating[],2,FALSE)</f>
        <v>2</v>
      </c>
    </row>
    <row r="74" spans="1:11">
      <c r="A74" s="6" t="s">
        <v>138</v>
      </c>
      <c r="B74" s="6" t="s">
        <v>15</v>
      </c>
      <c r="C74" s="6" t="s">
        <v>9</v>
      </c>
      <c r="D74" s="6">
        <v>30</v>
      </c>
      <c r="E74" s="7">
        <v>44640</v>
      </c>
      <c r="F74" s="18">
        <v>67950</v>
      </c>
      <c r="G74" s="6" t="s">
        <v>16</v>
      </c>
      <c r="H74" s="6" t="s">
        <v>205</v>
      </c>
      <c r="I74" s="8">
        <f ca="1">(TODAY()-staff[[#This Row],[Date Joined]])/365</f>
        <v>1.3095890410958904</v>
      </c>
      <c r="J74" s="18">
        <f ca="1">ROUNDUP(IF(I74&gt;2,3%,2%)*staff[Salary],0)</f>
        <v>1359</v>
      </c>
      <c r="K74" s="22">
        <f>VLOOKUP(staff[[#This Row],[Rating]],rating[],2,FALSE)</f>
        <v>3</v>
      </c>
    </row>
    <row r="75" spans="1:11">
      <c r="A75" s="6" t="s">
        <v>45</v>
      </c>
      <c r="B75" s="6" t="s">
        <v>15</v>
      </c>
      <c r="C75" s="6" t="s">
        <v>9</v>
      </c>
      <c r="D75" s="6">
        <v>30</v>
      </c>
      <c r="E75" s="7">
        <v>44701</v>
      </c>
      <c r="F75" s="18">
        <v>67950</v>
      </c>
      <c r="G75" s="6" t="s">
        <v>16</v>
      </c>
      <c r="H75" s="6" t="s">
        <v>207</v>
      </c>
      <c r="I75" s="8">
        <f ca="1">(TODAY()-staff[[#This Row],[Date Joined]])/365</f>
        <v>1.1424657534246576</v>
      </c>
      <c r="J75" s="18">
        <f ca="1">ROUNDUP(IF(I75&gt;2,3%,2%)*staff[Salary],0)</f>
        <v>1359</v>
      </c>
      <c r="K75" s="22">
        <f>VLOOKUP(staff[[#This Row],[Rating]],rating[],2,FALSE)</f>
        <v>3</v>
      </c>
    </row>
    <row r="76" spans="1:11">
      <c r="A76" s="6" t="s">
        <v>184</v>
      </c>
      <c r="B76" s="6" t="s">
        <v>8</v>
      </c>
      <c r="C76" s="6" t="s">
        <v>19</v>
      </c>
      <c r="D76" s="6">
        <v>20</v>
      </c>
      <c r="E76" s="7">
        <v>44476</v>
      </c>
      <c r="F76" s="18">
        <v>68900</v>
      </c>
      <c r="G76" s="6" t="s">
        <v>24</v>
      </c>
      <c r="H76" s="6" t="s">
        <v>205</v>
      </c>
      <c r="I76" s="8">
        <f ca="1">(TODAY()-staff[[#This Row],[Date Joined]])/365</f>
        <v>1.7589041095890412</v>
      </c>
      <c r="J76" s="18">
        <f ca="1">ROUNDUP(IF(I76&gt;2,3%,2%)*staff[Salary],0)</f>
        <v>1378</v>
      </c>
      <c r="K76" s="22">
        <f>VLOOKUP(staff[[#This Row],[Rating]],rating[],2,FALSE)</f>
        <v>2</v>
      </c>
    </row>
    <row r="77" spans="1:11">
      <c r="A77" s="6" t="s">
        <v>91</v>
      </c>
      <c r="B77" s="6" t="s">
        <v>8</v>
      </c>
      <c r="C77" s="6" t="s">
        <v>19</v>
      </c>
      <c r="D77" s="6">
        <v>20</v>
      </c>
      <c r="E77" s="7">
        <v>44537</v>
      </c>
      <c r="F77" s="18">
        <v>68900</v>
      </c>
      <c r="G77" s="6" t="s">
        <v>24</v>
      </c>
      <c r="H77" s="6" t="s">
        <v>207</v>
      </c>
      <c r="I77" s="8">
        <f ca="1">(TODAY()-staff[[#This Row],[Date Joined]])/365</f>
        <v>1.5917808219178082</v>
      </c>
      <c r="J77" s="18">
        <f ca="1">ROUNDUP(IF(I77&gt;2,3%,2%)*staff[Salary],0)</f>
        <v>1378</v>
      </c>
      <c r="K77" s="22">
        <f>VLOOKUP(staff[[#This Row],[Rating]],rating[],2,FALSE)</f>
        <v>2</v>
      </c>
    </row>
    <row r="78" spans="1:11">
      <c r="A78" s="6" t="s">
        <v>190</v>
      </c>
      <c r="B78" s="6" t="s">
        <v>15</v>
      </c>
      <c r="C78" s="6" t="s">
        <v>12</v>
      </c>
      <c r="D78" s="6">
        <v>37</v>
      </c>
      <c r="E78" s="7">
        <v>44640</v>
      </c>
      <c r="F78" s="18">
        <v>69070</v>
      </c>
      <c r="G78" s="6" t="s">
        <v>16</v>
      </c>
      <c r="H78" s="6" t="s">
        <v>205</v>
      </c>
      <c r="I78" s="8">
        <f ca="1">(TODAY()-staff[[#This Row],[Date Joined]])/365</f>
        <v>1.3095890410958904</v>
      </c>
      <c r="J78" s="18">
        <f ca="1">ROUNDUP(IF(I78&gt;2,3%,2%)*staff[Salary],0)</f>
        <v>1382</v>
      </c>
      <c r="K78" s="22">
        <f>VLOOKUP(staff[[#This Row],[Rating]],rating[],2,FALSE)</f>
        <v>3</v>
      </c>
    </row>
    <row r="79" spans="1:11">
      <c r="A79" s="6" t="s">
        <v>97</v>
      </c>
      <c r="B79" s="6" t="s">
        <v>15</v>
      </c>
      <c r="C79" s="6" t="s">
        <v>12</v>
      </c>
      <c r="D79" s="6">
        <v>37</v>
      </c>
      <c r="E79" s="7">
        <v>44701</v>
      </c>
      <c r="F79" s="18">
        <v>69070</v>
      </c>
      <c r="G79" s="6" t="s">
        <v>16</v>
      </c>
      <c r="H79" s="6" t="s">
        <v>207</v>
      </c>
      <c r="I79" s="8">
        <f ca="1">(TODAY()-staff[[#This Row],[Date Joined]])/365</f>
        <v>1.1424657534246576</v>
      </c>
      <c r="J79" s="18">
        <f ca="1">ROUNDUP(IF(I79&gt;2,3%,2%)*staff[Salary],0)</f>
        <v>1382</v>
      </c>
      <c r="K79" s="22">
        <f>VLOOKUP(staff[[#This Row],[Rating]],rating[],2,FALSE)</f>
        <v>3</v>
      </c>
    </row>
    <row r="80" spans="1:11">
      <c r="A80" s="6" t="s">
        <v>119</v>
      </c>
      <c r="B80" s="6" t="s">
        <v>15</v>
      </c>
      <c r="C80" s="6" t="s">
        <v>12</v>
      </c>
      <c r="D80" s="6">
        <v>30</v>
      </c>
      <c r="E80" s="7">
        <v>44214</v>
      </c>
      <c r="F80" s="18">
        <v>69120</v>
      </c>
      <c r="G80" s="6" t="s">
        <v>16</v>
      </c>
      <c r="H80" s="6" t="s">
        <v>205</v>
      </c>
      <c r="I80" s="8">
        <f ca="1">(TODAY()-staff[[#This Row],[Date Joined]])/365</f>
        <v>2.4767123287671233</v>
      </c>
      <c r="J80" s="18">
        <f ca="1">ROUNDUP(IF(I80&gt;2,3%,2%)*staff[Salary],0)</f>
        <v>2074</v>
      </c>
      <c r="K80" s="22">
        <f>VLOOKUP(staff[[#This Row],[Rating]],rating[],2,FALSE)</f>
        <v>3</v>
      </c>
    </row>
    <row r="81" spans="1:11">
      <c r="A81" s="6" t="s">
        <v>25</v>
      </c>
      <c r="B81" s="6" t="s">
        <v>15</v>
      </c>
      <c r="C81" s="6" t="s">
        <v>12</v>
      </c>
      <c r="D81" s="6">
        <v>30</v>
      </c>
      <c r="E81" s="7">
        <v>44273</v>
      </c>
      <c r="F81" s="18">
        <v>69120</v>
      </c>
      <c r="G81" s="6" t="s">
        <v>16</v>
      </c>
      <c r="H81" s="6" t="s">
        <v>207</v>
      </c>
      <c r="I81" s="8">
        <f ca="1">(TODAY()-staff[[#This Row],[Date Joined]])/365</f>
        <v>2.3150684931506849</v>
      </c>
      <c r="J81" s="18">
        <f ca="1">ROUNDUP(IF(I81&gt;2,3%,2%)*staff[Salary],0)</f>
        <v>2074</v>
      </c>
      <c r="K81" s="22">
        <f>VLOOKUP(staff[[#This Row],[Rating]],rating[],2,FALSE)</f>
        <v>3</v>
      </c>
    </row>
    <row r="82" spans="1:11">
      <c r="A82" s="6" t="s">
        <v>159</v>
      </c>
      <c r="B82" s="6" t="s">
        <v>15</v>
      </c>
      <c r="C82" s="6" t="s">
        <v>12</v>
      </c>
      <c r="D82" s="6">
        <v>30</v>
      </c>
      <c r="E82" s="7">
        <v>44789</v>
      </c>
      <c r="F82" s="18">
        <v>69710</v>
      </c>
      <c r="G82" s="6" t="s">
        <v>16</v>
      </c>
      <c r="H82" s="6" t="s">
        <v>205</v>
      </c>
      <c r="I82" s="8">
        <f ca="1">(TODAY()-staff[[#This Row],[Date Joined]])/365</f>
        <v>0.90136986301369859</v>
      </c>
      <c r="J82" s="18">
        <f ca="1">ROUNDUP(IF(I82&gt;2,3%,2%)*staff[Salary],0)</f>
        <v>1395</v>
      </c>
      <c r="K82" s="22">
        <f>VLOOKUP(staff[[#This Row],[Rating]],rating[],2,FALSE)</f>
        <v>3</v>
      </c>
    </row>
    <row r="83" spans="1:11">
      <c r="A83" s="6" t="s">
        <v>67</v>
      </c>
      <c r="B83" s="6" t="s">
        <v>15</v>
      </c>
      <c r="C83" s="6" t="s">
        <v>12</v>
      </c>
      <c r="D83" s="6">
        <v>30</v>
      </c>
      <c r="E83" s="7">
        <v>44850</v>
      </c>
      <c r="F83" s="18">
        <v>69710</v>
      </c>
      <c r="G83" s="6" t="s">
        <v>16</v>
      </c>
      <c r="H83" s="6" t="s">
        <v>207</v>
      </c>
      <c r="I83" s="8">
        <f ca="1">(TODAY()-staff[[#This Row],[Date Joined]])/365</f>
        <v>0.73424657534246573</v>
      </c>
      <c r="J83" s="18">
        <f ca="1">ROUNDUP(IF(I83&gt;2,3%,2%)*staff[Salary],0)</f>
        <v>1395</v>
      </c>
      <c r="K83" s="22">
        <f>VLOOKUP(staff[[#This Row],[Rating]],rating[],2,FALSE)</f>
        <v>3</v>
      </c>
    </row>
    <row r="84" spans="1:11">
      <c r="A84" s="6" t="s">
        <v>183</v>
      </c>
      <c r="B84" s="6" t="s">
        <v>15</v>
      </c>
      <c r="C84" s="6" t="s">
        <v>21</v>
      </c>
      <c r="D84" s="6">
        <v>42</v>
      </c>
      <c r="E84" s="7">
        <v>44670</v>
      </c>
      <c r="F84" s="18">
        <v>70270</v>
      </c>
      <c r="G84" s="6" t="s">
        <v>24</v>
      </c>
      <c r="H84" s="6" t="s">
        <v>205</v>
      </c>
      <c r="I84" s="8">
        <f ca="1">(TODAY()-staff[[#This Row],[Date Joined]])/365</f>
        <v>1.2273972602739727</v>
      </c>
      <c r="J84" s="18">
        <f ca="1">ROUNDUP(IF(I84&gt;2,3%,2%)*staff[Salary],0)</f>
        <v>1406</v>
      </c>
      <c r="K84" s="22">
        <f>VLOOKUP(staff[[#This Row],[Rating]],rating[],2,FALSE)</f>
        <v>2</v>
      </c>
    </row>
    <row r="85" spans="1:11">
      <c r="A85" s="6" t="s">
        <v>90</v>
      </c>
      <c r="B85" s="6" t="s">
        <v>15</v>
      </c>
      <c r="C85" s="6" t="s">
        <v>21</v>
      </c>
      <c r="D85" s="6">
        <v>42</v>
      </c>
      <c r="E85" s="7">
        <v>44731</v>
      </c>
      <c r="F85" s="18">
        <v>70270</v>
      </c>
      <c r="G85" s="6" t="s">
        <v>24</v>
      </c>
      <c r="H85" s="6" t="s">
        <v>207</v>
      </c>
      <c r="I85" s="8">
        <f ca="1">(TODAY()-staff[[#This Row],[Date Joined]])/365</f>
        <v>1.0602739726027397</v>
      </c>
      <c r="J85" s="18">
        <f ca="1">ROUNDUP(IF(I85&gt;2,3%,2%)*staff[Salary],0)</f>
        <v>1406</v>
      </c>
      <c r="K85" s="22">
        <f>VLOOKUP(staff[[#This Row],[Rating]],rating[],2,FALSE)</f>
        <v>2</v>
      </c>
    </row>
    <row r="86" spans="1:11">
      <c r="A86" s="6" t="s">
        <v>162</v>
      </c>
      <c r="B86" s="6" t="s">
        <v>15</v>
      </c>
      <c r="C86" s="6" t="s">
        <v>9</v>
      </c>
      <c r="D86" s="6">
        <v>46</v>
      </c>
      <c r="E86" s="7">
        <v>44697</v>
      </c>
      <c r="F86" s="18">
        <v>70610</v>
      </c>
      <c r="G86" s="6" t="s">
        <v>16</v>
      </c>
      <c r="H86" s="6" t="s">
        <v>205</v>
      </c>
      <c r="I86" s="8">
        <f ca="1">(TODAY()-staff[[#This Row],[Date Joined]])/365</f>
        <v>1.1534246575342466</v>
      </c>
      <c r="J86" s="18">
        <f ca="1">ROUNDUP(IF(I86&gt;2,3%,2%)*staff[Salary],0)</f>
        <v>1413</v>
      </c>
      <c r="K86" s="22">
        <f>VLOOKUP(staff[[#This Row],[Rating]],rating[],2,FALSE)</f>
        <v>3</v>
      </c>
    </row>
    <row r="87" spans="1:11">
      <c r="A87" s="6" t="s">
        <v>70</v>
      </c>
      <c r="B87" s="6" t="s">
        <v>15</v>
      </c>
      <c r="C87" s="6" t="s">
        <v>9</v>
      </c>
      <c r="D87" s="6">
        <v>46</v>
      </c>
      <c r="E87" s="7">
        <v>44758</v>
      </c>
      <c r="F87" s="18">
        <v>70610</v>
      </c>
      <c r="G87" s="6" t="s">
        <v>16</v>
      </c>
      <c r="H87" s="6" t="s">
        <v>207</v>
      </c>
      <c r="I87" s="8">
        <f ca="1">(TODAY()-staff[[#This Row],[Date Joined]])/365</f>
        <v>0.98630136986301364</v>
      </c>
      <c r="J87" s="18">
        <f ca="1">ROUNDUP(IF(I87&gt;2,3%,2%)*staff[Salary],0)</f>
        <v>1413</v>
      </c>
      <c r="K87" s="22">
        <f>VLOOKUP(staff[[#This Row],[Rating]],rating[],2,FALSE)</f>
        <v>3</v>
      </c>
    </row>
    <row r="88" spans="1:11">
      <c r="A88" s="6" t="s">
        <v>187</v>
      </c>
      <c r="B88" s="6" t="s">
        <v>15</v>
      </c>
      <c r="C88" s="6" t="s">
        <v>21</v>
      </c>
      <c r="D88" s="6">
        <v>36</v>
      </c>
      <c r="E88" s="7">
        <v>44272</v>
      </c>
      <c r="F88" s="18">
        <v>71380</v>
      </c>
      <c r="G88" s="6" t="s">
        <v>16</v>
      </c>
      <c r="H88" s="6" t="s">
        <v>205</v>
      </c>
      <c r="I88" s="8">
        <f ca="1">(TODAY()-staff[[#This Row],[Date Joined]])/365</f>
        <v>2.3178082191780822</v>
      </c>
      <c r="J88" s="18">
        <f ca="1">ROUNDUP(IF(I88&gt;2,3%,2%)*staff[Salary],0)</f>
        <v>2142</v>
      </c>
      <c r="K88" s="22">
        <f>VLOOKUP(staff[[#This Row],[Rating]],rating[],2,FALSE)</f>
        <v>3</v>
      </c>
    </row>
    <row r="89" spans="1:11">
      <c r="A89" s="6" t="s">
        <v>94</v>
      </c>
      <c r="B89" s="6" t="s">
        <v>15</v>
      </c>
      <c r="C89" s="6" t="s">
        <v>21</v>
      </c>
      <c r="D89" s="6">
        <v>36</v>
      </c>
      <c r="E89" s="7">
        <v>44333</v>
      </c>
      <c r="F89" s="18">
        <v>71380</v>
      </c>
      <c r="G89" s="6" t="s">
        <v>16</v>
      </c>
      <c r="H89" s="6" t="s">
        <v>207</v>
      </c>
      <c r="I89" s="8">
        <f ca="1">(TODAY()-staff[[#This Row],[Date Joined]])/365</f>
        <v>2.1506849315068495</v>
      </c>
      <c r="J89" s="18">
        <f ca="1">ROUNDUP(IF(I89&gt;2,3%,2%)*staff[Salary],0)</f>
        <v>2142</v>
      </c>
      <c r="K89" s="22">
        <f>VLOOKUP(staff[[#This Row],[Rating]],rating[],2,FALSE)</f>
        <v>3</v>
      </c>
    </row>
    <row r="90" spans="1:11">
      <c r="A90" s="6" t="s">
        <v>115</v>
      </c>
      <c r="B90" s="6" t="s">
        <v>15</v>
      </c>
      <c r="C90" s="6" t="s">
        <v>19</v>
      </c>
      <c r="D90" s="6">
        <v>33</v>
      </c>
      <c r="E90" s="7">
        <v>44324</v>
      </c>
      <c r="F90" s="18">
        <v>74550</v>
      </c>
      <c r="G90" s="6" t="s">
        <v>16</v>
      </c>
      <c r="H90" s="6" t="s">
        <v>205</v>
      </c>
      <c r="I90" s="8">
        <f ca="1">(TODAY()-staff[[#This Row],[Date Joined]])/365</f>
        <v>2.1753424657534248</v>
      </c>
      <c r="J90" s="18">
        <f ca="1">ROUNDUP(IF(I90&gt;2,3%,2%)*staff[Salary],0)</f>
        <v>2237</v>
      </c>
      <c r="K90" s="22">
        <f>VLOOKUP(staff[[#This Row],[Rating]],rating[],2,FALSE)</f>
        <v>3</v>
      </c>
    </row>
    <row r="91" spans="1:11">
      <c r="A91" s="6" t="s">
        <v>18</v>
      </c>
      <c r="B91" s="6" t="s">
        <v>15</v>
      </c>
      <c r="C91" s="6" t="s">
        <v>19</v>
      </c>
      <c r="D91" s="6">
        <v>33</v>
      </c>
      <c r="E91" s="7">
        <v>44385</v>
      </c>
      <c r="F91" s="18">
        <v>74550</v>
      </c>
      <c r="G91" s="6" t="s">
        <v>16</v>
      </c>
      <c r="H91" s="6" t="s">
        <v>207</v>
      </c>
      <c r="I91" s="8">
        <f ca="1">(TODAY()-staff[[#This Row],[Date Joined]])/365</f>
        <v>2.0082191780821916</v>
      </c>
      <c r="J91" s="18">
        <f ca="1">ROUNDUP(IF(I91&gt;2,3%,2%)*staff[Salary],0)</f>
        <v>2237</v>
      </c>
      <c r="K91" s="22">
        <f>VLOOKUP(staff[[#This Row],[Rating]],rating[],2,FALSE)</f>
        <v>3</v>
      </c>
    </row>
    <row r="92" spans="1:11">
      <c r="A92" s="6" t="s">
        <v>111</v>
      </c>
      <c r="B92" s="6" t="s">
        <v>8</v>
      </c>
      <c r="C92" s="6" t="s">
        <v>9</v>
      </c>
      <c r="D92" s="6">
        <v>42</v>
      </c>
      <c r="E92" s="7">
        <v>44718</v>
      </c>
      <c r="F92" s="18">
        <v>75000</v>
      </c>
      <c r="G92" s="6" t="s">
        <v>10</v>
      </c>
      <c r="H92" s="6" t="s">
        <v>205</v>
      </c>
      <c r="I92" s="8">
        <f ca="1">(TODAY()-staff[[#This Row],[Date Joined]])/365</f>
        <v>1.095890410958904</v>
      </c>
      <c r="J92" s="18">
        <f ca="1">ROUNDUP(IF(I92&gt;2,3%,2%)*staff[Salary],0)</f>
        <v>1500</v>
      </c>
      <c r="K92" s="22">
        <f>VLOOKUP(staff[[#This Row],[Rating]],rating[],2,FALSE)</f>
        <v>5</v>
      </c>
    </row>
    <row r="93" spans="1:11">
      <c r="A93" s="6" t="s">
        <v>7</v>
      </c>
      <c r="B93" s="6" t="s">
        <v>8</v>
      </c>
      <c r="C93" s="6" t="s">
        <v>9</v>
      </c>
      <c r="D93" s="6">
        <v>42</v>
      </c>
      <c r="E93" s="7">
        <v>44779</v>
      </c>
      <c r="F93" s="18">
        <v>75000</v>
      </c>
      <c r="G93" s="6" t="s">
        <v>10</v>
      </c>
      <c r="H93" s="6" t="s">
        <v>207</v>
      </c>
      <c r="I93" s="8">
        <f ca="1">(TODAY()-staff[[#This Row],[Date Joined]])/365</f>
        <v>0.92876712328767119</v>
      </c>
      <c r="J93" s="18">
        <f ca="1">ROUNDUP(IF(I93&gt;2,3%,2%)*staff[Salary],0)</f>
        <v>1500</v>
      </c>
      <c r="K93" s="22">
        <f>VLOOKUP(staff[[#This Row],[Rating]],rating[],2,FALSE)</f>
        <v>5</v>
      </c>
    </row>
    <row r="94" spans="1:11">
      <c r="A94" s="6" t="s">
        <v>188</v>
      </c>
      <c r="B94" s="6" t="s">
        <v>8</v>
      </c>
      <c r="C94" s="6" t="s">
        <v>12</v>
      </c>
      <c r="D94" s="6">
        <v>33</v>
      </c>
      <c r="E94" s="7">
        <v>44253</v>
      </c>
      <c r="F94" s="18">
        <v>75280</v>
      </c>
      <c r="G94" s="6" t="s">
        <v>16</v>
      </c>
      <c r="H94" s="6" t="s">
        <v>205</v>
      </c>
      <c r="I94" s="8">
        <f ca="1">(TODAY()-staff[[#This Row],[Date Joined]])/365</f>
        <v>2.3698630136986303</v>
      </c>
      <c r="J94" s="18">
        <f ca="1">ROUNDUP(IF(I94&gt;2,3%,2%)*staff[Salary],0)</f>
        <v>2259</v>
      </c>
      <c r="K94" s="22">
        <f>VLOOKUP(staff[[#This Row],[Rating]],rating[],2,FALSE)</f>
        <v>3</v>
      </c>
    </row>
    <row r="95" spans="1:11">
      <c r="A95" s="6" t="s">
        <v>95</v>
      </c>
      <c r="B95" s="6" t="s">
        <v>8</v>
      </c>
      <c r="C95" s="6" t="s">
        <v>12</v>
      </c>
      <c r="D95" s="6">
        <v>33</v>
      </c>
      <c r="E95" s="7">
        <v>44312</v>
      </c>
      <c r="F95" s="18">
        <v>75280</v>
      </c>
      <c r="G95" s="6" t="s">
        <v>16</v>
      </c>
      <c r="H95" s="6" t="s">
        <v>207</v>
      </c>
      <c r="I95" s="8">
        <f ca="1">(TODAY()-staff[[#This Row],[Date Joined]])/365</f>
        <v>2.2082191780821918</v>
      </c>
      <c r="J95" s="18">
        <f ca="1">ROUNDUP(IF(I95&gt;2,3%,2%)*staff[Salary],0)</f>
        <v>2259</v>
      </c>
      <c r="K95" s="22">
        <f>VLOOKUP(staff[[#This Row],[Rating]],rating[],2,FALSE)</f>
        <v>3</v>
      </c>
    </row>
    <row r="96" spans="1:11">
      <c r="A96" s="6" t="s">
        <v>135</v>
      </c>
      <c r="B96" s="6" t="s">
        <v>8</v>
      </c>
      <c r="C96" s="6" t="s">
        <v>12</v>
      </c>
      <c r="D96" s="6">
        <v>33</v>
      </c>
      <c r="E96" s="7">
        <v>44313</v>
      </c>
      <c r="F96" s="18">
        <v>75480</v>
      </c>
      <c r="G96" s="6" t="s">
        <v>42</v>
      </c>
      <c r="H96" s="6" t="s">
        <v>205</v>
      </c>
      <c r="I96" s="8">
        <f ca="1">(TODAY()-staff[[#This Row],[Date Joined]])/365</f>
        <v>2.2054794520547945</v>
      </c>
      <c r="J96" s="18">
        <f ca="1">ROUNDUP(IF(I96&gt;2,3%,2%)*staff[Salary],0)</f>
        <v>2265</v>
      </c>
      <c r="K96" s="22">
        <f>VLOOKUP(staff[[#This Row],[Rating]],rating[],2,FALSE)</f>
        <v>1</v>
      </c>
    </row>
    <row r="97" spans="1:11">
      <c r="A97" s="6" t="s">
        <v>41</v>
      </c>
      <c r="B97" s="6" t="s">
        <v>8</v>
      </c>
      <c r="C97" s="6" t="s">
        <v>12</v>
      </c>
      <c r="D97" s="6">
        <v>33</v>
      </c>
      <c r="E97" s="7">
        <v>44374</v>
      </c>
      <c r="F97" s="18">
        <v>75480</v>
      </c>
      <c r="G97" s="6" t="s">
        <v>42</v>
      </c>
      <c r="H97" s="6" t="s">
        <v>207</v>
      </c>
      <c r="I97" s="8">
        <f ca="1">(TODAY()-staff[[#This Row],[Date Joined]])/365</f>
        <v>2.0383561643835617</v>
      </c>
      <c r="J97" s="18">
        <f ca="1">ROUNDUP(IF(I97&gt;2,3%,2%)*staff[Salary],0)</f>
        <v>2265</v>
      </c>
      <c r="K97" s="22">
        <f>VLOOKUP(staff[[#This Row],[Rating]],rating[],2,FALSE)</f>
        <v>1</v>
      </c>
    </row>
    <row r="98" spans="1:11">
      <c r="A98" s="6" t="s">
        <v>170</v>
      </c>
      <c r="B98" s="6" t="s">
        <v>15</v>
      </c>
      <c r="C98" s="6" t="s">
        <v>56</v>
      </c>
      <c r="D98" s="6">
        <v>21</v>
      </c>
      <c r="E98" s="7">
        <v>44180</v>
      </c>
      <c r="F98" s="18">
        <v>75880</v>
      </c>
      <c r="G98" s="6" t="s">
        <v>16</v>
      </c>
      <c r="H98" s="6" t="s">
        <v>205</v>
      </c>
      <c r="I98" s="8">
        <f ca="1">(TODAY()-staff[[#This Row],[Date Joined]])/365</f>
        <v>2.56986301369863</v>
      </c>
      <c r="J98" s="18">
        <f ca="1">ROUNDUP(IF(I98&gt;2,3%,2%)*staff[Salary],0)</f>
        <v>2277</v>
      </c>
      <c r="K98" s="22">
        <f>VLOOKUP(staff[[#This Row],[Rating]],rating[],2,FALSE)</f>
        <v>3</v>
      </c>
    </row>
    <row r="99" spans="1:11">
      <c r="A99" s="6" t="s">
        <v>78</v>
      </c>
      <c r="B99" s="6" t="s">
        <v>15</v>
      </c>
      <c r="C99" s="6" t="s">
        <v>56</v>
      </c>
      <c r="D99" s="6">
        <v>21</v>
      </c>
      <c r="E99" s="7">
        <v>44242</v>
      </c>
      <c r="F99" s="18">
        <v>75880</v>
      </c>
      <c r="G99" s="6" t="s">
        <v>16</v>
      </c>
      <c r="H99" s="6" t="s">
        <v>207</v>
      </c>
      <c r="I99" s="8">
        <f ca="1">(TODAY()-staff[[#This Row],[Date Joined]])/365</f>
        <v>2.4</v>
      </c>
      <c r="J99" s="18">
        <f ca="1">ROUNDUP(IF(I99&gt;2,3%,2%)*staff[Salary],0)</f>
        <v>2277</v>
      </c>
      <c r="K99" s="22">
        <f>VLOOKUP(staff[[#This Row],[Rating]],rating[],2,FALSE)</f>
        <v>3</v>
      </c>
    </row>
    <row r="100" spans="1:11">
      <c r="A100" s="6" t="s">
        <v>129</v>
      </c>
      <c r="B100" s="6" t="s">
        <v>8</v>
      </c>
      <c r="C100" s="6" t="s">
        <v>21</v>
      </c>
      <c r="D100" s="6">
        <v>28</v>
      </c>
      <c r="E100" s="7">
        <v>44124</v>
      </c>
      <c r="F100" s="18">
        <v>75970</v>
      </c>
      <c r="G100" s="6" t="s">
        <v>16</v>
      </c>
      <c r="H100" s="6" t="s">
        <v>205</v>
      </c>
      <c r="I100" s="8">
        <f ca="1">(TODAY()-staff[[#This Row],[Date Joined]])/365</f>
        <v>2.7232876712328768</v>
      </c>
      <c r="J100" s="18">
        <f ca="1">ROUNDUP(IF(I100&gt;2,3%,2%)*staff[Salary],0)</f>
        <v>2280</v>
      </c>
      <c r="K100" s="22">
        <f>VLOOKUP(staff[[#This Row],[Rating]],rating[],2,FALSE)</f>
        <v>3</v>
      </c>
    </row>
    <row r="101" spans="1:11">
      <c r="A101" s="6" t="s">
        <v>35</v>
      </c>
      <c r="B101" s="6" t="s">
        <v>8</v>
      </c>
      <c r="C101" s="6" t="s">
        <v>21</v>
      </c>
      <c r="D101" s="6">
        <v>28</v>
      </c>
      <c r="E101" s="7">
        <v>44185</v>
      </c>
      <c r="F101" s="18">
        <v>75970</v>
      </c>
      <c r="G101" s="6" t="s">
        <v>16</v>
      </c>
      <c r="H101" s="6" t="s">
        <v>207</v>
      </c>
      <c r="I101" s="8">
        <f ca="1">(TODAY()-staff[[#This Row],[Date Joined]])/365</f>
        <v>2.5561643835616437</v>
      </c>
      <c r="J101" s="18">
        <f ca="1">ROUNDUP(IF(I101&gt;2,3%,2%)*staff[Salary],0)</f>
        <v>2280</v>
      </c>
      <c r="K101" s="22">
        <f>VLOOKUP(staff[[#This Row],[Rating]],rating[],2,FALSE)</f>
        <v>3</v>
      </c>
    </row>
    <row r="102" spans="1:11">
      <c r="A102" s="6" t="s">
        <v>154</v>
      </c>
      <c r="B102" s="6" t="s">
        <v>8</v>
      </c>
      <c r="C102" s="6" t="s">
        <v>9</v>
      </c>
      <c r="D102" s="6">
        <v>22</v>
      </c>
      <c r="E102" s="7">
        <v>44388</v>
      </c>
      <c r="F102" s="18">
        <v>76900</v>
      </c>
      <c r="G102" s="6" t="s">
        <v>13</v>
      </c>
      <c r="H102" s="6" t="s">
        <v>205</v>
      </c>
      <c r="I102" s="8">
        <f ca="1">(TODAY()-staff[[#This Row],[Date Joined]])/365</f>
        <v>2</v>
      </c>
      <c r="J102" s="18">
        <f ca="1">ROUNDUP(IF(I102&gt;2,3%,2%)*staff[Salary],0)</f>
        <v>1538</v>
      </c>
      <c r="K102" s="22">
        <f>VLOOKUP(staff[[#This Row],[Rating]],rating[],2,FALSE)</f>
        <v>4</v>
      </c>
    </row>
    <row r="103" spans="1:11">
      <c r="A103" s="6" t="s">
        <v>62</v>
      </c>
      <c r="B103" s="6" t="s">
        <v>8</v>
      </c>
      <c r="C103" s="6" t="s">
        <v>9</v>
      </c>
      <c r="D103" s="6">
        <v>22</v>
      </c>
      <c r="E103" s="7">
        <v>44450</v>
      </c>
      <c r="F103" s="18">
        <v>76900</v>
      </c>
      <c r="G103" s="6" t="s">
        <v>13</v>
      </c>
      <c r="H103" s="6" t="s">
        <v>207</v>
      </c>
      <c r="I103" s="8">
        <f ca="1">(TODAY()-staff[[#This Row],[Date Joined]])/365</f>
        <v>1.8301369863013699</v>
      </c>
      <c r="J103" s="18">
        <f ca="1">ROUNDUP(IF(I103&gt;2,3%,2%)*staff[Salary],0)</f>
        <v>1538</v>
      </c>
      <c r="K103" s="22">
        <f>VLOOKUP(staff[[#This Row],[Rating]],rating[],2,FALSE)</f>
        <v>4</v>
      </c>
    </row>
    <row r="104" spans="1:11">
      <c r="A104" s="6" t="s">
        <v>164</v>
      </c>
      <c r="B104" s="6" t="s">
        <v>8</v>
      </c>
      <c r="C104" s="6" t="s">
        <v>9</v>
      </c>
      <c r="D104" s="6">
        <v>36</v>
      </c>
      <c r="E104" s="7">
        <v>44468</v>
      </c>
      <c r="F104" s="18">
        <v>78390</v>
      </c>
      <c r="G104" s="6" t="s">
        <v>16</v>
      </c>
      <c r="H104" s="6" t="s">
        <v>205</v>
      </c>
      <c r="I104" s="8">
        <f ca="1">(TODAY()-staff[[#This Row],[Date Joined]])/365</f>
        <v>1.7808219178082192</v>
      </c>
      <c r="J104" s="18">
        <f ca="1">ROUNDUP(IF(I104&gt;2,3%,2%)*staff[Salary],0)</f>
        <v>1568</v>
      </c>
      <c r="K104" s="22">
        <f>VLOOKUP(staff[[#This Row],[Rating]],rating[],2,FALSE)</f>
        <v>3</v>
      </c>
    </row>
    <row r="105" spans="1:11">
      <c r="A105" s="6" t="s">
        <v>72</v>
      </c>
      <c r="B105" s="6" t="s">
        <v>8</v>
      </c>
      <c r="C105" s="6" t="s">
        <v>9</v>
      </c>
      <c r="D105" s="6">
        <v>36</v>
      </c>
      <c r="E105" s="7">
        <v>44529</v>
      </c>
      <c r="F105" s="18">
        <v>78390</v>
      </c>
      <c r="G105" s="6" t="s">
        <v>16</v>
      </c>
      <c r="H105" s="6" t="s">
        <v>207</v>
      </c>
      <c r="I105" s="8">
        <f ca="1">(TODAY()-staff[[#This Row],[Date Joined]])/365</f>
        <v>1.6136986301369862</v>
      </c>
      <c r="J105" s="18">
        <f ca="1">ROUNDUP(IF(I105&gt;2,3%,2%)*staff[Salary],0)</f>
        <v>1568</v>
      </c>
      <c r="K105" s="22">
        <f>VLOOKUP(staff[[#This Row],[Rating]],rating[],2,FALSE)</f>
        <v>3</v>
      </c>
    </row>
    <row r="106" spans="1:11">
      <c r="A106" s="6" t="s">
        <v>141</v>
      </c>
      <c r="B106" s="6" t="s">
        <v>8</v>
      </c>
      <c r="C106" s="6" t="s">
        <v>19</v>
      </c>
      <c r="D106" s="6">
        <v>36</v>
      </c>
      <c r="E106" s="7">
        <v>44433</v>
      </c>
      <c r="F106" s="18">
        <v>78540</v>
      </c>
      <c r="G106" s="6" t="s">
        <v>16</v>
      </c>
      <c r="H106" s="6" t="s">
        <v>205</v>
      </c>
      <c r="I106" s="8">
        <f ca="1">(TODAY()-staff[[#This Row],[Date Joined]])/365</f>
        <v>1.8767123287671232</v>
      </c>
      <c r="J106" s="18">
        <f ca="1">ROUNDUP(IF(I106&gt;2,3%,2%)*staff[Salary],0)</f>
        <v>1571</v>
      </c>
      <c r="K106" s="22">
        <f>VLOOKUP(staff[[#This Row],[Rating]],rating[],2,FALSE)</f>
        <v>3</v>
      </c>
    </row>
    <row r="107" spans="1:11">
      <c r="A107" s="6" t="s">
        <v>48</v>
      </c>
      <c r="B107" s="6" t="s">
        <v>8</v>
      </c>
      <c r="C107" s="6" t="s">
        <v>19</v>
      </c>
      <c r="D107" s="6">
        <v>36</v>
      </c>
      <c r="E107" s="7">
        <v>44494</v>
      </c>
      <c r="F107" s="18">
        <v>78540</v>
      </c>
      <c r="G107" s="6" t="s">
        <v>16</v>
      </c>
      <c r="H107" s="6" t="s">
        <v>207</v>
      </c>
      <c r="I107" s="8">
        <f ca="1">(TODAY()-staff[[#This Row],[Date Joined]])/365</f>
        <v>1.7095890410958905</v>
      </c>
      <c r="J107" s="18">
        <f ca="1">ROUNDUP(IF(I107&gt;2,3%,2%)*staff[Salary],0)</f>
        <v>1571</v>
      </c>
      <c r="K107" s="22">
        <f>VLOOKUP(staff[[#This Row],[Rating]],rating[],2,FALSE)</f>
        <v>3</v>
      </c>
    </row>
    <row r="108" spans="1:11">
      <c r="A108" s="6" t="s">
        <v>197</v>
      </c>
      <c r="B108" s="6" t="s">
        <v>15</v>
      </c>
      <c r="C108" s="6" t="s">
        <v>9</v>
      </c>
      <c r="D108" s="6">
        <v>20</v>
      </c>
      <c r="E108" s="7">
        <v>44683</v>
      </c>
      <c r="F108" s="18">
        <v>79570</v>
      </c>
      <c r="G108" s="6" t="s">
        <v>16</v>
      </c>
      <c r="H108" s="6" t="s">
        <v>205</v>
      </c>
      <c r="I108" s="8">
        <f ca="1">(TODAY()-staff[[#This Row],[Date Joined]])/365</f>
        <v>1.1917808219178083</v>
      </c>
      <c r="J108" s="18">
        <f ca="1">ROUNDUP(IF(I108&gt;2,3%,2%)*staff[Salary],0)</f>
        <v>1592</v>
      </c>
      <c r="K108" s="22">
        <f>VLOOKUP(staff[[#This Row],[Rating]],rating[],2,FALSE)</f>
        <v>3</v>
      </c>
    </row>
    <row r="109" spans="1:11">
      <c r="A109" s="6" t="s">
        <v>104</v>
      </c>
      <c r="B109" s="6" t="s">
        <v>15</v>
      </c>
      <c r="C109" s="6" t="s">
        <v>9</v>
      </c>
      <c r="D109" s="6">
        <v>20</v>
      </c>
      <c r="E109" s="7">
        <v>44744</v>
      </c>
      <c r="F109" s="18">
        <v>79570</v>
      </c>
      <c r="G109" s="6" t="s">
        <v>16</v>
      </c>
      <c r="H109" s="6" t="s">
        <v>207</v>
      </c>
      <c r="I109" s="8">
        <f ca="1">(TODAY()-staff[[#This Row],[Date Joined]])/365</f>
        <v>1.0246575342465754</v>
      </c>
      <c r="J109" s="18">
        <f ca="1">ROUNDUP(IF(I109&gt;2,3%,2%)*staff[Salary],0)</f>
        <v>1592</v>
      </c>
      <c r="K109" s="22">
        <f>VLOOKUP(staff[[#This Row],[Rating]],rating[],2,FALSE)</f>
        <v>3</v>
      </c>
    </row>
    <row r="110" spans="1:11">
      <c r="A110" s="6" t="s">
        <v>133</v>
      </c>
      <c r="B110" s="6" t="s">
        <v>8</v>
      </c>
      <c r="C110" s="6" t="s">
        <v>12</v>
      </c>
      <c r="D110" s="6">
        <v>25</v>
      </c>
      <c r="E110" s="7">
        <v>44633</v>
      </c>
      <c r="F110" s="18">
        <v>80700</v>
      </c>
      <c r="G110" s="6" t="s">
        <v>13</v>
      </c>
      <c r="H110" s="6" t="s">
        <v>205</v>
      </c>
      <c r="I110" s="8">
        <f ca="1">(TODAY()-staff[[#This Row],[Date Joined]])/365</f>
        <v>1.3287671232876712</v>
      </c>
      <c r="J110" s="18">
        <f ca="1">ROUNDUP(IF(I110&gt;2,3%,2%)*staff[Salary],0)</f>
        <v>1614</v>
      </c>
      <c r="K110" s="22">
        <f>VLOOKUP(staff[[#This Row],[Rating]],rating[],2,FALSE)</f>
        <v>4</v>
      </c>
    </row>
    <row r="111" spans="1:11">
      <c r="A111" s="6" t="s">
        <v>39</v>
      </c>
      <c r="B111" s="6" t="s">
        <v>8</v>
      </c>
      <c r="C111" s="6" t="s">
        <v>12</v>
      </c>
      <c r="D111" s="6">
        <v>25</v>
      </c>
      <c r="E111" s="7">
        <v>44694</v>
      </c>
      <c r="F111" s="18">
        <v>80700</v>
      </c>
      <c r="G111" s="6" t="s">
        <v>13</v>
      </c>
      <c r="H111" s="6" t="s">
        <v>207</v>
      </c>
      <c r="I111" s="8">
        <f ca="1">(TODAY()-staff[[#This Row],[Date Joined]])/365</f>
        <v>1.1616438356164382</v>
      </c>
      <c r="J111" s="18">
        <f ca="1">ROUNDUP(IF(I111&gt;2,3%,2%)*staff[Salary],0)</f>
        <v>1614</v>
      </c>
      <c r="K111" s="22">
        <f>VLOOKUP(staff[[#This Row],[Rating]],rating[],2,FALSE)</f>
        <v>4</v>
      </c>
    </row>
    <row r="112" spans="1:11">
      <c r="A112" s="6" t="s">
        <v>185</v>
      </c>
      <c r="B112" s="6" t="s">
        <v>8</v>
      </c>
      <c r="C112" s="6" t="s">
        <v>12</v>
      </c>
      <c r="D112" s="6">
        <v>27</v>
      </c>
      <c r="E112" s="7">
        <v>44625</v>
      </c>
      <c r="F112" s="18">
        <v>83750</v>
      </c>
      <c r="G112" s="6" t="s">
        <v>16</v>
      </c>
      <c r="H112" s="6" t="s">
        <v>205</v>
      </c>
      <c r="I112" s="8">
        <f ca="1">(TODAY()-staff[[#This Row],[Date Joined]])/365</f>
        <v>1.3506849315068492</v>
      </c>
      <c r="J112" s="18">
        <f ca="1">ROUNDUP(IF(I112&gt;2,3%,2%)*staff[Salary],0)</f>
        <v>1675</v>
      </c>
      <c r="K112" s="22">
        <f>VLOOKUP(staff[[#This Row],[Rating]],rating[],2,FALSE)</f>
        <v>3</v>
      </c>
    </row>
    <row r="113" spans="1:11">
      <c r="A113" s="6" t="s">
        <v>92</v>
      </c>
      <c r="B113" s="6" t="s">
        <v>8</v>
      </c>
      <c r="C113" s="6" t="s">
        <v>12</v>
      </c>
      <c r="D113" s="6">
        <v>27</v>
      </c>
      <c r="E113" s="7">
        <v>44686</v>
      </c>
      <c r="F113" s="18">
        <v>83750</v>
      </c>
      <c r="G113" s="6" t="s">
        <v>16</v>
      </c>
      <c r="H113" s="6" t="s">
        <v>207</v>
      </c>
      <c r="I113" s="8">
        <f ca="1">(TODAY()-staff[[#This Row],[Date Joined]])/365</f>
        <v>1.1835616438356165</v>
      </c>
      <c r="J113" s="18">
        <f ca="1">ROUNDUP(IF(I113&gt;2,3%,2%)*staff[Salary],0)</f>
        <v>1675</v>
      </c>
      <c r="K113" s="22">
        <f>VLOOKUP(staff[[#This Row],[Rating]],rating[],2,FALSE)</f>
        <v>3</v>
      </c>
    </row>
    <row r="114" spans="1:11">
      <c r="A114" s="6" t="s">
        <v>122</v>
      </c>
      <c r="B114" s="6" t="s">
        <v>8</v>
      </c>
      <c r="C114" s="6" t="s">
        <v>21</v>
      </c>
      <c r="D114" s="6">
        <v>34</v>
      </c>
      <c r="E114" s="7">
        <v>44397</v>
      </c>
      <c r="F114" s="18">
        <v>85000</v>
      </c>
      <c r="G114" s="6" t="s">
        <v>16</v>
      </c>
      <c r="H114" s="6" t="s">
        <v>205</v>
      </c>
      <c r="I114" s="8">
        <f ca="1">(TODAY()-staff[[#This Row],[Date Joined]])/365</f>
        <v>1.9753424657534246</v>
      </c>
      <c r="J114" s="18">
        <f ca="1">ROUNDUP(IF(I114&gt;2,3%,2%)*staff[Salary],0)</f>
        <v>1700</v>
      </c>
      <c r="K114" s="22">
        <f>VLOOKUP(staff[[#This Row],[Rating]],rating[],2,FALSE)</f>
        <v>3</v>
      </c>
    </row>
    <row r="115" spans="1:11">
      <c r="A115" s="6" t="s">
        <v>28</v>
      </c>
      <c r="B115" s="6" t="s">
        <v>8</v>
      </c>
      <c r="C115" s="6" t="s">
        <v>21</v>
      </c>
      <c r="D115" s="6">
        <v>34</v>
      </c>
      <c r="E115" s="7">
        <v>44459</v>
      </c>
      <c r="F115" s="18">
        <v>85000</v>
      </c>
      <c r="G115" s="6" t="s">
        <v>16</v>
      </c>
      <c r="H115" s="6" t="s">
        <v>207</v>
      </c>
      <c r="I115" s="8">
        <f ca="1">(TODAY()-staff[[#This Row],[Date Joined]])/365</f>
        <v>1.8054794520547945</v>
      </c>
      <c r="J115" s="18">
        <f ca="1">ROUNDUP(IF(I115&gt;2,3%,2%)*staff[Salary],0)</f>
        <v>1700</v>
      </c>
      <c r="K115" s="22">
        <f>VLOOKUP(staff[[#This Row],[Rating]],rating[],2,FALSE)</f>
        <v>3</v>
      </c>
    </row>
    <row r="116" spans="1:11">
      <c r="A116" s="6" t="s">
        <v>181</v>
      </c>
      <c r="B116" s="6" t="s">
        <v>8</v>
      </c>
      <c r="C116" s="6" t="s">
        <v>21</v>
      </c>
      <c r="D116" s="6">
        <v>33</v>
      </c>
      <c r="E116" s="7">
        <v>44747</v>
      </c>
      <c r="F116" s="18">
        <v>86570</v>
      </c>
      <c r="G116" s="6" t="s">
        <v>16</v>
      </c>
      <c r="H116" s="6" t="s">
        <v>205</v>
      </c>
      <c r="I116" s="8">
        <f ca="1">(TODAY()-staff[[#This Row],[Date Joined]])/365</f>
        <v>1.0164383561643835</v>
      </c>
      <c r="J116" s="18">
        <f ca="1">ROUNDUP(IF(I116&gt;2,3%,2%)*staff[Salary],0)</f>
        <v>1732</v>
      </c>
      <c r="K116" s="22">
        <f>VLOOKUP(staff[[#This Row],[Rating]],rating[],2,FALSE)</f>
        <v>3</v>
      </c>
    </row>
    <row r="117" spans="1:11">
      <c r="A117" s="6" t="s">
        <v>88</v>
      </c>
      <c r="B117" s="6" t="s">
        <v>8</v>
      </c>
      <c r="C117" s="6" t="s">
        <v>21</v>
      </c>
      <c r="D117" s="6">
        <v>33</v>
      </c>
      <c r="E117" s="7">
        <v>44809</v>
      </c>
      <c r="F117" s="18">
        <v>86570</v>
      </c>
      <c r="G117" s="6" t="s">
        <v>16</v>
      </c>
      <c r="H117" s="6" t="s">
        <v>207</v>
      </c>
      <c r="I117" s="8">
        <f ca="1">(TODAY()-staff[[#This Row],[Date Joined]])/365</f>
        <v>0.84657534246575339</v>
      </c>
      <c r="J117" s="18">
        <f ca="1">ROUNDUP(IF(I117&gt;2,3%,2%)*staff[Salary],0)</f>
        <v>1732</v>
      </c>
      <c r="K117" s="22">
        <f>VLOOKUP(staff[[#This Row],[Rating]],rating[],2,FALSE)</f>
        <v>3</v>
      </c>
    </row>
    <row r="118" spans="1:11">
      <c r="A118" s="6" t="s">
        <v>166</v>
      </c>
      <c r="B118" s="6" t="s">
        <v>8</v>
      </c>
      <c r="C118" s="6" t="s">
        <v>12</v>
      </c>
      <c r="D118" s="6">
        <v>40</v>
      </c>
      <c r="E118" s="7">
        <v>44276</v>
      </c>
      <c r="F118" s="18">
        <v>87620</v>
      </c>
      <c r="G118" s="6" t="s">
        <v>16</v>
      </c>
      <c r="H118" s="6" t="s">
        <v>205</v>
      </c>
      <c r="I118" s="8">
        <f ca="1">(TODAY()-staff[[#This Row],[Date Joined]])/365</f>
        <v>2.3068493150684932</v>
      </c>
      <c r="J118" s="18">
        <f ca="1">ROUNDUP(IF(I118&gt;2,3%,2%)*staff[Salary],0)</f>
        <v>2629</v>
      </c>
      <c r="K118" s="22">
        <f>VLOOKUP(staff[[#This Row],[Rating]],rating[],2,FALSE)</f>
        <v>3</v>
      </c>
    </row>
    <row r="119" spans="1:11">
      <c r="A119" s="6" t="s">
        <v>74</v>
      </c>
      <c r="B119" s="6" t="s">
        <v>8</v>
      </c>
      <c r="C119" s="6" t="s">
        <v>12</v>
      </c>
      <c r="D119" s="6">
        <v>40</v>
      </c>
      <c r="E119" s="7">
        <v>44337</v>
      </c>
      <c r="F119" s="18">
        <v>87620</v>
      </c>
      <c r="G119" s="6" t="s">
        <v>16</v>
      </c>
      <c r="H119" s="6" t="s">
        <v>207</v>
      </c>
      <c r="I119" s="8">
        <f ca="1">(TODAY()-staff[[#This Row],[Date Joined]])/365</f>
        <v>2.1397260273972605</v>
      </c>
      <c r="J119" s="18">
        <f ca="1">ROUNDUP(IF(I119&gt;2,3%,2%)*staff[Salary],0)</f>
        <v>2629</v>
      </c>
      <c r="K119" s="22">
        <f>VLOOKUP(staff[[#This Row],[Rating]],rating[],2,FALSE)</f>
        <v>3</v>
      </c>
    </row>
    <row r="120" spans="1:11">
      <c r="A120" s="6" t="s">
        <v>118</v>
      </c>
      <c r="B120" s="6" t="s">
        <v>15</v>
      </c>
      <c r="C120" s="6" t="s">
        <v>12</v>
      </c>
      <c r="D120" s="6">
        <v>37</v>
      </c>
      <c r="E120" s="7">
        <v>44277</v>
      </c>
      <c r="F120" s="18">
        <v>88050</v>
      </c>
      <c r="G120" s="6" t="s">
        <v>24</v>
      </c>
      <c r="H120" s="6" t="s">
        <v>205</v>
      </c>
      <c r="I120" s="8">
        <f ca="1">(TODAY()-staff[[#This Row],[Date Joined]])/365</f>
        <v>2.3041095890410959</v>
      </c>
      <c r="J120" s="18">
        <f ca="1">ROUNDUP(IF(I120&gt;2,3%,2%)*staff[Salary],0)</f>
        <v>2642</v>
      </c>
      <c r="K120" s="22">
        <f>VLOOKUP(staff[[#This Row],[Rating]],rating[],2,FALSE)</f>
        <v>2</v>
      </c>
    </row>
    <row r="121" spans="1:11">
      <c r="A121" s="6" t="s">
        <v>23</v>
      </c>
      <c r="B121" s="6" t="s">
        <v>15</v>
      </c>
      <c r="C121" s="6" t="s">
        <v>12</v>
      </c>
      <c r="D121" s="6">
        <v>37</v>
      </c>
      <c r="E121" s="7">
        <v>44338</v>
      </c>
      <c r="F121" s="18">
        <v>88050</v>
      </c>
      <c r="G121" s="6" t="s">
        <v>24</v>
      </c>
      <c r="H121" s="6" t="s">
        <v>207</v>
      </c>
      <c r="I121" s="8">
        <f ca="1">(TODAY()-staff[[#This Row],[Date Joined]])/365</f>
        <v>2.1369863013698631</v>
      </c>
      <c r="J121" s="18">
        <f ca="1">ROUNDUP(IF(I121&gt;2,3%,2%)*staff[Salary],0)</f>
        <v>2642</v>
      </c>
      <c r="K121" s="22">
        <f>VLOOKUP(staff[[#This Row],[Rating]],rating[],2,FALSE)</f>
        <v>2</v>
      </c>
    </row>
    <row r="122" spans="1:11">
      <c r="A122" s="6" t="s">
        <v>112</v>
      </c>
      <c r="B122" s="6" t="s">
        <v>206</v>
      </c>
      <c r="C122" s="6" t="s">
        <v>12</v>
      </c>
      <c r="D122" s="6">
        <v>27</v>
      </c>
      <c r="E122" s="7">
        <v>44212</v>
      </c>
      <c r="F122" s="18">
        <v>90700</v>
      </c>
      <c r="G122" s="6" t="s">
        <v>13</v>
      </c>
      <c r="H122" s="6" t="s">
        <v>205</v>
      </c>
      <c r="I122" s="8">
        <f ca="1">(TODAY()-staff[[#This Row],[Date Joined]])/365</f>
        <v>2.4821917808219176</v>
      </c>
      <c r="J122" s="18">
        <f ca="1">ROUNDUP(IF(I122&gt;2,3%,2%)*staff[Salary],0)</f>
        <v>2721</v>
      </c>
      <c r="K122" s="22">
        <f>VLOOKUP(staff[[#This Row],[Rating]],rating[],2,FALSE)</f>
        <v>4</v>
      </c>
    </row>
    <row r="123" spans="1:11">
      <c r="A123" s="6" t="s">
        <v>11</v>
      </c>
      <c r="B123" s="6" t="s">
        <v>206</v>
      </c>
      <c r="C123" s="6" t="s">
        <v>12</v>
      </c>
      <c r="D123" s="6">
        <v>26</v>
      </c>
      <c r="E123" s="7">
        <v>44271</v>
      </c>
      <c r="F123" s="18">
        <v>90700</v>
      </c>
      <c r="G123" s="6" t="s">
        <v>13</v>
      </c>
      <c r="H123" s="6" t="s">
        <v>207</v>
      </c>
      <c r="I123" s="8">
        <f ca="1">(TODAY()-staff[[#This Row],[Date Joined]])/365</f>
        <v>2.3205479452054796</v>
      </c>
      <c r="J123" s="18">
        <f ca="1">ROUNDUP(IF(I123&gt;2,3%,2%)*staff[Salary],0)</f>
        <v>2721</v>
      </c>
      <c r="K123" s="22">
        <f>VLOOKUP(staff[[#This Row],[Rating]],rating[],2,FALSE)</f>
        <v>4</v>
      </c>
    </row>
    <row r="124" spans="1:11">
      <c r="A124" s="6" t="s">
        <v>145</v>
      </c>
      <c r="B124" s="6" t="s">
        <v>206</v>
      </c>
      <c r="C124" s="6" t="s">
        <v>12</v>
      </c>
      <c r="D124" s="6">
        <v>32</v>
      </c>
      <c r="E124" s="7">
        <v>44713</v>
      </c>
      <c r="F124" s="18">
        <v>91310</v>
      </c>
      <c r="G124" s="6" t="s">
        <v>16</v>
      </c>
      <c r="H124" s="6" t="s">
        <v>205</v>
      </c>
      <c r="I124" s="8">
        <f ca="1">(TODAY()-staff[[#This Row],[Date Joined]])/365</f>
        <v>1.1095890410958904</v>
      </c>
      <c r="J124" s="18">
        <f ca="1">ROUNDUP(IF(I124&gt;2,3%,2%)*staff[Salary],0)</f>
        <v>1827</v>
      </c>
      <c r="K124" s="22">
        <f>VLOOKUP(staff[[#This Row],[Rating]],rating[],2,FALSE)</f>
        <v>3</v>
      </c>
    </row>
    <row r="125" spans="1:11">
      <c r="A125" s="6" t="s">
        <v>52</v>
      </c>
      <c r="B125" s="6" t="s">
        <v>206</v>
      </c>
      <c r="C125" s="6" t="s">
        <v>12</v>
      </c>
      <c r="D125" s="6">
        <v>32</v>
      </c>
      <c r="E125" s="7">
        <v>44774</v>
      </c>
      <c r="F125" s="18">
        <v>91310</v>
      </c>
      <c r="G125" s="6" t="s">
        <v>16</v>
      </c>
      <c r="H125" s="6" t="s">
        <v>207</v>
      </c>
      <c r="I125" s="8">
        <f ca="1">(TODAY()-staff[[#This Row],[Date Joined]])/365</f>
        <v>0.94246575342465755</v>
      </c>
      <c r="J125" s="18">
        <f ca="1">ROUNDUP(IF(I125&gt;2,3%,2%)*staff[Salary],0)</f>
        <v>1827</v>
      </c>
      <c r="K125" s="22">
        <f>VLOOKUP(staff[[#This Row],[Rating]],rating[],2,FALSE)</f>
        <v>3</v>
      </c>
    </row>
    <row r="126" spans="1:11">
      <c r="A126" s="6" t="s">
        <v>160</v>
      </c>
      <c r="B126" s="6" t="s">
        <v>15</v>
      </c>
      <c r="C126" s="6" t="s">
        <v>21</v>
      </c>
      <c r="D126" s="6">
        <v>27</v>
      </c>
      <c r="E126" s="7">
        <v>44174</v>
      </c>
      <c r="F126" s="18">
        <v>91650</v>
      </c>
      <c r="G126" s="6" t="s">
        <v>13</v>
      </c>
      <c r="H126" s="6" t="s">
        <v>205</v>
      </c>
      <c r="I126" s="8">
        <f ca="1">(TODAY()-staff[[#This Row],[Date Joined]])/365</f>
        <v>2.5863013698630137</v>
      </c>
      <c r="J126" s="18">
        <f ca="1">ROUNDUP(IF(I126&gt;2,3%,2%)*staff[Salary],0)</f>
        <v>2750</v>
      </c>
      <c r="K126" s="22">
        <f>VLOOKUP(staff[[#This Row],[Rating]],rating[],2,FALSE)</f>
        <v>4</v>
      </c>
    </row>
    <row r="127" spans="1:11">
      <c r="A127" s="6" t="s">
        <v>68</v>
      </c>
      <c r="B127" s="6" t="s">
        <v>15</v>
      </c>
      <c r="C127" s="6" t="s">
        <v>21</v>
      </c>
      <c r="D127" s="6">
        <v>27</v>
      </c>
      <c r="E127" s="7">
        <v>44236</v>
      </c>
      <c r="F127" s="18">
        <v>91650</v>
      </c>
      <c r="G127" s="6" t="s">
        <v>13</v>
      </c>
      <c r="H127" s="6" t="s">
        <v>207</v>
      </c>
      <c r="I127" s="8">
        <f ca="1">(TODAY()-staff[[#This Row],[Date Joined]])/365</f>
        <v>2.4164383561643836</v>
      </c>
      <c r="J127" s="18">
        <f ca="1">ROUNDUP(IF(I127&gt;2,3%,2%)*staff[Salary],0)</f>
        <v>2750</v>
      </c>
      <c r="K127" s="22">
        <f>VLOOKUP(staff[[#This Row],[Rating]],rating[],2,FALSE)</f>
        <v>4</v>
      </c>
    </row>
    <row r="128" spans="1:11">
      <c r="A128" s="6" t="s">
        <v>195</v>
      </c>
      <c r="B128" s="6" t="s">
        <v>8</v>
      </c>
      <c r="C128" s="6" t="s">
        <v>21</v>
      </c>
      <c r="D128" s="6">
        <v>34</v>
      </c>
      <c r="E128" s="7">
        <v>44383</v>
      </c>
      <c r="F128" s="18">
        <v>92450</v>
      </c>
      <c r="G128" s="6" t="s">
        <v>16</v>
      </c>
      <c r="H128" s="6" t="s">
        <v>205</v>
      </c>
      <c r="I128" s="8">
        <f ca="1">(TODAY()-staff[[#This Row],[Date Joined]])/365</f>
        <v>2.0136986301369864</v>
      </c>
      <c r="J128" s="18">
        <f ca="1">ROUNDUP(IF(I128&gt;2,3%,2%)*staff[Salary],0)</f>
        <v>2774</v>
      </c>
      <c r="K128" s="22">
        <f>VLOOKUP(staff[[#This Row],[Rating]],rating[],2,FALSE)</f>
        <v>3</v>
      </c>
    </row>
    <row r="129" spans="1:11">
      <c r="A129" s="6" t="s">
        <v>102</v>
      </c>
      <c r="B129" s="6" t="s">
        <v>8</v>
      </c>
      <c r="C129" s="6" t="s">
        <v>21</v>
      </c>
      <c r="D129" s="6">
        <v>34</v>
      </c>
      <c r="E129" s="7">
        <v>44445</v>
      </c>
      <c r="F129" s="18">
        <v>92450</v>
      </c>
      <c r="G129" s="6" t="s">
        <v>16</v>
      </c>
      <c r="H129" s="6" t="s">
        <v>207</v>
      </c>
      <c r="I129" s="8">
        <f ca="1">(TODAY()-staff[[#This Row],[Date Joined]])/365</f>
        <v>1.8438356164383563</v>
      </c>
      <c r="J129" s="18">
        <f ca="1">ROUNDUP(IF(I129&gt;2,3%,2%)*staff[Salary],0)</f>
        <v>1849</v>
      </c>
      <c r="K129" s="22">
        <f>VLOOKUP(staff[[#This Row],[Rating]],rating[],2,FALSE)</f>
        <v>3</v>
      </c>
    </row>
    <row r="130" spans="1:11">
      <c r="A130" s="6" t="s">
        <v>169</v>
      </c>
      <c r="B130" s="6" t="s">
        <v>8</v>
      </c>
      <c r="C130" s="6" t="s">
        <v>19</v>
      </c>
      <c r="D130" s="6">
        <v>25</v>
      </c>
      <c r="E130" s="7">
        <v>44144</v>
      </c>
      <c r="F130" s="18">
        <v>92700</v>
      </c>
      <c r="G130" s="6" t="s">
        <v>16</v>
      </c>
      <c r="H130" s="6" t="s">
        <v>205</v>
      </c>
      <c r="I130" s="8">
        <f ca="1">(TODAY()-staff[[#This Row],[Date Joined]])/365</f>
        <v>2.6684931506849314</v>
      </c>
      <c r="J130" s="18">
        <f ca="1">ROUNDUP(IF(I130&gt;2,3%,2%)*staff[Salary],0)</f>
        <v>2781</v>
      </c>
      <c r="K130" s="22">
        <f>VLOOKUP(staff[[#This Row],[Rating]],rating[],2,FALSE)</f>
        <v>3</v>
      </c>
    </row>
    <row r="131" spans="1:11">
      <c r="A131" s="6" t="s">
        <v>77</v>
      </c>
      <c r="B131" s="6" t="s">
        <v>8</v>
      </c>
      <c r="C131" s="6" t="s">
        <v>19</v>
      </c>
      <c r="D131" s="6">
        <v>25</v>
      </c>
      <c r="E131" s="7">
        <v>44205</v>
      </c>
      <c r="F131" s="18">
        <v>92700</v>
      </c>
      <c r="G131" s="6" t="s">
        <v>16</v>
      </c>
      <c r="H131" s="6" t="s">
        <v>207</v>
      </c>
      <c r="I131" s="8">
        <f ca="1">(TODAY()-staff[[#This Row],[Date Joined]])/365</f>
        <v>2.5013698630136987</v>
      </c>
      <c r="J131" s="18">
        <f ca="1">ROUNDUP(IF(I131&gt;2,3%,2%)*staff[Salary],0)</f>
        <v>2781</v>
      </c>
      <c r="K131" s="22">
        <f>VLOOKUP(staff[[#This Row],[Rating]],rating[],2,FALSE)</f>
        <v>3</v>
      </c>
    </row>
    <row r="132" spans="1:11">
      <c r="A132" s="6" t="s">
        <v>163</v>
      </c>
      <c r="B132" s="6" t="s">
        <v>8</v>
      </c>
      <c r="C132" s="6" t="s">
        <v>12</v>
      </c>
      <c r="D132" s="6">
        <v>33</v>
      </c>
      <c r="E132" s="7">
        <v>44129</v>
      </c>
      <c r="F132" s="18">
        <v>96140</v>
      </c>
      <c r="G132" s="6" t="s">
        <v>16</v>
      </c>
      <c r="H132" s="6" t="s">
        <v>205</v>
      </c>
      <c r="I132" s="8">
        <f ca="1">(TODAY()-staff[[#This Row],[Date Joined]])/365</f>
        <v>2.7095890410958905</v>
      </c>
      <c r="J132" s="18">
        <f ca="1">ROUNDUP(IF(I132&gt;2,3%,2%)*staff[Salary],0)</f>
        <v>2885</v>
      </c>
      <c r="K132" s="22">
        <f>VLOOKUP(staff[[#This Row],[Rating]],rating[],2,FALSE)</f>
        <v>3</v>
      </c>
    </row>
    <row r="133" spans="1:11">
      <c r="A133" s="6" t="s">
        <v>71</v>
      </c>
      <c r="B133" s="6" t="s">
        <v>8</v>
      </c>
      <c r="C133" s="6" t="s">
        <v>12</v>
      </c>
      <c r="D133" s="6">
        <v>33</v>
      </c>
      <c r="E133" s="7">
        <v>44190</v>
      </c>
      <c r="F133" s="18">
        <v>96140</v>
      </c>
      <c r="G133" s="6" t="s">
        <v>16</v>
      </c>
      <c r="H133" s="6" t="s">
        <v>207</v>
      </c>
      <c r="I133" s="8">
        <f ca="1">(TODAY()-staff[[#This Row],[Date Joined]])/365</f>
        <v>2.5424657534246577</v>
      </c>
      <c r="J133" s="18">
        <f ca="1">ROUNDUP(IF(I133&gt;2,3%,2%)*staff[Salary],0)</f>
        <v>2885</v>
      </c>
      <c r="K133" s="22">
        <f>VLOOKUP(staff[[#This Row],[Rating]],rating[],2,FALSE)</f>
        <v>3</v>
      </c>
    </row>
    <row r="134" spans="1:11">
      <c r="A134" s="6" t="s">
        <v>177</v>
      </c>
      <c r="B134" s="6" t="s">
        <v>15</v>
      </c>
      <c r="C134" s="6" t="s">
        <v>21</v>
      </c>
      <c r="D134" s="6">
        <v>30</v>
      </c>
      <c r="E134" s="7">
        <v>44544</v>
      </c>
      <c r="F134" s="18">
        <v>96800</v>
      </c>
      <c r="G134" s="6" t="s">
        <v>16</v>
      </c>
      <c r="H134" s="6" t="s">
        <v>205</v>
      </c>
      <c r="I134" s="8">
        <f ca="1">(TODAY()-staff[[#This Row],[Date Joined]])/365</f>
        <v>1.5726027397260274</v>
      </c>
      <c r="J134" s="18">
        <f ca="1">ROUNDUP(IF(I134&gt;2,3%,2%)*staff[Salary],0)</f>
        <v>1936</v>
      </c>
      <c r="K134" s="22">
        <f>VLOOKUP(staff[[#This Row],[Rating]],rating[],2,FALSE)</f>
        <v>3</v>
      </c>
    </row>
    <row r="135" spans="1:11">
      <c r="A135" s="6" t="s">
        <v>85</v>
      </c>
      <c r="B135" s="6" t="s">
        <v>15</v>
      </c>
      <c r="C135" s="6" t="s">
        <v>21</v>
      </c>
      <c r="D135" s="6">
        <v>30</v>
      </c>
      <c r="E135" s="7">
        <v>44606</v>
      </c>
      <c r="F135" s="18">
        <v>96800</v>
      </c>
      <c r="G135" s="6" t="s">
        <v>16</v>
      </c>
      <c r="H135" s="6" t="s">
        <v>207</v>
      </c>
      <c r="I135" s="8">
        <f ca="1">(TODAY()-staff[[#This Row],[Date Joined]])/365</f>
        <v>1.4027397260273973</v>
      </c>
      <c r="J135" s="18">
        <f ca="1">ROUNDUP(IF(I135&gt;2,3%,2%)*staff[Salary],0)</f>
        <v>1936</v>
      </c>
      <c r="K135" s="22">
        <f>VLOOKUP(staff[[#This Row],[Rating]],rating[],2,FALSE)</f>
        <v>3</v>
      </c>
    </row>
    <row r="136" spans="1:11">
      <c r="A136" s="6" t="s">
        <v>198</v>
      </c>
      <c r="B136" s="6" t="s">
        <v>15</v>
      </c>
      <c r="C136" s="6" t="s">
        <v>9</v>
      </c>
      <c r="D136" s="6">
        <v>40</v>
      </c>
      <c r="E136" s="7">
        <v>44204</v>
      </c>
      <c r="F136" s="18">
        <v>99750</v>
      </c>
      <c r="G136" s="6" t="s">
        <v>16</v>
      </c>
      <c r="H136" s="6" t="s">
        <v>205</v>
      </c>
      <c r="I136" s="8">
        <f ca="1">(TODAY()-staff[[#This Row],[Date Joined]])/365</f>
        <v>2.504109589041096</v>
      </c>
      <c r="J136" s="18">
        <f ca="1">ROUNDUP(IF(I136&gt;2,3%,2%)*staff[Salary],0)</f>
        <v>2993</v>
      </c>
      <c r="K136" s="22">
        <f>VLOOKUP(staff[[#This Row],[Rating]],rating[],2,FALSE)</f>
        <v>3</v>
      </c>
    </row>
    <row r="137" spans="1:11">
      <c r="A137" s="6" t="s">
        <v>105</v>
      </c>
      <c r="B137" s="6" t="s">
        <v>15</v>
      </c>
      <c r="C137" s="6" t="s">
        <v>9</v>
      </c>
      <c r="D137" s="6">
        <v>40</v>
      </c>
      <c r="E137" s="7">
        <v>44263</v>
      </c>
      <c r="F137" s="18">
        <v>99750</v>
      </c>
      <c r="G137" s="6" t="s">
        <v>16</v>
      </c>
      <c r="H137" s="6" t="s">
        <v>207</v>
      </c>
      <c r="I137" s="8">
        <f ca="1">(TODAY()-staff[[#This Row],[Date Joined]])/365</f>
        <v>2.3424657534246576</v>
      </c>
      <c r="J137" s="18">
        <f ca="1">ROUNDUP(IF(I137&gt;2,3%,2%)*staff[Salary],0)</f>
        <v>2993</v>
      </c>
      <c r="K137" s="22">
        <f>VLOOKUP(staff[[#This Row],[Rating]],rating[],2,FALSE)</f>
        <v>3</v>
      </c>
    </row>
    <row r="138" spans="1:11">
      <c r="A138" s="6" t="s">
        <v>200</v>
      </c>
      <c r="B138" s="6" t="s">
        <v>8</v>
      </c>
      <c r="C138" s="6" t="s">
        <v>9</v>
      </c>
      <c r="D138" s="6">
        <v>28</v>
      </c>
      <c r="E138" s="7">
        <v>44571</v>
      </c>
      <c r="F138" s="18">
        <v>99970</v>
      </c>
      <c r="G138" s="6" t="s">
        <v>16</v>
      </c>
      <c r="H138" s="6" t="s">
        <v>205</v>
      </c>
      <c r="I138" s="8">
        <f ca="1">(TODAY()-staff[[#This Row],[Date Joined]])/365</f>
        <v>1.4986301369863013</v>
      </c>
      <c r="J138" s="18">
        <f ca="1">ROUNDUP(IF(I138&gt;2,3%,2%)*staff[Salary],0)</f>
        <v>2000</v>
      </c>
      <c r="K138" s="22">
        <f>VLOOKUP(staff[[#This Row],[Rating]],rating[],2,FALSE)</f>
        <v>3</v>
      </c>
    </row>
    <row r="139" spans="1:11">
      <c r="A139" s="6" t="s">
        <v>107</v>
      </c>
      <c r="B139" s="6" t="s">
        <v>8</v>
      </c>
      <c r="C139" s="6" t="s">
        <v>9</v>
      </c>
      <c r="D139" s="6">
        <v>28</v>
      </c>
      <c r="E139" s="7">
        <v>44630</v>
      </c>
      <c r="F139" s="18">
        <v>99970</v>
      </c>
      <c r="G139" s="6" t="s">
        <v>16</v>
      </c>
      <c r="H139" s="6" t="s">
        <v>207</v>
      </c>
      <c r="I139" s="8">
        <f ca="1">(TODAY()-staff[[#This Row],[Date Joined]])/365</f>
        <v>1.3369863013698631</v>
      </c>
      <c r="J139" s="18">
        <f ca="1">ROUNDUP(IF(I139&gt;2,3%,2%)*staff[Salary],0)</f>
        <v>2000</v>
      </c>
      <c r="K139" s="22">
        <f>VLOOKUP(staff[[#This Row],[Rating]],rating[],2,FALSE)</f>
        <v>3</v>
      </c>
    </row>
    <row r="140" spans="1:11">
      <c r="A140" s="6" t="s">
        <v>196</v>
      </c>
      <c r="B140" s="6" t="s">
        <v>15</v>
      </c>
      <c r="C140" s="6" t="s">
        <v>12</v>
      </c>
      <c r="D140" s="6">
        <v>24</v>
      </c>
      <c r="E140" s="7">
        <v>44625</v>
      </c>
      <c r="F140" s="18">
        <v>100420</v>
      </c>
      <c r="G140" s="6" t="s">
        <v>16</v>
      </c>
      <c r="H140" s="6" t="s">
        <v>205</v>
      </c>
      <c r="I140" s="8">
        <f ca="1">(TODAY()-staff[[#This Row],[Date Joined]])/365</f>
        <v>1.3506849315068492</v>
      </c>
      <c r="J140" s="18">
        <f ca="1">ROUNDUP(IF(I140&gt;2,3%,2%)*staff[Salary],0)</f>
        <v>2009</v>
      </c>
      <c r="K140" s="22">
        <f>VLOOKUP(staff[[#This Row],[Rating]],rating[],2,FALSE)</f>
        <v>3</v>
      </c>
    </row>
    <row r="141" spans="1:11">
      <c r="A141" s="6" t="s">
        <v>103</v>
      </c>
      <c r="B141" s="6" t="s">
        <v>15</v>
      </c>
      <c r="C141" s="6" t="s">
        <v>12</v>
      </c>
      <c r="D141" s="6">
        <v>24</v>
      </c>
      <c r="E141" s="7">
        <v>44686</v>
      </c>
      <c r="F141" s="18">
        <v>100420</v>
      </c>
      <c r="G141" s="6" t="s">
        <v>16</v>
      </c>
      <c r="H141" s="6" t="s">
        <v>207</v>
      </c>
      <c r="I141" s="8">
        <f ca="1">(TODAY()-staff[[#This Row],[Date Joined]])/365</f>
        <v>1.1835616438356165</v>
      </c>
      <c r="J141" s="18">
        <f ca="1">ROUNDUP(IF(I141&gt;2,3%,2%)*staff[Salary],0)</f>
        <v>2009</v>
      </c>
      <c r="K141" s="22">
        <f>VLOOKUP(staff[[#This Row],[Rating]],rating[],2,FALSE)</f>
        <v>3</v>
      </c>
    </row>
    <row r="142" spans="1:11">
      <c r="A142" s="6" t="s">
        <v>143</v>
      </c>
      <c r="B142" s="6" t="s">
        <v>15</v>
      </c>
      <c r="C142" s="6" t="s">
        <v>9</v>
      </c>
      <c r="D142" s="6">
        <v>31</v>
      </c>
      <c r="E142" s="7">
        <v>44663</v>
      </c>
      <c r="F142" s="18">
        <v>103550</v>
      </c>
      <c r="G142" s="6" t="s">
        <v>16</v>
      </c>
      <c r="H142" s="6" t="s">
        <v>205</v>
      </c>
      <c r="I142" s="8">
        <f ca="1">(TODAY()-staff[[#This Row],[Date Joined]])/365</f>
        <v>1.2465753424657535</v>
      </c>
      <c r="J142" s="18">
        <f ca="1">ROUNDUP(IF(I142&gt;2,3%,2%)*staff[Salary],0)</f>
        <v>2071</v>
      </c>
      <c r="K142" s="22">
        <f>VLOOKUP(staff[[#This Row],[Rating]],rating[],2,FALSE)</f>
        <v>3</v>
      </c>
    </row>
    <row r="143" spans="1:11">
      <c r="A143" s="6" t="s">
        <v>50</v>
      </c>
      <c r="B143" s="6" t="s">
        <v>15</v>
      </c>
      <c r="C143" s="6" t="s">
        <v>9</v>
      </c>
      <c r="D143" s="6">
        <v>31</v>
      </c>
      <c r="E143" s="7">
        <v>44724</v>
      </c>
      <c r="F143" s="18">
        <v>103550</v>
      </c>
      <c r="G143" s="6" t="s">
        <v>16</v>
      </c>
      <c r="H143" s="6" t="s">
        <v>207</v>
      </c>
      <c r="I143" s="8">
        <f ca="1">(TODAY()-staff[[#This Row],[Date Joined]])/365</f>
        <v>1.0794520547945206</v>
      </c>
      <c r="J143" s="18">
        <f ca="1">ROUNDUP(IF(I143&gt;2,3%,2%)*staff[Salary],0)</f>
        <v>2071</v>
      </c>
      <c r="K143" s="22">
        <f>VLOOKUP(staff[[#This Row],[Rating]],rating[],2,FALSE)</f>
        <v>3</v>
      </c>
    </row>
    <row r="144" spans="1:11">
      <c r="A144" s="6" t="s">
        <v>189</v>
      </c>
      <c r="B144" s="6" t="s">
        <v>8</v>
      </c>
      <c r="C144" s="6" t="s">
        <v>9</v>
      </c>
      <c r="D144" s="6">
        <v>28</v>
      </c>
      <c r="E144" s="7">
        <v>44590</v>
      </c>
      <c r="F144" s="18">
        <v>104120</v>
      </c>
      <c r="G144" s="6" t="s">
        <v>16</v>
      </c>
      <c r="H144" s="6" t="s">
        <v>205</v>
      </c>
      <c r="I144" s="8">
        <f ca="1">(TODAY()-staff[[#This Row],[Date Joined]])/365</f>
        <v>1.4465753424657535</v>
      </c>
      <c r="J144" s="18">
        <f ca="1">ROUNDUP(IF(I144&gt;2,3%,2%)*staff[Salary],0)</f>
        <v>2083</v>
      </c>
      <c r="K144" s="22">
        <f>VLOOKUP(staff[[#This Row],[Rating]],rating[],2,FALSE)</f>
        <v>3</v>
      </c>
    </row>
    <row r="145" spans="1:11">
      <c r="A145" s="6" t="s">
        <v>96</v>
      </c>
      <c r="B145" s="6" t="s">
        <v>8</v>
      </c>
      <c r="C145" s="6" t="s">
        <v>9</v>
      </c>
      <c r="D145" s="6">
        <v>28</v>
      </c>
      <c r="E145" s="7">
        <v>44649</v>
      </c>
      <c r="F145" s="18">
        <v>104120</v>
      </c>
      <c r="G145" s="6" t="s">
        <v>16</v>
      </c>
      <c r="H145" s="6" t="s">
        <v>207</v>
      </c>
      <c r="I145" s="8">
        <f ca="1">(TODAY()-staff[[#This Row],[Date Joined]])/365</f>
        <v>1.284931506849315</v>
      </c>
      <c r="J145" s="18">
        <f ca="1">ROUNDUP(IF(I145&gt;2,3%,2%)*staff[Salary],0)</f>
        <v>2083</v>
      </c>
      <c r="K145" s="22">
        <f>VLOOKUP(staff[[#This Row],[Rating]],rating[],2,FALSE)</f>
        <v>3</v>
      </c>
    </row>
    <row r="146" spans="1:11">
      <c r="A146" s="6" t="s">
        <v>194</v>
      </c>
      <c r="B146" s="6" t="s">
        <v>8</v>
      </c>
      <c r="C146" s="6" t="s">
        <v>12</v>
      </c>
      <c r="D146" s="6">
        <v>40</v>
      </c>
      <c r="E146" s="7">
        <v>44320</v>
      </c>
      <c r="F146" s="18">
        <v>104410</v>
      </c>
      <c r="G146" s="6" t="s">
        <v>16</v>
      </c>
      <c r="H146" s="6" t="s">
        <v>205</v>
      </c>
      <c r="I146" s="8">
        <f ca="1">(TODAY()-staff[[#This Row],[Date Joined]])/365</f>
        <v>2.1863013698630138</v>
      </c>
      <c r="J146" s="18">
        <f ca="1">ROUNDUP(IF(I146&gt;2,3%,2%)*staff[Salary],0)</f>
        <v>3133</v>
      </c>
      <c r="K146" s="22">
        <f>VLOOKUP(staff[[#This Row],[Rating]],rating[],2,FALSE)</f>
        <v>3</v>
      </c>
    </row>
    <row r="147" spans="1:11">
      <c r="A147" s="6" t="s">
        <v>101</v>
      </c>
      <c r="B147" s="6" t="s">
        <v>8</v>
      </c>
      <c r="C147" s="6" t="s">
        <v>12</v>
      </c>
      <c r="D147" s="6">
        <v>40</v>
      </c>
      <c r="E147" s="7">
        <v>44381</v>
      </c>
      <c r="F147" s="18">
        <v>104410</v>
      </c>
      <c r="G147" s="6" t="s">
        <v>16</v>
      </c>
      <c r="H147" s="6" t="s">
        <v>207</v>
      </c>
      <c r="I147" s="8">
        <f ca="1">(TODAY()-staff[[#This Row],[Date Joined]])/365</f>
        <v>2.0191780821917806</v>
      </c>
      <c r="J147" s="18">
        <f ca="1">ROUNDUP(IF(I147&gt;2,3%,2%)*staff[Salary],0)</f>
        <v>3133</v>
      </c>
      <c r="K147" s="22">
        <f>VLOOKUP(staff[[#This Row],[Rating]],rating[],2,FALSE)</f>
        <v>3</v>
      </c>
    </row>
    <row r="148" spans="1:11">
      <c r="A148" s="6" t="s">
        <v>136</v>
      </c>
      <c r="B148" s="6" t="s">
        <v>8</v>
      </c>
      <c r="C148" s="6" t="s">
        <v>9</v>
      </c>
      <c r="D148" s="6">
        <v>28</v>
      </c>
      <c r="E148" s="7">
        <v>44425</v>
      </c>
      <c r="F148" s="18">
        <v>104770</v>
      </c>
      <c r="G148" s="6" t="s">
        <v>16</v>
      </c>
      <c r="H148" s="6" t="s">
        <v>205</v>
      </c>
      <c r="I148" s="8">
        <f ca="1">(TODAY()-staff[[#This Row],[Date Joined]])/365</f>
        <v>1.8986301369863015</v>
      </c>
      <c r="J148" s="18">
        <f ca="1">ROUNDUP(IF(I148&gt;2,3%,2%)*staff[Salary],0)</f>
        <v>2096</v>
      </c>
      <c r="K148" s="22">
        <f>VLOOKUP(staff[[#This Row],[Rating]],rating[],2,FALSE)</f>
        <v>3</v>
      </c>
    </row>
    <row r="149" spans="1:11">
      <c r="A149" s="6" t="s">
        <v>43</v>
      </c>
      <c r="B149" s="6" t="s">
        <v>8</v>
      </c>
      <c r="C149" s="6" t="s">
        <v>9</v>
      </c>
      <c r="D149" s="6">
        <v>28</v>
      </c>
      <c r="E149" s="7">
        <v>44486</v>
      </c>
      <c r="F149" s="18">
        <v>104770</v>
      </c>
      <c r="G149" s="6" t="s">
        <v>16</v>
      </c>
      <c r="H149" s="6" t="s">
        <v>207</v>
      </c>
      <c r="I149" s="8">
        <f ca="1">(TODAY()-staff[[#This Row],[Date Joined]])/365</f>
        <v>1.7315068493150685</v>
      </c>
      <c r="J149" s="18">
        <f ca="1">ROUNDUP(IF(I149&gt;2,3%,2%)*staff[Salary],0)</f>
        <v>2096</v>
      </c>
      <c r="K149" s="22">
        <f>VLOOKUP(staff[[#This Row],[Rating]],rating[],2,FALSE)</f>
        <v>3</v>
      </c>
    </row>
    <row r="150" spans="1:11">
      <c r="A150" s="6" t="s">
        <v>161</v>
      </c>
      <c r="B150" s="6" t="s">
        <v>15</v>
      </c>
      <c r="C150" s="6" t="s">
        <v>9</v>
      </c>
      <c r="D150" s="6">
        <v>23</v>
      </c>
      <c r="E150" s="7">
        <v>44378</v>
      </c>
      <c r="F150" s="18">
        <v>106460</v>
      </c>
      <c r="G150" s="6" t="s">
        <v>16</v>
      </c>
      <c r="H150" s="6" t="s">
        <v>205</v>
      </c>
      <c r="I150" s="8">
        <f ca="1">(TODAY()-staff[[#This Row],[Date Joined]])/365</f>
        <v>2.0273972602739727</v>
      </c>
      <c r="J150" s="18">
        <f ca="1">ROUNDUP(IF(I150&gt;2,3%,2%)*staff[Salary],0)</f>
        <v>3194</v>
      </c>
      <c r="K150" s="22">
        <f>VLOOKUP(staff[[#This Row],[Rating]],rating[],2,FALSE)</f>
        <v>3</v>
      </c>
    </row>
    <row r="151" spans="1:11">
      <c r="A151" s="6" t="s">
        <v>69</v>
      </c>
      <c r="B151" s="6" t="s">
        <v>15</v>
      </c>
      <c r="C151" s="6" t="s">
        <v>9</v>
      </c>
      <c r="D151" s="6">
        <v>23</v>
      </c>
      <c r="E151" s="7">
        <v>44440</v>
      </c>
      <c r="F151" s="18">
        <v>106460</v>
      </c>
      <c r="G151" s="6" t="s">
        <v>16</v>
      </c>
      <c r="H151" s="6" t="s">
        <v>207</v>
      </c>
      <c r="I151" s="8">
        <f ca="1">(TODAY()-staff[[#This Row],[Date Joined]])/365</f>
        <v>1.8575342465753424</v>
      </c>
      <c r="J151" s="18">
        <f ca="1">ROUNDUP(IF(I151&gt;2,3%,2%)*staff[Salary],0)</f>
        <v>2130</v>
      </c>
      <c r="K151" s="22">
        <f>VLOOKUP(staff[[#This Row],[Rating]],rating[],2,FALSE)</f>
        <v>3</v>
      </c>
    </row>
    <row r="152" spans="1:11">
      <c r="A152" s="6" t="s">
        <v>117</v>
      </c>
      <c r="B152" s="6" t="s">
        <v>15</v>
      </c>
      <c r="C152" s="6" t="s">
        <v>12</v>
      </c>
      <c r="D152" s="6">
        <v>20</v>
      </c>
      <c r="E152" s="7">
        <v>44397</v>
      </c>
      <c r="F152" s="18">
        <v>107700</v>
      </c>
      <c r="G152" s="6" t="s">
        <v>16</v>
      </c>
      <c r="H152" s="6" t="s">
        <v>205</v>
      </c>
      <c r="I152" s="8">
        <f ca="1">(TODAY()-staff[[#This Row],[Date Joined]])/365</f>
        <v>1.9753424657534246</v>
      </c>
      <c r="J152" s="18">
        <f ca="1">ROUNDUP(IF(I152&gt;2,3%,2%)*staff[Salary],0)</f>
        <v>2154</v>
      </c>
      <c r="K152" s="22">
        <f>VLOOKUP(staff[[#This Row],[Rating]],rating[],2,FALSE)</f>
        <v>3</v>
      </c>
    </row>
    <row r="153" spans="1:11">
      <c r="A153" s="6" t="s">
        <v>22</v>
      </c>
      <c r="B153" s="6" t="s">
        <v>15</v>
      </c>
      <c r="C153" s="6" t="s">
        <v>12</v>
      </c>
      <c r="D153" s="6">
        <v>20</v>
      </c>
      <c r="E153" s="7">
        <v>44459</v>
      </c>
      <c r="F153" s="18">
        <v>107700</v>
      </c>
      <c r="G153" s="6" t="s">
        <v>16</v>
      </c>
      <c r="H153" s="6" t="s">
        <v>207</v>
      </c>
      <c r="I153" s="8">
        <f ca="1">(TODAY()-staff[[#This Row],[Date Joined]])/365</f>
        <v>1.8054794520547945</v>
      </c>
      <c r="J153" s="18">
        <f ca="1">ROUNDUP(IF(I153&gt;2,3%,2%)*staff[Salary],0)</f>
        <v>2154</v>
      </c>
      <c r="K153" s="22">
        <f>VLOOKUP(staff[[#This Row],[Rating]],rating[],2,FALSE)</f>
        <v>3</v>
      </c>
    </row>
    <row r="154" spans="1:11">
      <c r="A154" s="6" t="s">
        <v>127</v>
      </c>
      <c r="B154" s="6" t="s">
        <v>8</v>
      </c>
      <c r="C154" s="6" t="s">
        <v>19</v>
      </c>
      <c r="D154" s="6">
        <v>38</v>
      </c>
      <c r="E154" s="7">
        <v>44316</v>
      </c>
      <c r="F154" s="18">
        <v>109160</v>
      </c>
      <c r="G154" s="6" t="s">
        <v>10</v>
      </c>
      <c r="H154" s="6" t="s">
        <v>205</v>
      </c>
      <c r="I154" s="8">
        <f ca="1">(TODAY()-staff[[#This Row],[Date Joined]])/365</f>
        <v>2.1972602739726028</v>
      </c>
      <c r="J154" s="18">
        <f ca="1">ROUNDUP(IF(I154&gt;2,3%,2%)*staff[Salary],0)</f>
        <v>3275</v>
      </c>
      <c r="K154" s="22">
        <f>VLOOKUP(staff[[#This Row],[Rating]],rating[],2,FALSE)</f>
        <v>5</v>
      </c>
    </row>
    <row r="155" spans="1:11">
      <c r="A155" s="6" t="s">
        <v>33</v>
      </c>
      <c r="B155" s="6" t="s">
        <v>8</v>
      </c>
      <c r="C155" s="6" t="s">
        <v>19</v>
      </c>
      <c r="D155" s="6">
        <v>38</v>
      </c>
      <c r="E155" s="7">
        <v>44377</v>
      </c>
      <c r="F155" s="18">
        <v>109160</v>
      </c>
      <c r="G155" s="6" t="s">
        <v>10</v>
      </c>
      <c r="H155" s="6" t="s">
        <v>207</v>
      </c>
      <c r="I155" s="8">
        <f ca="1">(TODAY()-staff[[#This Row],[Date Joined]])/365</f>
        <v>2.0301369863013701</v>
      </c>
      <c r="J155" s="18">
        <f ca="1">ROUNDUP(IF(I155&gt;2,3%,2%)*staff[Salary],0)</f>
        <v>3275</v>
      </c>
      <c r="K155" s="22">
        <f>VLOOKUP(staff[[#This Row],[Rating]],rating[],2,FALSE)</f>
        <v>5</v>
      </c>
    </row>
    <row r="156" spans="1:11">
      <c r="A156" s="6" t="s">
        <v>128</v>
      </c>
      <c r="B156" s="6" t="s">
        <v>15</v>
      </c>
      <c r="C156" s="6" t="s">
        <v>9</v>
      </c>
      <c r="D156" s="6">
        <v>25</v>
      </c>
      <c r="E156" s="7">
        <v>44665</v>
      </c>
      <c r="F156" s="18">
        <v>109190</v>
      </c>
      <c r="G156" s="6" t="s">
        <v>13</v>
      </c>
      <c r="H156" s="6" t="s">
        <v>205</v>
      </c>
      <c r="I156" s="8">
        <f ca="1">(TODAY()-staff[[#This Row],[Date Joined]])/365</f>
        <v>1.2410958904109588</v>
      </c>
      <c r="J156" s="18">
        <f ca="1">ROUNDUP(IF(I156&gt;2,3%,2%)*staff[Salary],0)</f>
        <v>2184</v>
      </c>
      <c r="K156" s="22">
        <f>VLOOKUP(staff[[#This Row],[Rating]],rating[],2,FALSE)</f>
        <v>4</v>
      </c>
    </row>
    <row r="157" spans="1:11">
      <c r="A157" s="6" t="s">
        <v>34</v>
      </c>
      <c r="B157" s="6" t="s">
        <v>15</v>
      </c>
      <c r="C157" s="6" t="s">
        <v>9</v>
      </c>
      <c r="D157" s="6">
        <v>25</v>
      </c>
      <c r="E157" s="7">
        <v>44726</v>
      </c>
      <c r="F157" s="18">
        <v>109190</v>
      </c>
      <c r="G157" s="6" t="s">
        <v>13</v>
      </c>
      <c r="H157" s="6" t="s">
        <v>207</v>
      </c>
      <c r="I157" s="8">
        <f ca="1">(TODAY()-staff[[#This Row],[Date Joined]])/365</f>
        <v>1.0739726027397261</v>
      </c>
      <c r="J157" s="18">
        <f ca="1">ROUNDUP(IF(I157&gt;2,3%,2%)*staff[Salary],0)</f>
        <v>2184</v>
      </c>
      <c r="K157" s="22">
        <f>VLOOKUP(staff[[#This Row],[Rating]],rating[],2,FALSE)</f>
        <v>4</v>
      </c>
    </row>
    <row r="158" spans="1:11">
      <c r="A158" s="6" t="s">
        <v>180</v>
      </c>
      <c r="B158" s="6" t="s">
        <v>15</v>
      </c>
      <c r="C158" s="6" t="s">
        <v>12</v>
      </c>
      <c r="D158" s="6">
        <v>29</v>
      </c>
      <c r="E158" s="7">
        <v>44119</v>
      </c>
      <c r="F158" s="18">
        <v>112110</v>
      </c>
      <c r="G158" s="6" t="s">
        <v>24</v>
      </c>
      <c r="H158" s="6" t="s">
        <v>205</v>
      </c>
      <c r="I158" s="8">
        <f ca="1">(TODAY()-staff[[#This Row],[Date Joined]])/365</f>
        <v>2.7369863013698632</v>
      </c>
      <c r="J158" s="18">
        <f ca="1">ROUNDUP(IF(I158&gt;2,3%,2%)*staff[Salary],0)</f>
        <v>3364</v>
      </c>
      <c r="K158" s="22">
        <f>VLOOKUP(staff[[#This Row],[Rating]],rating[],2,FALSE)</f>
        <v>2</v>
      </c>
    </row>
    <row r="159" spans="1:11">
      <c r="A159" s="6" t="s">
        <v>87</v>
      </c>
      <c r="B159" s="6" t="s">
        <v>15</v>
      </c>
      <c r="C159" s="6" t="s">
        <v>12</v>
      </c>
      <c r="D159" s="6">
        <v>29</v>
      </c>
      <c r="E159" s="7">
        <v>44180</v>
      </c>
      <c r="F159" s="18">
        <v>112110</v>
      </c>
      <c r="G159" s="6" t="s">
        <v>24</v>
      </c>
      <c r="H159" s="6" t="s">
        <v>207</v>
      </c>
      <c r="I159" s="8">
        <f ca="1">(TODAY()-staff[[#This Row],[Date Joined]])/365</f>
        <v>2.56986301369863</v>
      </c>
      <c r="J159" s="18">
        <f ca="1">ROUNDUP(IF(I159&gt;2,3%,2%)*staff[Salary],0)</f>
        <v>3364</v>
      </c>
      <c r="K159" s="22">
        <f>VLOOKUP(staff[[#This Row],[Rating]],rating[],2,FALSE)</f>
        <v>2</v>
      </c>
    </row>
    <row r="160" spans="1:11">
      <c r="A160" s="6" t="s">
        <v>173</v>
      </c>
      <c r="B160" s="6" t="s">
        <v>8</v>
      </c>
      <c r="C160" s="6" t="s">
        <v>9</v>
      </c>
      <c r="D160" s="6">
        <v>30</v>
      </c>
      <c r="E160" s="7">
        <v>44800</v>
      </c>
      <c r="F160" s="18">
        <v>112570</v>
      </c>
      <c r="G160" s="6" t="s">
        <v>16</v>
      </c>
      <c r="H160" s="6" t="s">
        <v>205</v>
      </c>
      <c r="I160" s="8">
        <f ca="1">(TODAY()-staff[[#This Row],[Date Joined]])/365</f>
        <v>0.87123287671232874</v>
      </c>
      <c r="J160" s="18">
        <f ca="1">ROUNDUP(IF(I160&gt;2,3%,2%)*staff[Salary],0)</f>
        <v>2252</v>
      </c>
      <c r="K160" s="22">
        <f>VLOOKUP(staff[[#This Row],[Rating]],rating[],2,FALSE)</f>
        <v>3</v>
      </c>
    </row>
    <row r="161" spans="1:11">
      <c r="A161" s="6" t="s">
        <v>81</v>
      </c>
      <c r="B161" s="6" t="s">
        <v>8</v>
      </c>
      <c r="C161" s="6" t="s">
        <v>9</v>
      </c>
      <c r="D161" s="6">
        <v>30</v>
      </c>
      <c r="E161" s="7">
        <v>44861</v>
      </c>
      <c r="F161" s="18">
        <v>112570</v>
      </c>
      <c r="G161" s="6" t="s">
        <v>16</v>
      </c>
      <c r="H161" s="6" t="s">
        <v>207</v>
      </c>
      <c r="I161" s="8">
        <f ca="1">(TODAY()-staff[[#This Row],[Date Joined]])/365</f>
        <v>0.70410958904109588</v>
      </c>
      <c r="J161" s="18">
        <f ca="1">ROUNDUP(IF(I161&gt;2,3%,2%)*staff[Salary],0)</f>
        <v>2252</v>
      </c>
      <c r="K161" s="22">
        <f>VLOOKUP(staff[[#This Row],[Rating]],rating[],2,FALSE)</f>
        <v>3</v>
      </c>
    </row>
    <row r="162" spans="1:11">
      <c r="A162" s="6" t="s">
        <v>178</v>
      </c>
      <c r="B162" s="6" t="s">
        <v>15</v>
      </c>
      <c r="C162" s="6" t="s">
        <v>9</v>
      </c>
      <c r="D162" s="6">
        <v>34</v>
      </c>
      <c r="E162" s="7">
        <v>44642</v>
      </c>
      <c r="F162" s="18">
        <v>112650</v>
      </c>
      <c r="G162" s="6" t="s">
        <v>16</v>
      </c>
      <c r="H162" s="6" t="s">
        <v>205</v>
      </c>
      <c r="I162" s="8">
        <f ca="1">(TODAY()-staff[[#This Row],[Date Joined]])/365</f>
        <v>1.3041095890410959</v>
      </c>
      <c r="J162" s="18">
        <f ca="1">ROUNDUP(IF(I162&gt;2,3%,2%)*staff[Salary],0)</f>
        <v>2253</v>
      </c>
      <c r="K162" s="22">
        <f>VLOOKUP(staff[[#This Row],[Rating]],rating[],2,FALSE)</f>
        <v>3</v>
      </c>
    </row>
    <row r="163" spans="1:11">
      <c r="A163" s="6" t="s">
        <v>156</v>
      </c>
      <c r="B163" s="6" t="s">
        <v>15</v>
      </c>
      <c r="C163" s="6" t="s">
        <v>12</v>
      </c>
      <c r="D163" s="6">
        <v>20</v>
      </c>
      <c r="E163" s="7">
        <v>44122</v>
      </c>
      <c r="F163" s="18">
        <v>112650</v>
      </c>
      <c r="G163" s="6" t="s">
        <v>16</v>
      </c>
      <c r="H163" s="6" t="s">
        <v>205</v>
      </c>
      <c r="I163" s="8">
        <f ca="1">(TODAY()-staff[[#This Row],[Date Joined]])/365</f>
        <v>2.7287671232876711</v>
      </c>
      <c r="J163" s="18">
        <f ca="1">ROUNDUP(IF(I163&gt;2,3%,2%)*staff[Salary],0)</f>
        <v>3380</v>
      </c>
      <c r="K163" s="22">
        <f>VLOOKUP(staff[[#This Row],[Rating]],rating[],2,FALSE)</f>
        <v>3</v>
      </c>
    </row>
    <row r="164" spans="1:11">
      <c r="A164" s="6" t="s">
        <v>64</v>
      </c>
      <c r="B164" s="6" t="s">
        <v>15</v>
      </c>
      <c r="C164" s="6" t="s">
        <v>12</v>
      </c>
      <c r="D164" s="6">
        <v>20</v>
      </c>
      <c r="E164" s="7">
        <v>44183</v>
      </c>
      <c r="F164" s="18">
        <v>112650</v>
      </c>
      <c r="G164" s="6" t="s">
        <v>16</v>
      </c>
      <c r="H164" s="6" t="s">
        <v>207</v>
      </c>
      <c r="I164" s="8">
        <f ca="1">(TODAY()-staff[[#This Row],[Date Joined]])/365</f>
        <v>2.5616438356164384</v>
      </c>
      <c r="J164" s="18">
        <f ca="1">ROUNDUP(IF(I164&gt;2,3%,2%)*staff[Salary],0)</f>
        <v>3380</v>
      </c>
      <c r="K164" s="22">
        <f>VLOOKUP(staff[[#This Row],[Rating]],rating[],2,FALSE)</f>
        <v>3</v>
      </c>
    </row>
    <row r="165" spans="1:11">
      <c r="A165" s="6" t="s">
        <v>150</v>
      </c>
      <c r="B165" s="6" t="s">
        <v>15</v>
      </c>
      <c r="C165" s="6" t="s">
        <v>19</v>
      </c>
      <c r="D165" s="6">
        <v>22</v>
      </c>
      <c r="E165" s="7">
        <v>44384</v>
      </c>
      <c r="F165" s="18">
        <v>112780</v>
      </c>
      <c r="G165" s="6" t="s">
        <v>13</v>
      </c>
      <c r="H165" s="6" t="s">
        <v>205</v>
      </c>
      <c r="I165" s="8">
        <f ca="1">(TODAY()-staff[[#This Row],[Date Joined]])/365</f>
        <v>2.010958904109589</v>
      </c>
      <c r="J165" s="18">
        <f ca="1">ROUNDUP(IF(I165&gt;2,3%,2%)*staff[Salary],0)</f>
        <v>3384</v>
      </c>
      <c r="K165" s="22">
        <f>VLOOKUP(staff[[#This Row],[Rating]],rating[],2,FALSE)</f>
        <v>4</v>
      </c>
    </row>
    <row r="166" spans="1:11">
      <c r="A166" s="6" t="s">
        <v>58</v>
      </c>
      <c r="B166" s="6" t="s">
        <v>15</v>
      </c>
      <c r="C166" s="6" t="s">
        <v>19</v>
      </c>
      <c r="D166" s="6">
        <v>22</v>
      </c>
      <c r="E166" s="7">
        <v>44446</v>
      </c>
      <c r="F166" s="18">
        <v>112780</v>
      </c>
      <c r="G166" s="6" t="s">
        <v>13</v>
      </c>
      <c r="H166" s="6" t="s">
        <v>207</v>
      </c>
      <c r="I166" s="8">
        <f ca="1">(TODAY()-staff[[#This Row],[Date Joined]])/365</f>
        <v>1.8410958904109589</v>
      </c>
      <c r="J166" s="18">
        <f ca="1">ROUNDUP(IF(I166&gt;2,3%,2%)*staff[Salary],0)</f>
        <v>2256</v>
      </c>
      <c r="K166" s="22">
        <f>VLOOKUP(staff[[#This Row],[Rating]],rating[],2,FALSE)</f>
        <v>4</v>
      </c>
    </row>
    <row r="167" spans="1:11">
      <c r="A167" s="6" t="s">
        <v>191</v>
      </c>
      <c r="B167" s="6" t="s">
        <v>15</v>
      </c>
      <c r="C167" s="6" t="s">
        <v>9</v>
      </c>
      <c r="D167" s="6">
        <v>27</v>
      </c>
      <c r="E167" s="7">
        <v>44547</v>
      </c>
      <c r="F167" s="18">
        <v>113280</v>
      </c>
      <c r="G167" s="6" t="s">
        <v>42</v>
      </c>
      <c r="H167" s="6" t="s">
        <v>205</v>
      </c>
      <c r="I167" s="8">
        <f ca="1">(TODAY()-staff[[#This Row],[Date Joined]])/365</f>
        <v>1.5643835616438355</v>
      </c>
      <c r="J167" s="18">
        <f ca="1">ROUNDUP(IF(I167&gt;2,3%,2%)*staff[Salary],0)</f>
        <v>2266</v>
      </c>
      <c r="K167" s="22">
        <f>VLOOKUP(staff[[#This Row],[Rating]],rating[],2,FALSE)</f>
        <v>1</v>
      </c>
    </row>
    <row r="168" spans="1:11">
      <c r="A168" s="6" t="s">
        <v>98</v>
      </c>
      <c r="B168" s="6" t="s">
        <v>15</v>
      </c>
      <c r="C168" s="6" t="s">
        <v>9</v>
      </c>
      <c r="D168" s="6">
        <v>27</v>
      </c>
      <c r="E168" s="7">
        <v>44609</v>
      </c>
      <c r="F168" s="18">
        <v>113280</v>
      </c>
      <c r="G168" s="6" t="s">
        <v>42</v>
      </c>
      <c r="H168" s="6" t="s">
        <v>207</v>
      </c>
      <c r="I168" s="8">
        <f ca="1">(TODAY()-staff[[#This Row],[Date Joined]])/365</f>
        <v>1.3945205479452054</v>
      </c>
      <c r="J168" s="18">
        <f ca="1">ROUNDUP(IF(I168&gt;2,3%,2%)*staff[Salary],0)</f>
        <v>2266</v>
      </c>
      <c r="K168" s="22">
        <f>VLOOKUP(staff[[#This Row],[Rating]],rating[],2,FALSE)</f>
        <v>1</v>
      </c>
    </row>
    <row r="169" spans="1:11">
      <c r="A169" s="6" t="s">
        <v>147</v>
      </c>
      <c r="B169" s="6" t="s">
        <v>8</v>
      </c>
      <c r="C169" s="6" t="s">
        <v>9</v>
      </c>
      <c r="D169" s="6">
        <v>30</v>
      </c>
      <c r="E169" s="7">
        <v>44789</v>
      </c>
      <c r="F169" s="18">
        <v>114180</v>
      </c>
      <c r="G169" s="6" t="s">
        <v>16</v>
      </c>
      <c r="H169" s="6" t="s">
        <v>205</v>
      </c>
      <c r="I169" s="8">
        <f ca="1">(TODAY()-staff[[#This Row],[Date Joined]])/365</f>
        <v>0.90136986301369859</v>
      </c>
      <c r="J169" s="18">
        <f ca="1">ROUNDUP(IF(I169&gt;2,3%,2%)*staff[Salary],0)</f>
        <v>2284</v>
      </c>
      <c r="K169" s="22">
        <f>VLOOKUP(staff[[#This Row],[Rating]],rating[],2,FALSE)</f>
        <v>3</v>
      </c>
    </row>
    <row r="170" spans="1:11">
      <c r="A170" s="6" t="s">
        <v>54</v>
      </c>
      <c r="B170" s="6" t="s">
        <v>8</v>
      </c>
      <c r="C170" s="6" t="s">
        <v>9</v>
      </c>
      <c r="D170" s="6">
        <v>30</v>
      </c>
      <c r="E170" s="7">
        <v>44850</v>
      </c>
      <c r="F170" s="18">
        <v>114180</v>
      </c>
      <c r="G170" s="6" t="s">
        <v>16</v>
      </c>
      <c r="H170" s="6" t="s">
        <v>207</v>
      </c>
      <c r="I170" s="8">
        <f ca="1">(TODAY()-staff[[#This Row],[Date Joined]])/365</f>
        <v>0.73424657534246573</v>
      </c>
      <c r="J170" s="18">
        <f ca="1">ROUNDUP(IF(I170&gt;2,3%,2%)*staff[Salary],0)</f>
        <v>2284</v>
      </c>
      <c r="K170" s="22">
        <f>VLOOKUP(staff[[#This Row],[Rating]],rating[],2,FALSE)</f>
        <v>3</v>
      </c>
    </row>
    <row r="171" spans="1:11">
      <c r="A171" s="6" t="s">
        <v>114</v>
      </c>
      <c r="B171" s="6" t="s">
        <v>8</v>
      </c>
      <c r="C171" s="6" t="s">
        <v>12</v>
      </c>
      <c r="D171" s="6">
        <v>44</v>
      </c>
      <c r="E171" s="7">
        <v>44985</v>
      </c>
      <c r="F171" s="18">
        <v>114870</v>
      </c>
      <c r="G171" s="6" t="s">
        <v>16</v>
      </c>
      <c r="H171" s="6" t="s">
        <v>205</v>
      </c>
      <c r="I171" s="8">
        <f ca="1">(TODAY()-staff[[#This Row],[Date Joined]])/365</f>
        <v>0.36438356164383562</v>
      </c>
      <c r="J171" s="18">
        <f ca="1">ROUNDUP(IF(I171&gt;2,3%,2%)*staff[Salary],0)</f>
        <v>2298</v>
      </c>
      <c r="K171" s="22">
        <f>VLOOKUP(staff[[#This Row],[Rating]],rating[],2,FALSE)</f>
        <v>3</v>
      </c>
    </row>
    <row r="172" spans="1:11">
      <c r="A172" s="6" t="s">
        <v>17</v>
      </c>
      <c r="B172" s="6" t="s">
        <v>8</v>
      </c>
      <c r="C172" s="6" t="s">
        <v>12</v>
      </c>
      <c r="D172" s="6">
        <v>43</v>
      </c>
      <c r="E172" s="7">
        <v>45045</v>
      </c>
      <c r="F172" s="18">
        <v>114870</v>
      </c>
      <c r="G172" s="6" t="s">
        <v>16</v>
      </c>
      <c r="H172" s="6" t="s">
        <v>207</v>
      </c>
      <c r="I172" s="8">
        <f ca="1">(TODAY()-staff[[#This Row],[Date Joined]])/365</f>
        <v>0.2</v>
      </c>
      <c r="J172" s="18">
        <f ca="1">ROUNDUP(IF(I172&gt;2,3%,2%)*staff[Salary],0)</f>
        <v>2298</v>
      </c>
      <c r="K172" s="22">
        <f>VLOOKUP(staff[[#This Row],[Rating]],rating[],2,FALSE)</f>
        <v>3</v>
      </c>
    </row>
    <row r="173" spans="1:11">
      <c r="A173" s="6" t="s">
        <v>175</v>
      </c>
      <c r="B173" s="6" t="s">
        <v>8</v>
      </c>
      <c r="C173" s="6" t="s">
        <v>9</v>
      </c>
      <c r="D173" s="6">
        <v>36</v>
      </c>
      <c r="E173" s="7">
        <v>44023</v>
      </c>
      <c r="F173" s="18">
        <v>114890</v>
      </c>
      <c r="G173" s="6" t="s">
        <v>16</v>
      </c>
      <c r="H173" s="6" t="s">
        <v>205</v>
      </c>
      <c r="I173" s="8">
        <f ca="1">(TODAY()-staff[[#This Row],[Date Joined]])/365</f>
        <v>3</v>
      </c>
      <c r="J173" s="18">
        <f ca="1">ROUNDUP(IF(I173&gt;2,3%,2%)*staff[Salary],0)</f>
        <v>3447</v>
      </c>
      <c r="K173" s="22">
        <f>VLOOKUP(staff[[#This Row],[Rating]],rating[],2,FALSE)</f>
        <v>3</v>
      </c>
    </row>
    <row r="174" spans="1:11">
      <c r="A174" s="6" t="s">
        <v>83</v>
      </c>
      <c r="B174" s="6" t="s">
        <v>8</v>
      </c>
      <c r="C174" s="6" t="s">
        <v>9</v>
      </c>
      <c r="D174" s="6">
        <v>36</v>
      </c>
      <c r="E174" s="7">
        <v>44085</v>
      </c>
      <c r="F174" s="18">
        <v>114890</v>
      </c>
      <c r="G174" s="6" t="s">
        <v>16</v>
      </c>
      <c r="H174" s="6" t="s">
        <v>207</v>
      </c>
      <c r="I174" s="8">
        <f ca="1">(TODAY()-staff[[#This Row],[Date Joined]])/365</f>
        <v>2.8301369863013699</v>
      </c>
      <c r="J174" s="18">
        <f ca="1">ROUNDUP(IF(I174&gt;2,3%,2%)*staff[Salary],0)</f>
        <v>3447</v>
      </c>
      <c r="K174" s="22">
        <f>VLOOKUP(staff[[#This Row],[Rating]],rating[],2,FALSE)</f>
        <v>3</v>
      </c>
    </row>
    <row r="175" spans="1:11">
      <c r="A175" s="6" t="s">
        <v>142</v>
      </c>
      <c r="B175" s="6" t="s">
        <v>206</v>
      </c>
      <c r="C175" s="6" t="s">
        <v>21</v>
      </c>
      <c r="D175" s="6">
        <v>37</v>
      </c>
      <c r="E175" s="7">
        <v>44085</v>
      </c>
      <c r="F175" s="18">
        <v>115440</v>
      </c>
      <c r="G175" s="6" t="s">
        <v>24</v>
      </c>
      <c r="H175" s="6" t="s">
        <v>205</v>
      </c>
      <c r="I175" s="8">
        <f ca="1">(TODAY()-staff[[#This Row],[Date Joined]])/365</f>
        <v>2.8301369863013699</v>
      </c>
      <c r="J175" s="18">
        <f ca="1">ROUNDUP(IF(I175&gt;2,3%,2%)*staff[Salary],0)</f>
        <v>3464</v>
      </c>
      <c r="K175" s="22">
        <f>VLOOKUP(staff[[#This Row],[Rating]],rating[],2,FALSE)</f>
        <v>2</v>
      </c>
    </row>
    <row r="176" spans="1:11">
      <c r="A176" s="6" t="s">
        <v>49</v>
      </c>
      <c r="B176" s="6" t="s">
        <v>206</v>
      </c>
      <c r="C176" s="6" t="s">
        <v>21</v>
      </c>
      <c r="D176" s="6">
        <v>37</v>
      </c>
      <c r="E176" s="7">
        <v>44146</v>
      </c>
      <c r="F176" s="18">
        <v>115440</v>
      </c>
      <c r="G176" s="6" t="s">
        <v>24</v>
      </c>
      <c r="H176" s="6" t="s">
        <v>207</v>
      </c>
      <c r="I176" s="8">
        <f ca="1">(TODAY()-staff[[#This Row],[Date Joined]])/365</f>
        <v>2.6630136986301371</v>
      </c>
      <c r="J176" s="18">
        <f ca="1">ROUNDUP(IF(I176&gt;2,3%,2%)*staff[Salary],0)</f>
        <v>3464</v>
      </c>
      <c r="K176" s="22">
        <f>VLOOKUP(staff[[#This Row],[Rating]],rating[],2,FALSE)</f>
        <v>2</v>
      </c>
    </row>
    <row r="177" spans="1:11">
      <c r="A177" s="6" t="s">
        <v>134</v>
      </c>
      <c r="B177" s="6" t="s">
        <v>15</v>
      </c>
      <c r="C177" s="6" t="s">
        <v>9</v>
      </c>
      <c r="D177" s="6">
        <v>33</v>
      </c>
      <c r="E177" s="7">
        <v>44103</v>
      </c>
      <c r="F177" s="18">
        <v>115920</v>
      </c>
      <c r="G177" s="6" t="s">
        <v>16</v>
      </c>
      <c r="H177" s="6" t="s">
        <v>205</v>
      </c>
      <c r="I177" s="8">
        <f ca="1">(TODAY()-staff[[#This Row],[Date Joined]])/365</f>
        <v>2.7808219178082192</v>
      </c>
      <c r="J177" s="18">
        <f ca="1">ROUNDUP(IF(I177&gt;2,3%,2%)*staff[Salary],0)</f>
        <v>3478</v>
      </c>
      <c r="K177" s="22">
        <f>VLOOKUP(staff[[#This Row],[Rating]],rating[],2,FALSE)</f>
        <v>3</v>
      </c>
    </row>
    <row r="178" spans="1:11">
      <c r="A178" s="6" t="s">
        <v>40</v>
      </c>
      <c r="B178" s="6" t="s">
        <v>15</v>
      </c>
      <c r="C178" s="6" t="s">
        <v>9</v>
      </c>
      <c r="D178" s="6">
        <v>33</v>
      </c>
      <c r="E178" s="7">
        <v>44164</v>
      </c>
      <c r="F178" s="18">
        <v>115920</v>
      </c>
      <c r="G178" s="6" t="s">
        <v>16</v>
      </c>
      <c r="H178" s="6" t="s">
        <v>207</v>
      </c>
      <c r="I178" s="8">
        <f ca="1">(TODAY()-staff[[#This Row],[Date Joined]])/365</f>
        <v>2.6136986301369864</v>
      </c>
      <c r="J178" s="18">
        <f ca="1">ROUNDUP(IF(I178&gt;2,3%,2%)*staff[Salary],0)</f>
        <v>3478</v>
      </c>
      <c r="K178" s="22">
        <f>VLOOKUP(staff[[#This Row],[Rating]],rating[],2,FALSE)</f>
        <v>3</v>
      </c>
    </row>
    <row r="179" spans="1:11">
      <c r="A179" s="6" t="s">
        <v>148</v>
      </c>
      <c r="B179" s="6" t="s">
        <v>8</v>
      </c>
      <c r="C179" s="6" t="s">
        <v>56</v>
      </c>
      <c r="D179" s="6">
        <v>37</v>
      </c>
      <c r="E179" s="7">
        <v>44389</v>
      </c>
      <c r="F179" s="18">
        <v>118100</v>
      </c>
      <c r="G179" s="6" t="s">
        <v>16</v>
      </c>
      <c r="H179" s="6" t="s">
        <v>205</v>
      </c>
      <c r="I179" s="8">
        <f ca="1">(TODAY()-staff[[#This Row],[Date Joined]])/365</f>
        <v>1.9972602739726026</v>
      </c>
      <c r="J179" s="18">
        <f ca="1">ROUNDUP(IF(I179&gt;2,3%,2%)*staff[Salary],0)</f>
        <v>2362</v>
      </c>
      <c r="K179" s="22">
        <f>VLOOKUP(staff[[#This Row],[Rating]],rating[],2,FALSE)</f>
        <v>3</v>
      </c>
    </row>
    <row r="180" spans="1:11">
      <c r="A180" s="6" t="s">
        <v>55</v>
      </c>
      <c r="B180" s="6" t="s">
        <v>8</v>
      </c>
      <c r="C180" s="6" t="s">
        <v>56</v>
      </c>
      <c r="D180" s="6">
        <v>37</v>
      </c>
      <c r="E180" s="7">
        <v>44451</v>
      </c>
      <c r="F180" s="18">
        <v>118100</v>
      </c>
      <c r="G180" s="6" t="s">
        <v>16</v>
      </c>
      <c r="H180" s="6" t="s">
        <v>207</v>
      </c>
      <c r="I180" s="8">
        <f ca="1">(TODAY()-staff[[#This Row],[Date Joined]])/365</f>
        <v>1.8273972602739725</v>
      </c>
      <c r="J180" s="18">
        <f ca="1">ROUNDUP(IF(I180&gt;2,3%,2%)*staff[Salary],0)</f>
        <v>2362</v>
      </c>
      <c r="K180" s="22">
        <f>VLOOKUP(staff[[#This Row],[Rating]],rating[],2,FALSE)</f>
        <v>3</v>
      </c>
    </row>
    <row r="181" spans="1:11">
      <c r="A181" s="6" t="s">
        <v>199</v>
      </c>
      <c r="B181" s="6" t="s">
        <v>15</v>
      </c>
      <c r="C181" s="6" t="s">
        <v>12</v>
      </c>
      <c r="D181" s="6">
        <v>36</v>
      </c>
      <c r="E181" s="7">
        <v>43958</v>
      </c>
      <c r="F181" s="18">
        <v>118840</v>
      </c>
      <c r="G181" s="6" t="s">
        <v>16</v>
      </c>
      <c r="H181" s="6" t="s">
        <v>205</v>
      </c>
      <c r="I181" s="8">
        <f ca="1">(TODAY()-staff[[#This Row],[Date Joined]])/365</f>
        <v>3.1780821917808217</v>
      </c>
      <c r="J181" s="18">
        <f ca="1">ROUNDUP(IF(I181&gt;2,3%,2%)*staff[Salary],0)</f>
        <v>3566</v>
      </c>
      <c r="K181" s="22">
        <f>VLOOKUP(staff[[#This Row],[Rating]],rating[],2,FALSE)</f>
        <v>3</v>
      </c>
    </row>
    <row r="182" spans="1:11">
      <c r="A182" s="6" t="s">
        <v>106</v>
      </c>
      <c r="B182" s="6" t="s">
        <v>15</v>
      </c>
      <c r="C182" s="6" t="s">
        <v>12</v>
      </c>
      <c r="D182" s="6">
        <v>36</v>
      </c>
      <c r="E182" s="7">
        <v>44019</v>
      </c>
      <c r="F182" s="18">
        <v>118840</v>
      </c>
      <c r="G182" s="6" t="s">
        <v>16</v>
      </c>
      <c r="H182" s="6" t="s">
        <v>207</v>
      </c>
      <c r="I182" s="8">
        <f ca="1">(TODAY()-staff[[#This Row],[Date Joined]])/365</f>
        <v>3.010958904109589</v>
      </c>
      <c r="J182" s="18">
        <f ca="1">ROUNDUP(IF(I182&gt;2,3%,2%)*staff[Salary],0)</f>
        <v>3566</v>
      </c>
      <c r="K182" s="22">
        <f>VLOOKUP(staff[[#This Row],[Rating]],rating[],2,FALSE)</f>
        <v>3</v>
      </c>
    </row>
    <row r="183" spans="1:11">
      <c r="A183" s="6" t="s">
        <v>152</v>
      </c>
      <c r="B183" s="6" t="s">
        <v>8</v>
      </c>
      <c r="C183" s="6" t="s">
        <v>56</v>
      </c>
      <c r="D183" s="6">
        <v>27</v>
      </c>
      <c r="E183" s="7">
        <v>44061</v>
      </c>
      <c r="F183" s="18">
        <v>119110</v>
      </c>
      <c r="G183" s="6" t="s">
        <v>16</v>
      </c>
      <c r="H183" s="6" t="s">
        <v>205</v>
      </c>
      <c r="I183" s="8">
        <f ca="1">(TODAY()-staff[[#This Row],[Date Joined]])/365</f>
        <v>2.8958904109589043</v>
      </c>
      <c r="J183" s="18">
        <f ca="1">ROUNDUP(IF(I183&gt;2,3%,2%)*staff[Salary],0)</f>
        <v>3574</v>
      </c>
      <c r="K183" s="22">
        <f>VLOOKUP(staff[[#This Row],[Rating]],rating[],2,FALSE)</f>
        <v>3</v>
      </c>
    </row>
    <row r="184" spans="1:11">
      <c r="A184" s="6" t="s">
        <v>60</v>
      </c>
      <c r="B184" s="6" t="s">
        <v>8</v>
      </c>
      <c r="C184" s="6" t="s">
        <v>56</v>
      </c>
      <c r="D184" s="6">
        <v>27</v>
      </c>
      <c r="E184" s="7">
        <v>44122</v>
      </c>
      <c r="F184" s="18">
        <v>119110</v>
      </c>
      <c r="G184" s="6" t="s">
        <v>16</v>
      </c>
      <c r="H184" s="6" t="s">
        <v>207</v>
      </c>
      <c r="I184" s="8">
        <f ca="1">(TODAY()-staff[[#This Row],[Date Joined]])/365</f>
        <v>2.7287671232876711</v>
      </c>
      <c r="J184" s="18">
        <f ca="1">ROUNDUP(IF(I184&gt;2,3%,2%)*staff[Salary],0)</f>
        <v>3574</v>
      </c>
      <c r="K184" s="22">
        <f>VLOOKUP(staff[[#This Row],[Rating]],rating[],2,FALSE)</f>
        <v>3</v>
      </c>
    </row>
  </sheetData>
  <conditionalFormatting sqref="F2:F184">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horizontalDpi="300"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19"/>
  <sheetViews>
    <sheetView workbookViewId="0">
      <selection activeCell="E22" sqref="E22"/>
    </sheetView>
  </sheetViews>
  <sheetFormatPr defaultRowHeight="15"/>
  <cols>
    <col min="3" max="3" width="17.5703125" customWidth="1"/>
    <col min="4" max="4" width="16.28515625" bestFit="1" customWidth="1"/>
    <col min="5" max="5" width="10.140625" customWidth="1"/>
    <col min="6" max="7" width="12" customWidth="1"/>
    <col min="8" max="8" width="16.28515625" bestFit="1" customWidth="1"/>
    <col min="9" max="9" width="19.42578125" bestFit="1" customWidth="1"/>
    <col min="10" max="10" width="19.5703125" bestFit="1" customWidth="1"/>
  </cols>
  <sheetData>
    <row r="2" spans="3:5">
      <c r="D2" t="s">
        <v>218</v>
      </c>
    </row>
    <row r="7" spans="3:5">
      <c r="D7" s="15" t="s">
        <v>219</v>
      </c>
    </row>
    <row r="8" spans="3:5">
      <c r="C8" s="15" t="s">
        <v>221</v>
      </c>
      <c r="D8" t="s">
        <v>8</v>
      </c>
      <c r="E8" t="s">
        <v>15</v>
      </c>
    </row>
    <row r="9" spans="3:5">
      <c r="C9" s="16" t="s">
        <v>220</v>
      </c>
      <c r="D9" s="6">
        <v>86</v>
      </c>
      <c r="E9" s="6">
        <v>89</v>
      </c>
    </row>
    <row r="10" spans="3:5">
      <c r="C10" s="16" t="s">
        <v>222</v>
      </c>
      <c r="D10" s="8">
        <v>31.406976744186046</v>
      </c>
      <c r="E10" s="8">
        <v>29.393258426966291</v>
      </c>
    </row>
    <row r="11" spans="3:5">
      <c r="C11" s="16" t="s">
        <v>223</v>
      </c>
      <c r="D11" s="17">
        <v>78284.186046511633</v>
      </c>
      <c r="E11" s="17">
        <v>74915.168539325838</v>
      </c>
    </row>
    <row r="12" spans="3:5">
      <c r="C12" s="16" t="s">
        <v>224</v>
      </c>
      <c r="D12" s="8">
        <v>1.8381013061484546</v>
      </c>
      <c r="E12" s="8">
        <v>1.8289979990764968</v>
      </c>
    </row>
    <row r="19" spans="7:7">
      <c r="G19" t="s">
        <v>211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35" sqref="Q35"/>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11"/>
  <sheetViews>
    <sheetView workbookViewId="0">
      <selection activeCell="G3" sqref="G3"/>
    </sheetView>
  </sheetViews>
  <sheetFormatPr defaultRowHeight="15"/>
  <cols>
    <col min="3" max="3" width="14.28515625" bestFit="1" customWidth="1"/>
    <col min="4" max="4" width="14.42578125" bestFit="1" customWidth="1"/>
    <col min="5" max="5" width="16.42578125" bestFit="1" customWidth="1"/>
  </cols>
  <sheetData>
    <row r="2" spans="3:7" ht="23.25">
      <c r="C2" s="42" t="s">
        <v>254</v>
      </c>
      <c r="D2" s="42"/>
      <c r="E2" s="42"/>
    </row>
    <row r="3" spans="3:7">
      <c r="G3" t="s">
        <v>255</v>
      </c>
    </row>
    <row r="5" spans="3:7">
      <c r="C5" s="15" t="s">
        <v>226</v>
      </c>
      <c r="D5" t="s">
        <v>220</v>
      </c>
      <c r="E5" t="s">
        <v>223</v>
      </c>
    </row>
    <row r="6" spans="3:7">
      <c r="C6" s="16" t="s">
        <v>10</v>
      </c>
      <c r="D6" s="6">
        <v>4</v>
      </c>
      <c r="E6" s="18">
        <v>92080</v>
      </c>
    </row>
    <row r="7" spans="3:7">
      <c r="C7" s="16" t="s">
        <v>13</v>
      </c>
      <c r="D7" s="6">
        <v>20</v>
      </c>
      <c r="E7" s="18">
        <v>75933</v>
      </c>
    </row>
    <row r="8" spans="3:7">
      <c r="C8" s="16" t="s">
        <v>16</v>
      </c>
      <c r="D8" s="6">
        <v>137</v>
      </c>
      <c r="E8" s="18">
        <v>76798.759124087592</v>
      </c>
    </row>
    <row r="9" spans="3:7">
      <c r="C9" s="16" t="s">
        <v>24</v>
      </c>
      <c r="D9" s="6">
        <v>16</v>
      </c>
      <c r="E9" s="18">
        <v>78115</v>
      </c>
    </row>
    <row r="10" spans="3:7">
      <c r="C10" s="16" t="s">
        <v>42</v>
      </c>
      <c r="D10" s="6">
        <v>6</v>
      </c>
      <c r="E10" s="18">
        <v>77423.333333333328</v>
      </c>
    </row>
    <row r="11" spans="3:7">
      <c r="C11" s="16" t="s">
        <v>227</v>
      </c>
      <c r="D11" s="6">
        <v>183</v>
      </c>
      <c r="E11" s="18">
        <v>77173.715846994543</v>
      </c>
    </row>
  </sheetData>
  <mergeCells count="1">
    <mergeCell ref="C2:E2"/>
  </mergeCells>
  <conditionalFormatting pivot="1" sqref="E7">
    <cfRule type="dataBar" priority="2">
      <dataBar>
        <cfvo type="min"/>
        <cfvo type="max"/>
        <color rgb="FF638EC6"/>
      </dataBar>
      <extLst>
        <ext xmlns:x14="http://schemas.microsoft.com/office/spreadsheetml/2009/9/main" uri="{B025F937-C7B1-47D3-B67F-A62EFF666E3E}">
          <x14:id>{AEA4E12C-D2F8-4F9C-B67A-6873059F04E7}</x14:id>
        </ext>
      </extLst>
    </cfRule>
  </conditionalFormatting>
  <conditionalFormatting pivot="1" sqref="E6:E10">
    <cfRule type="dataBar" priority="1">
      <dataBar>
        <cfvo type="min"/>
        <cfvo type="max"/>
        <color rgb="FF638EC6"/>
      </dataBar>
      <extLst>
        <ext xmlns:x14="http://schemas.microsoft.com/office/spreadsheetml/2009/9/main" uri="{B025F937-C7B1-47D3-B67F-A62EFF666E3E}">
          <x14:id>{8347F974-576F-4E61-8380-E4FF493A0BA1}</x14:id>
        </ext>
      </extLst>
    </cfRule>
  </conditionalFormatting>
  <pageMargins left="0.7" right="0.7" top="0.75" bottom="0.75" header="0.3" footer="0.3"/>
  <pageSetup orientation="portrait" horizontalDpi="300" verticalDpi="0" r:id="rId2"/>
  <drawing r:id="rId3"/>
  <extLst>
    <ext xmlns:x14="http://schemas.microsoft.com/office/spreadsheetml/2009/9/main" uri="{78C0D931-6437-407d-A8EE-F0AAD7539E65}">
      <x14:conditionalFormattings>
        <x14:conditionalFormatting xmlns:xm="http://schemas.microsoft.com/office/excel/2006/main" pivot="1">
          <x14:cfRule type="dataBar" id="{AEA4E12C-D2F8-4F9C-B67A-6873059F04E7}">
            <x14:dataBar minLength="0" maxLength="100" gradient="0">
              <x14:cfvo type="autoMin"/>
              <x14:cfvo type="autoMax"/>
              <x14:negativeFillColor rgb="FFFF0000"/>
              <x14:axisColor rgb="FF000000"/>
            </x14:dataBar>
          </x14:cfRule>
          <xm:sqref>E7</xm:sqref>
        </x14:conditionalFormatting>
        <x14:conditionalFormatting xmlns:xm="http://schemas.microsoft.com/office/excel/2006/main" pivot="1">
          <x14:cfRule type="dataBar" id="{8347F974-576F-4E61-8380-E4FF493A0BA1}">
            <x14:dataBar minLength="0" maxLength="100" gradient="0">
              <x14:cfvo type="autoMin"/>
              <x14:cfvo type="autoMax"/>
              <x14:negativeFillColor rgb="FFFF0000"/>
              <x14:axisColor rgb="FF000000"/>
            </x14:dataBar>
          </x14:cfRule>
          <xm:sqref>E6:E10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S41"/>
  <sheetViews>
    <sheetView topLeftCell="A4" workbookViewId="0">
      <selection activeCell="U24" sqref="U24"/>
    </sheetView>
  </sheetViews>
  <sheetFormatPr defaultRowHeight="15"/>
  <cols>
    <col min="3" max="3" width="13.140625" customWidth="1"/>
    <col min="4" max="4" width="14.42578125" bestFit="1" customWidth="1"/>
    <col min="18" max="18" width="12.5703125" customWidth="1"/>
    <col min="19" max="19" width="18" customWidth="1"/>
  </cols>
  <sheetData>
    <row r="4" spans="3:19">
      <c r="C4" s="15" t="s">
        <v>226</v>
      </c>
      <c r="D4" t="s">
        <v>220</v>
      </c>
      <c r="P4" s="10" t="s">
        <v>250</v>
      </c>
      <c r="Q4" s="10" t="s">
        <v>247</v>
      </c>
      <c r="R4" s="10" t="s">
        <v>248</v>
      </c>
      <c r="S4" s="10" t="s">
        <v>249</v>
      </c>
    </row>
    <row r="5" spans="3:19">
      <c r="C5" s="16" t="s">
        <v>231</v>
      </c>
      <c r="D5" s="6"/>
      <c r="P5" s="10">
        <v>1</v>
      </c>
      <c r="Q5" s="24">
        <v>43952</v>
      </c>
      <c r="R5" s="10">
        <f>COUNTIFS(staff[Date Joined],"&gt;="&amp;Q5,staff[Date Joined],"&lt;="&amp; EOMONTH(Q5,0))</f>
        <v>3</v>
      </c>
      <c r="S5" s="10">
        <f>SUM($R$5:R5)</f>
        <v>3</v>
      </c>
    </row>
    <row r="6" spans="3:19">
      <c r="C6" s="23" t="s">
        <v>232</v>
      </c>
      <c r="D6" s="6">
        <v>3</v>
      </c>
      <c r="P6" s="10">
        <v>2</v>
      </c>
      <c r="Q6" s="24">
        <v>43983</v>
      </c>
      <c r="R6" s="10">
        <f>COUNTIFS(staff[Date Joined],"&gt;="&amp;Q6,staff[Date Joined],"&lt;="&amp; EOMONTH(Q6,0))</f>
        <v>1</v>
      </c>
      <c r="S6" s="10">
        <f>SUM($R$5:R6)</f>
        <v>4</v>
      </c>
    </row>
    <row r="7" spans="3:19">
      <c r="C7" s="23" t="s">
        <v>233</v>
      </c>
      <c r="D7" s="6">
        <v>4</v>
      </c>
      <c r="P7" s="10">
        <v>3</v>
      </c>
      <c r="Q7" s="24">
        <v>44013</v>
      </c>
      <c r="R7" s="10">
        <f>COUNTIFS(staff[Date Joined],"&gt;="&amp;Q7,staff[Date Joined],"&lt;="&amp; EOMONTH(Q7,0))</f>
        <v>5</v>
      </c>
      <c r="S7" s="10">
        <f>SUM($R$5:R7)</f>
        <v>9</v>
      </c>
    </row>
    <row r="8" spans="3:19">
      <c r="C8" s="23" t="s">
        <v>234</v>
      </c>
      <c r="D8" s="6">
        <v>9</v>
      </c>
      <c r="P8" s="10">
        <v>4</v>
      </c>
      <c r="Q8" s="24">
        <v>44044</v>
      </c>
      <c r="R8" s="10">
        <f>COUNTIFS(staff[Date Joined],"&gt;="&amp;Q8,staff[Date Joined],"&lt;="&amp; EOMONTH(Q8,0))</f>
        <v>3</v>
      </c>
      <c r="S8" s="10">
        <f>SUM($R$5:R8)</f>
        <v>12</v>
      </c>
    </row>
    <row r="9" spans="3:19">
      <c r="C9" s="23" t="s">
        <v>235</v>
      </c>
      <c r="D9" s="6">
        <v>12</v>
      </c>
      <c r="P9" s="10">
        <v>5</v>
      </c>
      <c r="Q9" s="24">
        <v>44075</v>
      </c>
      <c r="R9" s="10">
        <f>COUNTIFS(staff[Date Joined],"&gt;="&amp;Q9,staff[Date Joined],"&lt;="&amp; EOMONTH(Q9,0))</f>
        <v>6</v>
      </c>
      <c r="S9" s="10">
        <f>SUM($R$5:R9)</f>
        <v>18</v>
      </c>
    </row>
    <row r="10" spans="3:19">
      <c r="C10" s="23" t="s">
        <v>236</v>
      </c>
      <c r="D10" s="6">
        <v>18</v>
      </c>
      <c r="P10" s="10">
        <v>6</v>
      </c>
      <c r="Q10" s="24">
        <v>44105</v>
      </c>
      <c r="R10" s="10">
        <f>COUNTIFS(staff[Date Joined],"&gt;="&amp;Q10,staff[Date Joined],"&lt;="&amp; EOMONTH(Q10,0))</f>
        <v>6</v>
      </c>
      <c r="S10" s="10">
        <f>SUM($R$5:R10)</f>
        <v>24</v>
      </c>
    </row>
    <row r="11" spans="3:19">
      <c r="C11" s="23" t="s">
        <v>237</v>
      </c>
      <c r="D11" s="6">
        <v>24</v>
      </c>
      <c r="P11" s="10">
        <v>7</v>
      </c>
      <c r="Q11" s="24">
        <v>44136</v>
      </c>
      <c r="R11" s="10">
        <f>COUNTIFS(staff[Date Joined],"&gt;="&amp;Q11,staff[Date Joined],"&lt;="&amp; EOMONTH(Q11,0))</f>
        <v>6</v>
      </c>
      <c r="S11" s="10">
        <f>SUM($R$5:R11)</f>
        <v>30</v>
      </c>
    </row>
    <row r="12" spans="3:19">
      <c r="C12" s="23" t="s">
        <v>238</v>
      </c>
      <c r="D12" s="6">
        <v>30</v>
      </c>
      <c r="P12" s="10">
        <v>8</v>
      </c>
      <c r="Q12" s="24">
        <v>44166</v>
      </c>
      <c r="R12" s="10">
        <f>COUNTIFS(staff[Date Joined],"&gt;="&amp;Q12,staff[Date Joined],"&lt;="&amp; EOMONTH(Q12,0))</f>
        <v>7</v>
      </c>
      <c r="S12" s="10">
        <f>SUM($R$5:R12)</f>
        <v>37</v>
      </c>
    </row>
    <row r="13" spans="3:19">
      <c r="C13" s="23" t="s">
        <v>239</v>
      </c>
      <c r="D13" s="6">
        <v>37</v>
      </c>
      <c r="P13" s="10">
        <v>9</v>
      </c>
      <c r="Q13" s="24">
        <v>44197</v>
      </c>
      <c r="R13" s="10">
        <f>COUNTIFS(staff[Date Joined],"&gt;="&amp;Q13,staff[Date Joined],"&lt;="&amp; EOMONTH(Q13,0))</f>
        <v>6</v>
      </c>
      <c r="S13" s="10">
        <f>SUM($R$5:R13)</f>
        <v>43</v>
      </c>
    </row>
    <row r="14" spans="3:19">
      <c r="C14" s="16" t="s">
        <v>240</v>
      </c>
      <c r="D14" s="6"/>
      <c r="P14" s="10">
        <v>10</v>
      </c>
      <c r="Q14" s="24">
        <v>44228</v>
      </c>
      <c r="R14" s="10">
        <f>COUNTIFS(staff[Date Joined],"&gt;="&amp;Q14,staff[Date Joined],"&lt;="&amp; EOMONTH(Q14,0))</f>
        <v>4</v>
      </c>
      <c r="S14" s="10">
        <f>SUM($R$5:R14)</f>
        <v>47</v>
      </c>
    </row>
    <row r="15" spans="3:19">
      <c r="C15" s="23" t="s">
        <v>241</v>
      </c>
      <c r="D15" s="6">
        <v>6</v>
      </c>
      <c r="P15" s="10">
        <v>11</v>
      </c>
      <c r="Q15" s="24">
        <v>44256</v>
      </c>
      <c r="R15" s="10">
        <f>COUNTIFS(staff[Date Joined],"&gt;="&amp;Q15,staff[Date Joined],"&lt;="&amp; EOMONTH(Q15,0))</f>
        <v>9</v>
      </c>
      <c r="S15" s="10">
        <f>SUM($R$5:R15)</f>
        <v>56</v>
      </c>
    </row>
    <row r="16" spans="3:19">
      <c r="C16" s="23" t="s">
        <v>242</v>
      </c>
      <c r="D16" s="6">
        <v>10</v>
      </c>
      <c r="P16" s="10">
        <v>12</v>
      </c>
      <c r="Q16" s="24">
        <v>44287</v>
      </c>
      <c r="R16" s="10">
        <f>COUNTIFS(staff[Date Joined],"&gt;="&amp;Q16,staff[Date Joined],"&lt;="&amp; EOMONTH(Q16,0))</f>
        <v>5</v>
      </c>
      <c r="S16" s="10">
        <f>SUM($R$5:R16)</f>
        <v>61</v>
      </c>
    </row>
    <row r="17" spans="3:19">
      <c r="C17" s="23" t="s">
        <v>243</v>
      </c>
      <c r="D17" s="6">
        <v>19</v>
      </c>
      <c r="P17" s="10">
        <v>13</v>
      </c>
      <c r="Q17" s="24">
        <v>44317</v>
      </c>
      <c r="R17" s="10">
        <f>COUNTIFS(staff[Date Joined],"&gt;="&amp;Q17,staff[Date Joined],"&lt;="&amp; EOMONTH(Q17,0))</f>
        <v>10</v>
      </c>
      <c r="S17" s="10">
        <f>SUM($R$5:R17)</f>
        <v>71</v>
      </c>
    </row>
    <row r="18" spans="3:19">
      <c r="C18" s="23" t="s">
        <v>244</v>
      </c>
      <c r="D18" s="6">
        <v>24</v>
      </c>
      <c r="P18" s="10">
        <v>14</v>
      </c>
      <c r="Q18" s="24">
        <v>44348</v>
      </c>
      <c r="R18" s="10">
        <f>COUNTIFS(staff[Date Joined],"&gt;="&amp;Q18,staff[Date Joined],"&lt;="&amp; EOMONTH(Q18,0))</f>
        <v>6</v>
      </c>
      <c r="S18" s="10">
        <f>SUM($R$5:R18)</f>
        <v>77</v>
      </c>
    </row>
    <row r="19" spans="3:19">
      <c r="C19" s="23" t="s">
        <v>232</v>
      </c>
      <c r="D19" s="6">
        <v>34</v>
      </c>
      <c r="P19" s="10">
        <v>15</v>
      </c>
      <c r="Q19" s="24">
        <v>44378</v>
      </c>
      <c r="R19" s="10">
        <f>COUNTIFS(staff[Date Joined],"&gt;="&amp;Q19,staff[Date Joined],"&lt;="&amp; EOMONTH(Q19,0))</f>
        <v>13</v>
      </c>
      <c r="S19" s="10">
        <f>SUM($R$5:R19)</f>
        <v>90</v>
      </c>
    </row>
    <row r="20" spans="3:19">
      <c r="C20" s="23" t="s">
        <v>233</v>
      </c>
      <c r="D20" s="6">
        <v>40</v>
      </c>
      <c r="P20" s="10">
        <v>16</v>
      </c>
      <c r="Q20" s="24">
        <v>44409</v>
      </c>
      <c r="R20" s="10">
        <f>COUNTIFS(staff[Date Joined],"&gt;="&amp;Q20,staff[Date Joined],"&lt;="&amp; EOMONTH(Q20,0))</f>
        <v>4</v>
      </c>
      <c r="S20" s="10">
        <f>SUM($R$5:R20)</f>
        <v>94</v>
      </c>
    </row>
    <row r="21" spans="3:19">
      <c r="C21" s="23" t="s">
        <v>234</v>
      </c>
      <c r="D21" s="6">
        <v>53</v>
      </c>
      <c r="P21" s="10">
        <v>17</v>
      </c>
      <c r="Q21" s="24">
        <v>44440</v>
      </c>
      <c r="R21" s="10">
        <f>COUNTIFS(staff[Date Joined],"&gt;="&amp;Q21,staff[Date Joined],"&lt;="&amp; EOMONTH(Q21,0))</f>
        <v>11</v>
      </c>
      <c r="S21" s="10">
        <f>SUM($R$5:R21)</f>
        <v>105</v>
      </c>
    </row>
    <row r="22" spans="3:19">
      <c r="C22" s="23" t="s">
        <v>235</v>
      </c>
      <c r="D22" s="6">
        <v>57</v>
      </c>
      <c r="P22" s="10">
        <v>18</v>
      </c>
      <c r="Q22" s="24">
        <v>44470</v>
      </c>
      <c r="R22" s="10">
        <f>COUNTIFS(staff[Date Joined],"&gt;="&amp;Q22,staff[Date Joined],"&lt;="&amp; EOMONTH(Q22,0))</f>
        <v>3</v>
      </c>
      <c r="S22" s="10">
        <f>SUM($R$5:R22)</f>
        <v>108</v>
      </c>
    </row>
    <row r="23" spans="3:19">
      <c r="C23" s="23" t="s">
        <v>236</v>
      </c>
      <c r="D23" s="6">
        <v>68</v>
      </c>
      <c r="P23" s="10">
        <v>19</v>
      </c>
      <c r="Q23" s="24">
        <v>44501</v>
      </c>
      <c r="R23" s="10">
        <f>COUNTIFS(staff[Date Joined],"&gt;="&amp;Q23,staff[Date Joined],"&lt;="&amp; EOMONTH(Q23,0))</f>
        <v>4</v>
      </c>
      <c r="S23" s="10">
        <f>SUM($R$5:R23)</f>
        <v>112</v>
      </c>
    </row>
    <row r="24" spans="3:19">
      <c r="C24" s="23" t="s">
        <v>237</v>
      </c>
      <c r="D24" s="6">
        <v>71</v>
      </c>
      <c r="P24" s="10">
        <v>20</v>
      </c>
      <c r="Q24" s="24">
        <v>44531</v>
      </c>
      <c r="R24" s="10">
        <f>COUNTIFS(staff[Date Joined],"&gt;="&amp;Q24,staff[Date Joined],"&lt;="&amp; EOMONTH(Q24,0))</f>
        <v>7</v>
      </c>
      <c r="S24" s="10">
        <f>SUM($R$5:R24)</f>
        <v>119</v>
      </c>
    </row>
    <row r="25" spans="3:19">
      <c r="C25" s="23" t="s">
        <v>238</v>
      </c>
      <c r="D25" s="6">
        <v>75</v>
      </c>
      <c r="P25" s="10">
        <v>21</v>
      </c>
      <c r="Q25" s="24">
        <v>44562</v>
      </c>
      <c r="R25" s="10">
        <f>COUNTIFS(staff[Date Joined],"&gt;="&amp;Q25,staff[Date Joined],"&lt;="&amp; EOMONTH(Q25,0))</f>
        <v>3</v>
      </c>
      <c r="S25" s="10">
        <f>SUM($R$5:R25)</f>
        <v>122</v>
      </c>
    </row>
    <row r="26" spans="3:19">
      <c r="C26" s="23" t="s">
        <v>239</v>
      </c>
      <c r="D26" s="6">
        <v>82</v>
      </c>
      <c r="P26" s="10">
        <v>22</v>
      </c>
      <c r="Q26" s="24">
        <v>44593</v>
      </c>
      <c r="R26" s="10">
        <f>COUNTIFS(staff[Date Joined],"&gt;="&amp;Q26,staff[Date Joined],"&lt;="&amp; EOMONTH(Q26,0))</f>
        <v>10</v>
      </c>
      <c r="S26" s="10">
        <f>SUM($R$5:R26)</f>
        <v>132</v>
      </c>
    </row>
    <row r="27" spans="3:19">
      <c r="C27" s="16" t="s">
        <v>245</v>
      </c>
      <c r="D27" s="6"/>
      <c r="P27" s="10">
        <v>23</v>
      </c>
      <c r="Q27" s="24">
        <v>44621</v>
      </c>
      <c r="R27" s="10">
        <f>COUNTIFS(staff[Date Joined],"&gt;="&amp;Q27,staff[Date Joined],"&lt;="&amp; EOMONTH(Q27,0))</f>
        <v>9</v>
      </c>
      <c r="S27" s="10">
        <f>SUM($R$5:R27)</f>
        <v>141</v>
      </c>
    </row>
    <row r="28" spans="3:19">
      <c r="C28" s="23" t="s">
        <v>241</v>
      </c>
      <c r="D28" s="6">
        <v>3</v>
      </c>
      <c r="P28" s="10">
        <v>24</v>
      </c>
      <c r="Q28" s="24">
        <v>44652</v>
      </c>
      <c r="R28" s="10">
        <f>COUNTIFS(staff[Date Joined],"&gt;="&amp;Q28,staff[Date Joined],"&lt;="&amp; EOMONTH(Q28,0))</f>
        <v>9</v>
      </c>
      <c r="S28" s="10">
        <f>SUM($R$5:R28)</f>
        <v>150</v>
      </c>
    </row>
    <row r="29" spans="3:19">
      <c r="C29" s="23" t="s">
        <v>242</v>
      </c>
      <c r="D29" s="6">
        <v>13</v>
      </c>
      <c r="P29" s="10">
        <v>25</v>
      </c>
      <c r="Q29" s="24">
        <v>44682</v>
      </c>
      <c r="R29" s="10">
        <f>COUNTIFS(staff[Date Joined],"&gt;="&amp;Q29,staff[Date Joined],"&lt;="&amp; EOMONTH(Q29,0))</f>
        <v>9</v>
      </c>
      <c r="S29" s="10">
        <f>SUM($R$5:R29)</f>
        <v>159</v>
      </c>
    </row>
    <row r="30" spans="3:19">
      <c r="C30" s="23" t="s">
        <v>243</v>
      </c>
      <c r="D30" s="6">
        <v>22</v>
      </c>
      <c r="P30" s="10">
        <v>26</v>
      </c>
      <c r="Q30" s="24">
        <v>44713</v>
      </c>
      <c r="R30" s="10">
        <f>COUNTIFS(staff[Date Joined],"&gt;="&amp;Q30,staff[Date Joined],"&lt;="&amp; EOMONTH(Q30,0))</f>
        <v>7</v>
      </c>
      <c r="S30" s="10">
        <f>SUM($R$5:R30)</f>
        <v>166</v>
      </c>
    </row>
    <row r="31" spans="3:19">
      <c r="C31" s="23" t="s">
        <v>244</v>
      </c>
      <c r="D31" s="6">
        <v>31</v>
      </c>
      <c r="P31" s="10">
        <v>27</v>
      </c>
      <c r="Q31" s="24">
        <v>44743</v>
      </c>
      <c r="R31" s="10">
        <f>COUNTIFS(staff[Date Joined],"&gt;="&amp;Q31,staff[Date Joined],"&lt;="&amp; EOMONTH(Q31,0))</f>
        <v>5</v>
      </c>
      <c r="S31" s="10">
        <f>SUM($R$5:R31)</f>
        <v>171</v>
      </c>
    </row>
    <row r="32" spans="3:19">
      <c r="C32" s="23" t="s">
        <v>232</v>
      </c>
      <c r="D32" s="6">
        <v>40</v>
      </c>
      <c r="P32" s="10">
        <v>28</v>
      </c>
      <c r="Q32" s="24">
        <v>44774</v>
      </c>
      <c r="R32" s="10">
        <f>COUNTIFS(staff[Date Joined],"&gt;="&amp;Q32,staff[Date Joined],"&lt;="&amp; EOMONTH(Q32,0))</f>
        <v>5</v>
      </c>
      <c r="S32" s="10">
        <f>SUM($R$5:R32)</f>
        <v>176</v>
      </c>
    </row>
    <row r="33" spans="3:19">
      <c r="C33" s="23" t="s">
        <v>233</v>
      </c>
      <c r="D33" s="6">
        <v>47</v>
      </c>
      <c r="P33" s="10">
        <v>29</v>
      </c>
      <c r="Q33" s="24">
        <v>44805</v>
      </c>
      <c r="R33" s="10">
        <f>COUNTIFS(staff[Date Joined],"&gt;="&amp;Q33,staff[Date Joined],"&lt;="&amp; EOMONTH(Q33,0))</f>
        <v>2</v>
      </c>
      <c r="S33" s="10">
        <f>SUM($R$5:R33)</f>
        <v>178</v>
      </c>
    </row>
    <row r="34" spans="3:19">
      <c r="C34" s="23" t="s">
        <v>234</v>
      </c>
      <c r="D34" s="6">
        <v>52</v>
      </c>
      <c r="P34" s="10">
        <v>30</v>
      </c>
      <c r="Q34" s="24">
        <v>44835</v>
      </c>
      <c r="R34" s="10">
        <f>COUNTIFS(staff[Date Joined],"&gt;="&amp;Q34,staff[Date Joined],"&lt;="&amp; EOMONTH(Q34,0))</f>
        <v>3</v>
      </c>
      <c r="S34" s="10">
        <f>SUM($R$5:R34)</f>
        <v>181</v>
      </c>
    </row>
    <row r="35" spans="3:19">
      <c r="C35" s="23" t="s">
        <v>235</v>
      </c>
      <c r="D35" s="6">
        <v>57</v>
      </c>
      <c r="P35" s="10">
        <v>31</v>
      </c>
      <c r="Q35" s="24">
        <v>44866</v>
      </c>
      <c r="R35" s="10">
        <f>COUNTIFS(staff[Date Joined],"&gt;="&amp;Q35,staff[Date Joined],"&lt;="&amp; EOMONTH(Q35,0))</f>
        <v>0</v>
      </c>
      <c r="S35" s="10">
        <f>SUM($R$5:R35)</f>
        <v>181</v>
      </c>
    </row>
    <row r="36" spans="3:19">
      <c r="C36" s="23" t="s">
        <v>236</v>
      </c>
      <c r="D36" s="6">
        <v>59</v>
      </c>
      <c r="P36" s="10">
        <v>32</v>
      </c>
      <c r="Q36" s="24">
        <v>44896</v>
      </c>
      <c r="R36" s="10">
        <f>COUNTIFS(staff[Date Joined],"&gt;="&amp;Q36,staff[Date Joined],"&lt;="&amp; EOMONTH(Q36,0))</f>
        <v>0</v>
      </c>
      <c r="S36" s="10">
        <f>SUM($R$5:R36)</f>
        <v>181</v>
      </c>
    </row>
    <row r="37" spans="3:19">
      <c r="C37" s="23" t="s">
        <v>237</v>
      </c>
      <c r="D37" s="6">
        <v>62</v>
      </c>
      <c r="P37" s="10">
        <v>33</v>
      </c>
      <c r="Q37" s="24">
        <v>44927</v>
      </c>
      <c r="R37" s="10">
        <f>COUNTIFS(staff[Date Joined],"&gt;="&amp;Q37,staff[Date Joined],"&lt;="&amp; EOMONTH(Q37,0))</f>
        <v>0</v>
      </c>
      <c r="S37" s="10">
        <f>SUM($R$5:R37)</f>
        <v>181</v>
      </c>
    </row>
    <row r="38" spans="3:19">
      <c r="C38" s="16" t="s">
        <v>246</v>
      </c>
      <c r="D38" s="6"/>
      <c r="P38" s="10">
        <v>34</v>
      </c>
      <c r="Q38" s="24">
        <v>44958</v>
      </c>
      <c r="R38" s="10">
        <f>COUNTIFS(staff[Date Joined],"&gt;="&amp;Q38,staff[Date Joined],"&lt;="&amp; EOMONTH(Q38,0))</f>
        <v>1</v>
      </c>
      <c r="S38" s="10">
        <f>SUM($R$5:R38)</f>
        <v>182</v>
      </c>
    </row>
    <row r="39" spans="3:19">
      <c r="C39" s="23" t="s">
        <v>242</v>
      </c>
      <c r="D39" s="6">
        <v>1</v>
      </c>
      <c r="P39" s="10">
        <v>35</v>
      </c>
      <c r="Q39" s="24">
        <v>44986</v>
      </c>
      <c r="R39" s="10">
        <f>COUNTIFS(staff[Date Joined],"&gt;="&amp;Q39,staff[Date Joined],"&lt;="&amp; EOMONTH(Q39,0))</f>
        <v>0</v>
      </c>
      <c r="S39" s="10">
        <f>SUM($R$5:R39)</f>
        <v>182</v>
      </c>
    </row>
    <row r="40" spans="3:19">
      <c r="C40" s="23" t="s">
        <v>244</v>
      </c>
      <c r="D40" s="6">
        <v>2</v>
      </c>
      <c r="P40" s="10">
        <v>36</v>
      </c>
      <c r="Q40" s="24">
        <v>45017</v>
      </c>
      <c r="R40" s="10">
        <f>COUNTIFS(staff[Date Joined],"&gt;="&amp;Q40,staff[Date Joined],"&lt;="&amp; EOMONTH(Q40,0))</f>
        <v>1</v>
      </c>
      <c r="S40" s="10">
        <f>SUM($R$5:R40)</f>
        <v>183</v>
      </c>
    </row>
    <row r="41" spans="3:19">
      <c r="C41" s="16" t="s">
        <v>227</v>
      </c>
      <c r="D41" s="6"/>
    </row>
  </sheetData>
  <autoFilter ref="P4:S40"/>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V34"/>
  <sheetViews>
    <sheetView topLeftCell="A4" workbookViewId="0">
      <selection activeCell="Q40" sqref="Q40"/>
    </sheetView>
  </sheetViews>
  <sheetFormatPr defaultRowHeight="15"/>
  <cols>
    <col min="3" max="3" width="13.140625" bestFit="1" customWidth="1"/>
    <col min="4" max="4" width="14.42578125" bestFit="1" customWidth="1"/>
    <col min="7" max="7" width="13.140625" bestFit="1" customWidth="1"/>
    <col min="8" max="8" width="14.42578125" bestFit="1" customWidth="1"/>
    <col min="12" max="12" width="13.28515625" bestFit="1" customWidth="1"/>
    <col min="14" max="14" width="12.85546875" bestFit="1" customWidth="1"/>
    <col min="16" max="16" width="15" bestFit="1" customWidth="1"/>
    <col min="18" max="18" width="14.7109375" bestFit="1" customWidth="1"/>
    <col min="20" max="20" width="13.28515625" bestFit="1" customWidth="1"/>
    <col min="22" max="22" width="19.7109375" bestFit="1" customWidth="1"/>
  </cols>
  <sheetData>
    <row r="3" spans="3:22">
      <c r="C3" s="15" t="s">
        <v>204</v>
      </c>
      <c r="D3" t="s" vm="2">
        <v>205</v>
      </c>
      <c r="G3" s="15" t="s">
        <v>204</v>
      </c>
      <c r="H3" t="s" vm="1">
        <v>207</v>
      </c>
    </row>
    <row r="5" spans="3:22">
      <c r="C5" s="15" t="s">
        <v>226</v>
      </c>
      <c r="D5" t="s">
        <v>220</v>
      </c>
      <c r="G5" s="15" t="s">
        <v>226</v>
      </c>
      <c r="H5" t="s">
        <v>220</v>
      </c>
    </row>
    <row r="6" spans="3:22">
      <c r="C6" s="16" t="s">
        <v>9</v>
      </c>
      <c r="D6" s="6">
        <v>28</v>
      </c>
      <c r="G6" s="16" t="s">
        <v>12</v>
      </c>
      <c r="H6" s="6">
        <v>27</v>
      </c>
    </row>
    <row r="7" spans="3:22">
      <c r="C7" s="16" t="s">
        <v>12</v>
      </c>
      <c r="D7" s="6">
        <v>27</v>
      </c>
      <c r="G7" s="16" t="s">
        <v>9</v>
      </c>
      <c r="H7" s="6">
        <v>27</v>
      </c>
    </row>
    <row r="8" spans="3:22">
      <c r="C8" s="16" t="s">
        <v>21</v>
      </c>
      <c r="D8" s="6">
        <v>19</v>
      </c>
      <c r="G8" s="16" t="s">
        <v>21</v>
      </c>
      <c r="H8" s="6">
        <v>19</v>
      </c>
    </row>
    <row r="9" spans="3:22">
      <c r="C9" s="16" t="s">
        <v>19</v>
      </c>
      <c r="D9" s="6">
        <v>14</v>
      </c>
      <c r="G9" s="16" t="s">
        <v>19</v>
      </c>
      <c r="H9" s="6">
        <v>14</v>
      </c>
    </row>
    <row r="10" spans="3:22">
      <c r="C10" s="16" t="s">
        <v>56</v>
      </c>
      <c r="D10" s="6">
        <v>4</v>
      </c>
      <c r="G10" s="16" t="s">
        <v>56</v>
      </c>
      <c r="H10" s="6">
        <v>4</v>
      </c>
    </row>
    <row r="11" spans="3:22">
      <c r="C11" s="16" t="s">
        <v>227</v>
      </c>
      <c r="D11" s="6">
        <v>92</v>
      </c>
      <c r="G11" s="16" t="s">
        <v>227</v>
      </c>
      <c r="H11" s="6">
        <v>91</v>
      </c>
    </row>
    <row r="13" spans="3:22" ht="28.5">
      <c r="L13" s="44" t="s">
        <v>252</v>
      </c>
      <c r="M13" s="44"/>
      <c r="N13" s="44"/>
      <c r="O13" s="44"/>
      <c r="P13" s="44"/>
      <c r="R13" s="45" t="s">
        <v>253</v>
      </c>
      <c r="S13" s="45"/>
      <c r="T13" s="45"/>
      <c r="U13" s="45"/>
      <c r="V13" s="45"/>
    </row>
    <row r="14" spans="3:22" ht="69">
      <c r="L14" s="33">
        <f>COUNTIF(staff[Country],"NZ")</f>
        <v>91</v>
      </c>
      <c r="N14" s="36">
        <f>COUNTIFS(staff[Country],"NZ",staff[Gender],"Female")/L14</f>
        <v>0.47252747252747251</v>
      </c>
      <c r="P14" s="34">
        <f>AVERAGEIFS(staff[Salary],staff[Country],"NZ")</f>
        <v>76978.791208791212</v>
      </c>
      <c r="R14" s="37">
        <f>COUNTIF(staff[Country],"IND")</f>
        <v>92</v>
      </c>
      <c r="S14" s="35"/>
      <c r="T14" s="38">
        <f>COUNTIFS(staff[Country],"IND",staff[Gender],"Female")/R14</f>
        <v>0.46739130434782611</v>
      </c>
      <c r="U14" s="35"/>
      <c r="V14" s="39">
        <f>AVERAGEIFS(staff[Salary],staff[Country],"IND")</f>
        <v>77366.521739130432</v>
      </c>
    </row>
    <row r="15" spans="3:22" ht="16.5">
      <c r="L15" s="32" t="s">
        <v>256</v>
      </c>
      <c r="N15" t="s">
        <v>257</v>
      </c>
      <c r="P15" t="s">
        <v>258</v>
      </c>
      <c r="R15" t="s">
        <v>259</v>
      </c>
      <c r="T15" t="s">
        <v>257</v>
      </c>
      <c r="V15" t="s">
        <v>258</v>
      </c>
    </row>
    <row r="16" spans="3:22" ht="16.5">
      <c r="L16" s="32"/>
    </row>
    <row r="17" spans="12:22" ht="24.75">
      <c r="L17" s="43" t="s">
        <v>251</v>
      </c>
      <c r="M17" s="43"/>
      <c r="N17" s="43"/>
      <c r="O17" s="43"/>
      <c r="P17" s="43"/>
      <c r="Q17" s="43"/>
      <c r="R17" s="43"/>
      <c r="S17" s="43"/>
      <c r="T17" s="43"/>
      <c r="U17" s="43"/>
      <c r="V17" s="43"/>
    </row>
    <row r="18" spans="12:22" ht="16.5">
      <c r="L18" s="32"/>
    </row>
    <row r="19" spans="12:22">
      <c r="L19" s="25"/>
      <c r="M19" s="26"/>
      <c r="N19" s="26"/>
      <c r="O19" s="26"/>
      <c r="P19" s="27"/>
      <c r="R19" s="25"/>
      <c r="S19" s="26"/>
      <c r="T19" s="26"/>
      <c r="U19" s="26"/>
      <c r="V19" s="27"/>
    </row>
    <row r="20" spans="12:22">
      <c r="L20" s="28"/>
      <c r="M20" s="20"/>
      <c r="N20" s="20"/>
      <c r="O20" s="20"/>
      <c r="P20" s="29"/>
      <c r="R20" s="28"/>
      <c r="S20" s="20"/>
      <c r="T20" s="20"/>
      <c r="U20" s="20"/>
      <c r="V20" s="29"/>
    </row>
    <row r="21" spans="12:22">
      <c r="L21" s="28"/>
      <c r="M21" s="20"/>
      <c r="N21" s="20"/>
      <c r="O21" s="20"/>
      <c r="P21" s="29"/>
      <c r="R21" s="28"/>
      <c r="S21" s="20"/>
      <c r="T21" s="20"/>
      <c r="U21" s="20"/>
      <c r="V21" s="29"/>
    </row>
    <row r="22" spans="12:22">
      <c r="L22" s="28"/>
      <c r="M22" s="20"/>
      <c r="N22" s="20"/>
      <c r="O22" s="20"/>
      <c r="P22" s="29"/>
      <c r="R22" s="28"/>
      <c r="S22" s="20"/>
      <c r="T22" s="20"/>
      <c r="U22" s="20"/>
      <c r="V22" s="29"/>
    </row>
    <row r="23" spans="12:22">
      <c r="L23" s="28"/>
      <c r="M23" s="20"/>
      <c r="N23" s="20"/>
      <c r="O23" s="20"/>
      <c r="P23" s="29"/>
      <c r="R23" s="28"/>
      <c r="S23" s="20"/>
      <c r="T23" s="20"/>
      <c r="U23" s="20"/>
      <c r="V23" s="29"/>
    </row>
    <row r="24" spans="12:22">
      <c r="L24" s="28"/>
      <c r="M24" s="20"/>
      <c r="N24" s="20"/>
      <c r="O24" s="20"/>
      <c r="P24" s="29"/>
      <c r="R24" s="28"/>
      <c r="S24" s="20"/>
      <c r="T24" s="20"/>
      <c r="U24" s="20"/>
      <c r="V24" s="29"/>
    </row>
    <row r="25" spans="12:22">
      <c r="L25" s="28"/>
      <c r="M25" s="20"/>
      <c r="N25" s="20"/>
      <c r="O25" s="20"/>
      <c r="P25" s="29"/>
      <c r="R25" s="28"/>
      <c r="S25" s="20"/>
      <c r="T25" s="20"/>
      <c r="U25" s="20"/>
      <c r="V25" s="29"/>
    </row>
    <row r="26" spans="12:22">
      <c r="L26" s="28"/>
      <c r="M26" s="20"/>
      <c r="N26" s="20"/>
      <c r="O26" s="20"/>
      <c r="P26" s="29"/>
      <c r="R26" s="28"/>
      <c r="S26" s="20"/>
      <c r="T26" s="20"/>
      <c r="U26" s="20"/>
      <c r="V26" s="29"/>
    </row>
    <row r="27" spans="12:22">
      <c r="L27" s="28"/>
      <c r="M27" s="20"/>
      <c r="N27" s="20"/>
      <c r="O27" s="20"/>
      <c r="P27" s="29"/>
      <c r="R27" s="28"/>
      <c r="S27" s="20"/>
      <c r="T27" s="20"/>
      <c r="U27" s="20"/>
      <c r="V27" s="29"/>
    </row>
    <row r="28" spans="12:22">
      <c r="L28" s="28"/>
      <c r="M28" s="20"/>
      <c r="N28" s="20"/>
      <c r="O28" s="20"/>
      <c r="P28" s="29"/>
      <c r="R28" s="28"/>
      <c r="S28" s="20"/>
      <c r="T28" s="20"/>
      <c r="U28" s="20"/>
      <c r="V28" s="29"/>
    </row>
    <row r="29" spans="12:22">
      <c r="L29" s="28"/>
      <c r="M29" s="20"/>
      <c r="N29" s="20"/>
      <c r="O29" s="20"/>
      <c r="P29" s="29"/>
      <c r="R29" s="28"/>
      <c r="S29" s="20"/>
      <c r="T29" s="20"/>
      <c r="U29" s="20"/>
      <c r="V29" s="29"/>
    </row>
    <row r="30" spans="12:22">
      <c r="L30" s="28"/>
      <c r="M30" s="20"/>
      <c r="N30" s="20"/>
      <c r="O30" s="20"/>
      <c r="P30" s="29"/>
      <c r="R30" s="28"/>
      <c r="S30" s="20"/>
      <c r="T30" s="20"/>
      <c r="U30" s="20"/>
      <c r="V30" s="29"/>
    </row>
    <row r="31" spans="12:22">
      <c r="L31" s="28"/>
      <c r="M31" s="20"/>
      <c r="N31" s="20"/>
      <c r="O31" s="20"/>
      <c r="P31" s="29"/>
      <c r="R31" s="28"/>
      <c r="S31" s="20"/>
      <c r="T31" s="20"/>
      <c r="U31" s="20"/>
      <c r="V31" s="29"/>
    </row>
    <row r="32" spans="12:22">
      <c r="L32" s="28"/>
      <c r="M32" s="20"/>
      <c r="N32" s="20"/>
      <c r="O32" s="20"/>
      <c r="P32" s="29"/>
      <c r="R32" s="28"/>
      <c r="S32" s="20"/>
      <c r="T32" s="20"/>
      <c r="U32" s="20"/>
      <c r="V32" s="29"/>
    </row>
    <row r="33" spans="12:22">
      <c r="L33" s="28"/>
      <c r="M33" s="20"/>
      <c r="N33" s="20"/>
      <c r="O33" s="20"/>
      <c r="P33" s="29"/>
      <c r="R33" s="28"/>
      <c r="S33" s="20"/>
      <c r="T33" s="20"/>
      <c r="U33" s="20"/>
      <c r="V33" s="29"/>
    </row>
    <row r="34" spans="12:22">
      <c r="L34" s="30"/>
      <c r="M34" s="21"/>
      <c r="N34" s="21"/>
      <c r="O34" s="21"/>
      <c r="P34" s="31"/>
      <c r="R34" s="30"/>
      <c r="S34" s="21"/>
      <c r="T34" s="21"/>
      <c r="U34" s="21"/>
      <c r="V34" s="31"/>
    </row>
  </sheetData>
  <mergeCells count="3">
    <mergeCell ref="L13:P13"/>
    <mergeCell ref="R13:V13"/>
    <mergeCell ref="L17:V17"/>
  </mergeCells>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23"/>
  <sheetViews>
    <sheetView showGridLines="0" tabSelected="1" workbookViewId="0">
      <selection activeCell="Q18" sqref="Q18"/>
    </sheetView>
  </sheetViews>
  <sheetFormatPr defaultRowHeight="15"/>
  <cols>
    <col min="3" max="3" width="16" customWidth="1"/>
    <col min="4" max="4" width="2.140625" customWidth="1"/>
    <col min="5" max="5" width="16.42578125" customWidth="1"/>
    <col min="6" max="6" width="1.85546875" customWidth="1"/>
    <col min="7" max="7" width="15.85546875" customWidth="1"/>
    <col min="9" max="9" width="16" customWidth="1"/>
    <col min="10" max="10" width="2.140625" customWidth="1"/>
    <col min="11" max="11" width="14.5703125" customWidth="1"/>
    <col min="12" max="12" width="1.85546875" customWidth="1"/>
    <col min="13" max="13" width="19.7109375" customWidth="1"/>
  </cols>
  <sheetData>
    <row r="2" spans="3:13" ht="28.5">
      <c r="C2" s="44" t="s">
        <v>252</v>
      </c>
      <c r="D2" s="44"/>
      <c r="E2" s="44"/>
      <c r="F2" s="44"/>
      <c r="G2" s="44"/>
      <c r="I2" s="45" t="s">
        <v>253</v>
      </c>
      <c r="J2" s="45"/>
      <c r="K2" s="45"/>
      <c r="L2" s="45"/>
      <c r="M2" s="45"/>
    </row>
    <row r="3" spans="3:13" ht="68.25" customHeight="1">
      <c r="C3" s="33">
        <f>COUNTIF(staff[Country],"NZ")</f>
        <v>91</v>
      </c>
      <c r="E3" s="36">
        <f>COUNTIFS(staff[Country],"NZ",staff[Gender],"Female")/C3</f>
        <v>0.47252747252747251</v>
      </c>
      <c r="G3" s="34">
        <f>AVERAGEIFS(staff[Salary],staff[Country],"NZ")</f>
        <v>76978.791208791212</v>
      </c>
      <c r="I3" s="37">
        <f>COUNTIF(staff[Country],"IND")</f>
        <v>92</v>
      </c>
      <c r="J3" s="35"/>
      <c r="K3" s="38">
        <f>COUNTIFS(staff[Country],"IND",staff[Gender],"Female")/I3</f>
        <v>0.46739130434782611</v>
      </c>
      <c r="L3" s="35"/>
      <c r="M3" s="39">
        <f>AVERAGEIFS(staff[Salary],staff[Country],"IND")</f>
        <v>77366.521739130432</v>
      </c>
    </row>
    <row r="4" spans="3:13">
      <c r="C4" t="s">
        <v>256</v>
      </c>
      <c r="E4" t="s">
        <v>257</v>
      </c>
      <c r="G4" t="s">
        <v>258</v>
      </c>
      <c r="I4" t="s">
        <v>259</v>
      </c>
      <c r="K4" t="s">
        <v>257</v>
      </c>
      <c r="M4" t="s">
        <v>258</v>
      </c>
    </row>
    <row r="5" spans="3:13" ht="16.5">
      <c r="C5" s="32"/>
    </row>
    <row r="6" spans="3:13" ht="24.75">
      <c r="C6" s="43" t="s">
        <v>251</v>
      </c>
      <c r="D6" s="43"/>
      <c r="E6" s="43"/>
      <c r="F6" s="43"/>
      <c r="G6" s="43"/>
      <c r="H6" s="43"/>
      <c r="I6" s="43"/>
      <c r="J6" s="43"/>
      <c r="K6" s="43"/>
      <c r="L6" s="43"/>
      <c r="M6" s="43"/>
    </row>
    <row r="7" spans="3:13" ht="16.5">
      <c r="C7" s="32"/>
    </row>
    <row r="8" spans="3:13">
      <c r="C8" s="25"/>
      <c r="D8" s="26"/>
      <c r="E8" s="26"/>
      <c r="F8" s="26"/>
      <c r="G8" s="27"/>
      <c r="I8" s="25"/>
      <c r="J8" s="26"/>
      <c r="K8" s="26"/>
      <c r="L8" s="26"/>
      <c r="M8" s="27"/>
    </row>
    <row r="9" spans="3:13">
      <c r="C9" s="28"/>
      <c r="D9" s="20"/>
      <c r="E9" s="20"/>
      <c r="F9" s="20"/>
      <c r="G9" s="29"/>
      <c r="I9" s="28"/>
      <c r="J9" s="20"/>
      <c r="K9" s="20"/>
      <c r="L9" s="20"/>
      <c r="M9" s="29"/>
    </row>
    <row r="10" spans="3:13">
      <c r="C10" s="28"/>
      <c r="D10" s="20"/>
      <c r="E10" s="20"/>
      <c r="F10" s="20"/>
      <c r="G10" s="29"/>
      <c r="I10" s="28"/>
      <c r="J10" s="20"/>
      <c r="K10" s="20"/>
      <c r="L10" s="20"/>
      <c r="M10" s="29"/>
    </row>
    <row r="11" spans="3:13">
      <c r="C11" s="28"/>
      <c r="D11" s="20"/>
      <c r="E11" s="20"/>
      <c r="F11" s="20"/>
      <c r="G11" s="29"/>
      <c r="I11" s="28"/>
      <c r="J11" s="20"/>
      <c r="K11" s="20"/>
      <c r="L11" s="20"/>
      <c r="M11" s="29"/>
    </row>
    <row r="12" spans="3:13">
      <c r="C12" s="28"/>
      <c r="D12" s="20"/>
      <c r="E12" s="20"/>
      <c r="F12" s="20"/>
      <c r="G12" s="29"/>
      <c r="I12" s="28"/>
      <c r="J12" s="20"/>
      <c r="K12" s="20"/>
      <c r="L12" s="20"/>
      <c r="M12" s="29"/>
    </row>
    <row r="13" spans="3:13">
      <c r="C13" s="28"/>
      <c r="D13" s="20"/>
      <c r="E13" s="20"/>
      <c r="F13" s="20"/>
      <c r="G13" s="29"/>
      <c r="I13" s="28"/>
      <c r="J13" s="20"/>
      <c r="K13" s="20"/>
      <c r="L13" s="20"/>
      <c r="M13" s="29"/>
    </row>
    <row r="14" spans="3:13">
      <c r="C14" s="28"/>
      <c r="D14" s="20"/>
      <c r="E14" s="20"/>
      <c r="F14" s="20"/>
      <c r="G14" s="29"/>
      <c r="I14" s="28"/>
      <c r="J14" s="20"/>
      <c r="K14" s="20"/>
      <c r="L14" s="20"/>
      <c r="M14" s="29"/>
    </row>
    <row r="15" spans="3:13">
      <c r="C15" s="28"/>
      <c r="D15" s="20"/>
      <c r="E15" s="20"/>
      <c r="F15" s="20"/>
      <c r="G15" s="29"/>
      <c r="I15" s="28"/>
      <c r="J15" s="20"/>
      <c r="K15" s="20"/>
      <c r="L15" s="20"/>
      <c r="M15" s="29"/>
    </row>
    <row r="16" spans="3:13">
      <c r="C16" s="28"/>
      <c r="D16" s="20"/>
      <c r="E16" s="20"/>
      <c r="F16" s="20"/>
      <c r="G16" s="29"/>
      <c r="I16" s="28"/>
      <c r="J16" s="20"/>
      <c r="K16" s="20"/>
      <c r="L16" s="20"/>
      <c r="M16" s="29"/>
    </row>
    <row r="17" spans="3:13">
      <c r="C17" s="28"/>
      <c r="D17" s="20"/>
      <c r="E17" s="20"/>
      <c r="F17" s="20"/>
      <c r="G17" s="29"/>
      <c r="I17" s="28"/>
      <c r="J17" s="20"/>
      <c r="K17" s="20"/>
      <c r="L17" s="20"/>
      <c r="M17" s="29"/>
    </row>
    <row r="18" spans="3:13">
      <c r="C18" s="28"/>
      <c r="D18" s="20"/>
      <c r="E18" s="20"/>
      <c r="F18" s="20"/>
      <c r="G18" s="29"/>
      <c r="I18" s="28"/>
      <c r="J18" s="20"/>
      <c r="K18" s="20"/>
      <c r="L18" s="20"/>
      <c r="M18" s="29"/>
    </row>
    <row r="19" spans="3:13">
      <c r="C19" s="28"/>
      <c r="D19" s="20"/>
      <c r="E19" s="20"/>
      <c r="F19" s="20"/>
      <c r="G19" s="29"/>
      <c r="I19" s="28"/>
      <c r="J19" s="20"/>
      <c r="K19" s="20"/>
      <c r="L19" s="20"/>
      <c r="M19" s="29"/>
    </row>
    <row r="20" spans="3:13">
      <c r="C20" s="28"/>
      <c r="D20" s="20"/>
      <c r="E20" s="20"/>
      <c r="F20" s="20"/>
      <c r="G20" s="29"/>
      <c r="I20" s="28"/>
      <c r="J20" s="20"/>
      <c r="K20" s="20"/>
      <c r="L20" s="20"/>
      <c r="M20" s="29"/>
    </row>
    <row r="21" spans="3:13">
      <c r="C21" s="28"/>
      <c r="D21" s="20"/>
      <c r="E21" s="20"/>
      <c r="F21" s="20"/>
      <c r="G21" s="29"/>
      <c r="I21" s="28"/>
      <c r="J21" s="20"/>
      <c r="K21" s="20"/>
      <c r="L21" s="20"/>
      <c r="M21" s="29"/>
    </row>
    <row r="22" spans="3:13">
      <c r="C22" s="28"/>
      <c r="D22" s="20"/>
      <c r="E22" s="20"/>
      <c r="F22" s="20"/>
      <c r="G22" s="29"/>
      <c r="I22" s="28"/>
      <c r="J22" s="20"/>
      <c r="K22" s="20"/>
      <c r="L22" s="20"/>
      <c r="M22" s="29"/>
    </row>
    <row r="23" spans="3:13">
      <c r="C23" s="30"/>
      <c r="D23" s="21"/>
      <c r="E23" s="21"/>
      <c r="F23" s="21"/>
      <c r="G23" s="31"/>
      <c r="I23" s="30"/>
      <c r="J23" s="21"/>
      <c r="K23" s="21"/>
      <c r="L23" s="21"/>
      <c r="M23" s="31"/>
    </row>
  </sheetData>
  <mergeCells count="3">
    <mergeCell ref="C6:M6"/>
    <mergeCell ref="C2:G2"/>
    <mergeCell ref="I2:M2"/>
  </mergeCells>
  <pageMargins left="0.7" right="0.7" top="0.75" bottom="0.75" header="0.3" footer="0.3"/>
  <pageSetup orientation="portrait" horizontalDpi="30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I s S a n d b o x E m b e d d e d " > < C u s t o m C o n t e n t > < ! [ C D A T A [ y e s ] ] > < / C u s t o m C o n t e n t > < / G e m i n i > 
</file>

<file path=customXml/item2.xml>��< ? x m l   v e r s i o n = " 1 . 0 "   e n c o d i n g = " U T F - 1 6 " ? > < G e m i n i   x m l n s = " h t t p : / / g e m i n i / p i v o t c u s t o m i z a t i o n / P o w e r P i v o t V e r s i o n " > < C u s t o m C o n t e n t > < ! [ C D A T A [ 1 1 . 0 . 9 1 6 5 . 1 1 8 6 ] ] > < / C u s t o m C o n t e n t > < / G e m i n i > 
</file>

<file path=customXml/item3.xml>��< ? x m l   v e r s i o n = " 1 . 0 "   e n c o d i n g = " U T F - 1 6 " ? > < G e m i n i   x m l n s = " h t t p : / / g e m i n i / p i v o t c u s t o m i z a t i o n / S a n d b o x N o n E m p t y " > < C u s t o m C o n t e n t > < ! [ C D A T A [ 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 2 0 2 3 - 0 6 - 2 9 T 1 7 : 3 4 : 1 4 . 7 3 5 8 8 7 9 + 0 5 : 3 0 < / L a s t P r o c e s s e d T i m e > < / D a t a M o d e l i n g S a n d b o x . S e r i a l i z e d S a n d b o x E r r o r C a c h e > ] ] > < / C u s t o m C o n t e n t > < / G e m i n i > 
</file>

<file path=customXml/item6.xml>��< ? x m l   v e r s i o n = " 1 . 0 "   e n c o d i n g = " u t f - 1 6 " ? > < D a t a M a s h u p   x m l n s = " h t t p : / / s c h e m a s . m i c r o s o f t . c o m / D a t a M a s h u p " > A A A A A M I E A A B Q S w M E F A A C A A g A K Z z Z V 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A p n N 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Z z Z V v Z P L j S 6 A Q A A 7 A U A A B M A H A B G b 3 J t d W x h c y 9 T Z W N 0 a W 9 u M S 5 t I K I Y A C i g F A A A A A A A A A A A A A A A A A A A A A A A A A A A A O 1 T T W s b M R C 9 G / w f h H p Z g w j k n K Y Q 1 m 1 J D y 6 1 T Q s 1 J s i 7 Y 1 t E H 4 t 2 1 M Z d 9 r 9 3 5 P W H Y r u E H A P d y 8 K b m f d m R m 9 q K F A 5 y y b d / / q m 3 + v 3 6 r X 0 U D L 7 5 6 F G u V y y W 6 Y B + z 1 G 3 8 Q F X w A h H 5 8 K 0 F d 5 8 B 4 s / n D + c e H c Y z Z o Z i N p 4 J b v a / m 8 n e X O I i X N R U f x j u d r a V c k M N 1 U w I l r K h c a r q Z e 2 n r p v M m d D s b G Y J 1 1 e q J p e O T l g i H B D O E J W 8 E a / h l s C f 4 M H k I l P R o S P Q v d r Q 4 s N p g F + K 5 A I r A v T l k o 9 9 G S I F Q G t v G J 1 N J v L h S O J S q 7 2 g e k 3 b T t 4 D D n X V n S l H m o 0 Z n j n I R 2 E 2 Y n m x C M 5 y 5 Y 3 A q B L N a M j 3 7 y I 9 0 Y j P t F y c N Q a V V Q e / W R d K h q a q T A 7 E Q 1 9 r j d X J v y V F o W l P N d 6 p A 8 w A 7 f o t l F O W G D 1 o J / x X V c + i 7 f P y s U h 0 d J F D 8 p j R A t N X a / k 6 Y n o M l 2 E c v O u t p t I J s l T z N n 7 z + w 2 M I g 2 X F V R b m S f Q t A i z t w 5 8 4 s q C Z r T t X F v S 2 V 7 N y Z t J i + x P U L p j x T j f 7 8 h 4 X I D / 2 e s p d l 0 m t L 2 u o O 7 l X 3 l l Q / O 7 n / F / f K i 7 s f D d / y y a V e O x G 9 + Q t Q S w E C L Q A U A A I A C A A p n N l W G v U f H 6 Y A A A D 5 A A A A E g A A A A A A A A A A A A A A A A A A A A A A Q 2 9 u Z m l n L 1 B h Y 2 t h Z 2 U u e G 1 s U E s B A i 0 A F A A C A A g A K Z z Z V g / K 6 a u k A A A A 6 Q A A A B M A A A A A A A A A A A A A A A A A 8 g A A A F t D b 2 5 0 Z W 5 0 X 1 R 5 c G V z X S 5 4 b W x Q S w E C L Q A U A A I A C A A p n N l W 9 k 8 u N L o B A A D s B Q A A E w A A A A A A A A A A A A A A A A D j A Q A A R m 9 y b X V s Y X M v U 2 V j d G l v b j E u b V B L B Q Y A A A A A A w A D A M I A A A D q A w 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5 y G w A A A A A A A F A 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n p f c 3 R h Z m Y 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2 5 6 X 3 N 0 Y W Z m X z I i I C 8 + P E V u d H J 5 I F R 5 c G U 9 I k Z p b G x T d G F 0 d X M i I F Z h b H V l P S J z Q 2 9 t c G x l d G U i I C 8 + P E V u d H J 5 I F R 5 c G U 9 I k Z p b G x D b 3 V u d C I g V m F s d W U 9 I m w x O D M i I C 8 + P E V u d H J 5 I F R 5 c G U 9 I k Z p b G x F c n J v c k N v d W 5 0 I i B W Y W x 1 Z T 0 i b D A i I C 8 + P E V u d H J 5 I F R 5 c G U 9 I k Z p b G x D b 2 x 1 b W 5 U e X B l c y I g V m F s d W U 9 I n N C Z 1 l H Q l F r R k F B Q T 0 i I C 8 + P E V u d H J 5 I F R 5 c G U 9 I k Z p b G x D b 2 x 1 b W 5 O Y W 1 l c y I g V m F s d W U 9 I n N b J n F 1 b 3 Q 7 T m F t Z S Z x d W 9 0 O y w m c X V v d D t H Z W 5 k Z X I m c X V v d D s s J n F 1 b 3 Q 7 R G V w Y X J 0 b W V u d C Z x d W 9 0 O y w m c X V v d D t B Z 2 U m c X V v d D s s J n F 1 b 3 Q 7 R G F 0 Z S B K b 2 l u Z W Q m c X V v d D s s J n F 1 b 3 Q 7 U 2 F s Y X J 5 J n F 1 b 3 Q 7 L C Z x d W 9 0 O 1 J h d G l u Z y Z x d W 9 0 O y w m c X V v d D t D b 3 V u d H J 5 J n F 1 b 3 Q 7 X S I g L z 4 8 R W 5 0 c n k g V H l w Z T 0 i R m l s b E V y c m 9 y Q 2 9 k Z S I g V m F s d W U 9 I n N V b m t u b 3 d u I i A v P j x F b n R y e S B U e X B l P S J G a W x s T G F z d F V w Z G F 0 Z W Q i I F Z h b H V l P S J k M j A y M y 0 w N i 0 y N V Q x N D o w M T o x M y 4 y N j E 5 N T c 1 W i I g L z 4 8 R W 5 0 c n k g V H l w Z T 0 i R m l s b G V k Q 2 9 t c G x l d G V S Z X N 1 b H R U b 1 d v c m t z a G V l d C I g V m F s d W U 9 I m w x I i A v P j x F b n R y e S B U e X B l P S J B Z G R l Z F R v R G F 0 Y U 1 v Z G V s I i B W Y W x 1 Z T 0 i b D A i I C 8 + P E V u d H J 5 I F R 5 c G U 9 I k J 1 Z m Z l c k 5 l e H R S Z W Z y Z X N o I i B W Y W x 1 Z T 0 i b D E i I C 8 + P E V u d H J 5 I F R 5 c G U 9 I l J l Y 2 9 2 Z X J 5 V G F y Z 2 V 0 U m 9 3 I i B W Y W x 1 Z T 0 i b D E i I C 8 + P E V u d H J 5 I F R 5 c G U 9 I l J l Y 2 9 2 Z X J 5 V G F y Z 2 V 0 Q 2 9 s d W 1 u I i B W Y W x 1 Z T 0 i b D E i I C 8 + P E V u d H J 5 I F R 5 c G U 9 I l J l Y 2 9 2 Z X J 5 V G F y Z 2 V 0 U 2 h l Z X Q i I F Z h b H V l P S J z Q W x s I F N 0 Y W Z m I i A v P j x F b n R y e S B U e X B l P S J O Y W 1 l V X B k Y X R l Z E F m d G V y R m l s b C I g V m F s d W U 9 I m w w I i A v P j x F b n R y e S B U e X B l P S J S Z W x h d G l v b n N o a X B J b m Z v Q 2 9 u d G F p b m V y I i B W Y W x 1 Z T 0 i c 3 s m c X V v d D t j b 2 x 1 b W 5 D b 3 V u d C Z x d W 9 0 O z o 4 L C Z x d W 9 0 O 2 t l e U N v b H V t b k 5 h b W V z J n F 1 b 3 Q 7 O l t d L C Z x d W 9 0 O 3 F 1 Z X J 5 U m V s Y X R p b 2 5 z a G l w c y Z x d W 9 0 O z p b X S w m c X V v d D t j b 2 x 1 b W 5 J Z G V u d G l 0 a W V z J n F 1 b 3 Q 7 O l s m c X V v d D t T Z W N 0 a W 9 u M S 9 u e l 9 z d G F m Z i 9 B c H B l b m R l Z C B R d W V y e S 5 7 T m F t Z S w w f S Z x d W 9 0 O y w m c X V v d D t T Z W N 0 a W 9 u M S 9 u e l 9 z d G F m Z i 9 B c H B l b m R l Z C B R d W V y e S 5 7 R 2 V u Z G V y L D F 9 J n F 1 b 3 Q 7 L C Z x d W 9 0 O 1 N l Y 3 R p b 2 4 x L 2 5 6 X 3 N 0 Y W Z m L 0 F w c G V u Z G V k I F F 1 Z X J 5 L n t E Z X B h c n R t Z W 5 0 L D J 9 J n F 1 b 3 Q 7 L C Z x d W 9 0 O 1 N l Y 3 R p b 2 4 x L 2 5 6 X 3 N 0 Y W Z m L 0 F w c G V u Z G V k I F F 1 Z X J 5 L n t B Z 2 U s M 3 0 m c X V v d D s s J n F 1 b 3 Q 7 U 2 V j d G l v b j E v b n p f c 3 R h Z m Y v Q 2 h h b m d l Z C B U e X B l M S 5 7 R G F 0 Z S B K b 2 l u Z W Q s N H 0 m c X V v d D s s J n F 1 b 3 Q 7 U 2 V j d G l v b j E v b n p f c 3 R h Z m Y v Q X B w Z W 5 k Z W Q g U X V l c n k u e 1 N h b G F y e S w 1 f S Z x d W 9 0 O y w m c X V v d D t T Z W N 0 a W 9 u M S 9 u e l 9 z d G F m Z i 9 B c H B l b m R l Z C B R d W V y e S 5 7 U m F 0 a W 5 n L D Z 9 J n F 1 b 3 Q 7 L C Z x d W 9 0 O 1 N l Y 3 R p b 2 4 x L 2 5 6 X 3 N 0 Y W Z m L 0 F w c G V u Z G V k I F F 1 Z X J 5 L n t D b 3 V u d H J 5 L D d 9 J n F 1 b 3 Q 7 X S w m c X V v d D t D b 2 x 1 b W 5 D b 3 V u d C Z x d W 9 0 O z o 4 L C Z x d W 9 0 O 0 t l e U N v b H V t b k 5 h b W V z J n F 1 b 3 Q 7 O l t d L C Z x d W 9 0 O 0 N v b H V t b k l k Z W 5 0 a X R p Z X M m c X V v d D s 6 W y Z x d W 9 0 O 1 N l Y 3 R p b 2 4 x L 2 5 6 X 3 N 0 Y W Z m L 0 F w c G V u Z G V k I F F 1 Z X J 5 L n t O Y W 1 l L D B 9 J n F 1 b 3 Q 7 L C Z x d W 9 0 O 1 N l Y 3 R p b 2 4 x L 2 5 6 X 3 N 0 Y W Z m L 0 F w c G V u Z G V k I F F 1 Z X J 5 L n t H Z W 5 k Z X I s M X 0 m c X V v d D s s J n F 1 b 3 Q 7 U 2 V j d G l v b j E v b n p f c 3 R h Z m Y v Q X B w Z W 5 k Z W Q g U X V l c n k u e 0 R l c G F y d G 1 l b n Q s M n 0 m c X V v d D s s J n F 1 b 3 Q 7 U 2 V j d G l v b j E v b n p f c 3 R h Z m Y v Q X B w Z W 5 k Z W Q g U X V l c n k u e 0 F n Z S w z f S Z x d W 9 0 O y w m c X V v d D t T Z W N 0 a W 9 u M S 9 u e l 9 z d G F m Z i 9 D a G F u Z 2 V k I F R 5 c G U x L n t E Y X R l I E p v a W 5 l Z C w 0 f S Z x d W 9 0 O y w m c X V v d D t T Z W N 0 a W 9 u M S 9 u e l 9 z d G F m Z i 9 B c H B l b m R l Z C B R d W V y e S 5 7 U 2 F s Y X J 5 L D V 9 J n F 1 b 3 Q 7 L C Z x d W 9 0 O 1 N l Y 3 R p b 2 4 x L 2 5 6 X 3 N 0 Y W Z m L 0 F w c G V u Z G V k I F F 1 Z X J 5 L n t S Y X R p b m c s N n 0 m c X V v d D s s J n F 1 b 3 Q 7 U 2 V j d G l v b j E v b n p f c 3 R h Z m Y v Q X B w Z W 5 k Z W Q g U X V l c n k u e 0 N v d W 5 0 c n k s N 3 0 m c X V v d D t d L C Z x d W 9 0 O 1 J l b G F 0 a W 9 u c 2 h p c E l u Z m 8 m c X V v d D s 6 W 1 1 9 I i A v P j w v U 3 R h Y m x l R W 5 0 c m l l c z 4 8 L 0 l 0 Z W 0 + P E l 0 Z W 0 + P E l 0 Z W 1 M b 2 N h d G l v b j 4 8 S X R l b V R 5 c G U + R m 9 y b X V s Y T w v S X R l b V R 5 c G U + P E l 0 Z W 1 Q Y X R o P l N l Y 3 R p b 2 4 x L 2 5 6 X 3 N 0 Y W Z m L 1 N v d X J j Z T w v S X R l b V B h d G g + P C 9 J d G V t T G 9 j Y X R p b 2 4 + P F N 0 Y W J s Z U V u d H J p Z X M g L z 4 8 L 0 l 0 Z W 0 + P E l 0 Z W 0 + P E l 0 Z W 1 M b 2 N h d G l v b j 4 8 S X R l b V R 5 c G U + R m 9 y b X V s Y T w v S X R l b V R 5 c G U + P E l 0 Z W 1 Q Y X R o P l N l Y 3 R p b 2 4 x L 2 5 6 X 3 N 0 Y W Z m L 0 N o Y W 5 n Z W Q l M j B U e X B l P C 9 J d G V t U G F 0 a D 4 8 L 0 l 0 Z W 1 M b 2 N h d G l v b j 4 8 U 3 R h Y m x l R W 5 0 c m l l c y A v P j w v S X R l b T 4 8 S X R l b T 4 8 S X R l b U x v Y 2 F 0 a W 9 u P j x J d G V t V H l w Z T 5 G b 3 J t d W x h P C 9 J d G V t V H l w Z T 4 8 S X R l b V B h d G g + U 2 V j d G l v b j E v S W 5 k a W F f c 3 R h Z m Y 8 L 0 l 0 Z W 1 Q Y X R o P j w v S X R l b U x v Y 2 F 0 a W 9 u P j x T d G F i b G V F b n R y a W V z P j x F b n R y e S B U e X B l P S J J c 1 B y a X Z h d G U i I F Z h b H V l P S J s M C I g L z 4 8 R W 5 0 c n k g V H l w Z T 0 i U m V z d W x 0 V H l w Z S I g V m F s d W U 9 I n N U Y W J s Z S I g L z 4 8 R W 5 0 c n k g V H l w Z T 0 i Q W R k Z W R U b 0 R h d G F N b 2 R l b C I g V m F s d W U 9 I m w w I i A v P j x F b n R y e S B U e X B l P S J G a W x s T G F z d F V w Z G F 0 Z W Q i I F Z h b H V l P S J k M j A y M y 0 w N i 0 y N V Q x M z o 1 M D o w N C 4 x M z c 4 N T Y 2 W i I g L z 4 8 R W 5 0 c n k g V H l w Z T 0 i R m l s b E V y c m 9 y Q 2 9 k Z S I g V m F s d W U 9 I n N V b m t u b 3 d u I i A v P j x F b n R y e S B U e X B l P S J G a W x s Q 2 9 s d W 1 u T m F t Z X M i I F Z h b H V l P S J z W y Z x d W 9 0 O 0 5 h b W U m c X V v d D s s J n F 1 b 3 Q 7 R 2 V u Z G V y J n F 1 b 3 Q 7 L C Z x d W 9 0 O 0 F n Z S Z x d W 9 0 O y w m c X V v d D t S Y X R p b m c m c X V v d D s s J n F 1 b 3 Q 7 R G F 0 Z S B K b 2 l u Z W Q m c X V v d D s s J n F 1 b 3 Q 7 R G V w Y X J 0 b W V u d C Z x d W 9 0 O y w m c X V v d D t T Y W x h c n k m c X V v d D s s J n F 1 b 3 Q 7 Q 2 9 1 b n R y e S Z x d W 9 0 O 1 0 i I C 8 + P E V u d H J 5 I F R 5 c G U 9 I k Z p b G x D b 2 x 1 b W 5 U e X B l c y I g V m F s d W U 9 I n N C Z 1 l G Q U F j R 0 J R Q T 0 i I C 8 + P E V u d H J 5 I F R 5 c G U 9 I k Z p b G x F c n J v c k N v d W 5 0 I i B W Y W x 1 Z T 0 i b D A i I C 8 + P E V u d H J 5 I F R 5 c G U 9 I k Z p b G x D b 3 V u d C I g V m F s d W U 9 I m w 5 M i I g L z 4 8 R W 5 0 c n k g V H l w Z T 0 i R m l s b F N 0 Y X R 1 c y I g V m F s d W U 9 I n N D b 2 1 w b G V 0 Z S I g L z 4 8 R W 5 0 c n k g V H l w Z T 0 i T m F t Z V V w Z G F 0 Z W R B Z n R l c k Z p b G w i I F Z h b H V l P S J s M C I g L z 4 8 R W 5 0 c n k g V H l w Z T 0 i T G 9 h Z G V k V G 9 B b m F s e X N p c 1 N l c n Z p Y 2 V z I i B W Y W x 1 Z T 0 i b D A i I C 8 + P E V u d H J 5 I F R 5 c G U 9 I k J 1 Z m Z l c k 5 l e H R S Z W Z y Z X N o I i B W Y W x 1 Z T 0 i b D E i I C 8 + P E V u d H J 5 I F R 5 c G U 9 I k Z p b G x F b m F i b G V k I i B W Y W x 1 Z T 0 i b D A i I C 8 + P E V u d H J 5 I F R 5 c G U 9 I k Z p b G x U b 0 R h d G F N b 2 R l b E V u Y W J s Z W Q i I F Z h b H V l P S J s M C I g L z 4 8 R W 5 0 c n k g V H l w Z T 0 i R m l s b G V k Q 2 9 t c G x l d G V S Z X N 1 b H R U b 1 d v c m t z a G V l d C I g V m F s d W U 9 I m w x I i A v P j x F b n R y e S B U e X B l P S J S Z W N v d m V y e V R h c m d l d F J v d y I g V m F s d W U 9 I m w x I i A v P j x F b n R y e S B U e X B l P S J S Z W N v d m V y e V R h c m d l d E N v b H V t b i I g V m F s d W U 9 I m w x I i A v P j x F b n R y e S B U e X B l P S J S Z W N v d m V y e V R h c m d l d F N o Z W V 0 I i B W Y W x 1 Z T 0 i c 1 N o Z W V 0 M S I g L z 4 8 R W 5 0 c n k g V H l w Z T 0 i U m V s Y X R p b 2 5 z a G l w S W 5 m b 0 N v b n R h a W 5 l c i I g V m F s d W U 9 I n N 7 J n F 1 b 3 Q 7 Y 2 9 s d W 1 u Q 2 9 1 b n Q m c X V v d D s 6 O C w m c X V v d D t r Z X l D b 2 x 1 b W 5 O Y W 1 l c y Z x d W 9 0 O z p b J n F 1 b 3 Q 7 T m F t Z S Z x d W 9 0 O 1 0 s J n F 1 b 3 Q 7 c X V l c n l S Z W x h d G l v b n N o a X B z J n F 1 b 3 Q 7 O l t d L C Z x d W 9 0 O 2 N v b H V t b k l k Z W 5 0 a X R p Z X M m c X V v d D s 6 W y Z x d W 9 0 O 1 N l Y 3 R p b 2 4 x L 0 l u Z G l h X 3 N 0 Y W Z m L 0 N o Y W 5 n Z W Q g V H l w Z S 5 7 T m F t Z S w w f S Z x d W 9 0 O y w m c X V v d D t T Z W N 0 a W 9 u M S 9 J b m R p Y V 9 z d G F m Z i 9 S Z X B s Y W N l Z C B W Y W x 1 Z S 5 7 R 2 V u Z G V y L D F 9 J n F 1 b 3 Q 7 L C Z x d W 9 0 O 1 N l Y 3 R p b 2 4 x L 0 l u Z G l h X 3 N 0 Y W Z m L 0 N o Y W 5 n Z W Q g V H l w Z S 5 7 Q W d l L D J 9 J n F 1 b 3 Q 7 L C Z x d W 9 0 O 1 N l Y 3 R p b 2 4 x L 0 l u Z G l h X 3 N 0 Y W Z m L 0 N o Y W 5 n Z W Q g V H l w Z S 5 7 U m F 0 a W 5 n L D N 9 J n F 1 b 3 Q 7 L C Z x d W 9 0 O 1 N l Y 3 R p b 2 4 x L 0 l u Z G l h X 3 N 0 Y W Z m L 0 N o Y W 5 n Z W Q g V H l w Z S 5 7 R G F 0 Z S B K b 2 l u Z W Q s N H 0 m c X V v d D s s J n F 1 b 3 Q 7 U 2 V j d G l v b j E v S W 5 k a W F f c 3 R h Z m Y v Q 2 h h b m d l Z C B U e X B l L n t E Z X B h c n R t Z W 5 0 L D V 9 J n F 1 b 3 Q 7 L C Z x d W 9 0 O 1 N l Y 3 R p b 2 4 x L 0 l u Z G l h X 3 N 0 Y W Z m L 0 N o Y W 5 n Z W Q g V H l w Z S 5 7 U 2 F s Y X J 5 L D Z 9 J n F 1 b 3 Q 7 L C Z x d W 9 0 O 1 N l Y 3 R p b 2 4 x L 0 l u Z G l h X 3 N 0 Y W Z m L 0 F k Z G V k I E N 1 c 3 R v b S 5 7 Q 2 9 1 b n R y e S w 3 f S Z x d W 9 0 O 1 0 s J n F 1 b 3 Q 7 Q 2 9 s d W 1 u Q 2 9 1 b n Q m c X V v d D s 6 O C w m c X V v d D t L Z X l D b 2 x 1 b W 5 O Y W 1 l c y Z x d W 9 0 O z p b J n F 1 b 3 Q 7 T m F t Z S Z x d W 9 0 O 1 0 s J n F 1 b 3 Q 7 Q 2 9 s d W 1 u S W R l b n R p d G l l c y Z x d W 9 0 O z p b J n F 1 b 3 Q 7 U 2 V j d G l v b j E v S W 5 k a W F f c 3 R h Z m Y v Q 2 h h b m d l Z C B U e X B l L n t O Y W 1 l L D B 9 J n F 1 b 3 Q 7 L C Z x d W 9 0 O 1 N l Y 3 R p b 2 4 x L 0 l u Z G l h X 3 N 0 Y W Z m L 1 J l c G x h Y 2 V k I F Z h b H V l L n t H Z W 5 k Z X I s M X 0 m c X V v d D s s J n F 1 b 3 Q 7 U 2 V j d G l v b j E v S W 5 k a W F f c 3 R h Z m Y v Q 2 h h b m d l Z C B U e X B l L n t B Z 2 U s M n 0 m c X V v d D s s J n F 1 b 3 Q 7 U 2 V j d G l v b j E v S W 5 k a W F f c 3 R h Z m Y v Q 2 h h b m d l Z C B U e X B l L n t S Y X R p b m c s M 3 0 m c X V v d D s s J n F 1 b 3 Q 7 U 2 V j d G l v b j E v S W 5 k a W F f c 3 R h Z m Y v Q 2 h h b m d l Z C B U e X B l L n t E Y X R l I E p v a W 5 l Z C w 0 f S Z x d W 9 0 O y w m c X V v d D t T Z W N 0 a W 9 u M S 9 J b m R p Y V 9 z d G F m Z i 9 D a G F u Z 2 V k I F R 5 c G U u e 0 R l c G F y d G 1 l b n Q s N X 0 m c X V v d D s s J n F 1 b 3 Q 7 U 2 V j d G l v b j E v S W 5 k a W F f c 3 R h Z m Y v Q 2 h h b m d l Z C B U e X B l L n t T Y W x h c n k s N n 0 m c X V v d D s s J n F 1 b 3 Q 7 U 2 V j d G l v b j E v S W 5 k a W F f c 3 R h Z m Y v Q W R k Z W Q g Q 3 V z d G 9 t L n t D b 3 V u d H J 5 L D d 9 J n F 1 b 3 Q 7 X S w m c X V v d D t S Z W x h d G l v b n N o a X B J b m Z v J n F 1 b 3 Q 7 O l t d f S I g L z 4 8 L 1 N 0 Y W J s Z U V u d H J p Z X M + P C 9 J d G V t P j x J d G V t P j x J d G V t T G 9 j Y X R p b 2 4 + P E l 0 Z W 1 U e X B l P k Z v c m 1 1 b G E 8 L 0 l 0 Z W 1 U e X B l P j x J d G V t U G F 0 a D 5 T Z W N 0 a W 9 u M S 9 J b m R p Y V 9 z d G F m Z i 9 T b 3 V y Y 2 U 8 L 0 l 0 Z W 1 Q Y X R o P j w v S X R l b U x v Y 2 F 0 a W 9 u P j x T d G F i b G V F b n R y a W V z I C 8 + P C 9 J d G V t P j x J d G V t P j x J d G V t T G 9 j Y X R p b 2 4 + P E l 0 Z W 1 U e X B l P k Z v c m 1 1 b G E 8 L 0 l 0 Z W 1 U e X B l P j x J d G V t U G F 0 a D 5 T Z W N 0 a W 9 u M S 9 J b m R p Y V 9 z d G F m Z i 9 D a G F u Z 2 V k J T I w V H l w Z T w v S X R l b V B h d G g + P C 9 J d G V t T G 9 j Y X R p b 2 4 + P F N 0 Y W J s Z U V u d H J p Z X M g L z 4 8 L 0 l 0 Z W 0 + P E l 0 Z W 0 + P E l 0 Z W 1 M b 2 N h d G l v b j 4 8 S X R l b V R 5 c G U + R m 9 y b X V s Y T w v S X R l b V R 5 c G U + P E l 0 Z W 1 Q Y X R o P l N l Y 3 R p b 2 4 x L 2 5 6 X 3 N 0 Y W Z m L 0 F k Z G V k J T I w Q 3 V z d G 9 t P C 9 J d G V t U G F 0 a D 4 8 L 0 l 0 Z W 1 M b 2 N h d G l v b j 4 8 U 3 R h Y m x l R W 5 0 c m l l c y A v P j w v S X R l b T 4 8 S X R l b T 4 8 S X R l b U x v Y 2 F 0 a W 9 u P j x J d G V t V H l w Z T 5 G b 3 J t d W x h P C 9 J d G V t V H l w Z T 4 8 S X R l b V B h d G g + U 2 V j d G l v b j E v S W 5 k a W F f c 3 R h Z m Y v Q W R k Z W Q l M j B D d X N 0 b 2 0 8 L 0 l 0 Z W 1 Q Y X R o P j w v S X R l b U x v Y 2 F 0 a W 9 u P j x T d G F i b G V F b n R y a W V z I C 8 + P C 9 J d G V t P j x J d G V t P j x J d G V t T G 9 j Y X R p b 2 4 + P E l 0 Z W 1 U e X B l P k Z v c m 1 1 b G E 8 L 0 l 0 Z W 1 U e X B l P j x J d G V t U G F 0 a D 5 T Z W N 0 a W 9 u M S 9 u e l 9 z d G F m Z i 9 S Z W 1 v d m V k J T I w R H V w b G l j Y X R l c z w v S X R l b V B h d G g + P C 9 J d G V t T G 9 j Y X R p b 2 4 + P F N 0 Y W J s Z U V u d H J p Z X M g L z 4 8 L 0 l 0 Z W 0 + P E l 0 Z W 0 + P E l 0 Z W 1 M b 2 N h d G l v b j 4 8 S X R l b V R 5 c G U + R m 9 y b X V s Y T w v S X R l b V R 5 c G U + P E l 0 Z W 1 Q Y X R o P l N l Y 3 R p b 2 4 x L 0 l u Z G l h X 3 N 0 Y W Z m L 1 J l b W 9 2 Z W Q l M j B E d X B s a W N h d G V z P C 9 J d G V t U G F 0 a D 4 8 L 0 l 0 Z W 1 M b 2 N h d G l v b j 4 8 U 3 R h Y m x l R W 5 0 c m l l c y A v P j w v S X R l b T 4 8 S X R l b T 4 8 S X R l b U x v Y 2 F 0 a W 9 u P j x J d G V t V H l w Z T 5 G b 3 J t d W x h P C 9 J d G V t V H l w Z T 4 8 S X R l b V B h d G g + U 2 V j d G l v b j E v b n p f c 3 R h Z m Y v U m V w b G F j Z W Q l M j B W Y W x 1 Z T w v S X R l b V B h d G g + P C 9 J d G V t T G 9 j Y X R p b 2 4 + P F N 0 Y W J s Z U V u d H J p Z X M g L z 4 8 L 0 l 0 Z W 0 + P E l 0 Z W 0 + P E l 0 Z W 1 M b 2 N h d G l v b j 4 8 S X R l b V R 5 c G U + R m 9 y b X V s Y T w v S X R l b V R 5 c G U + P E l 0 Z W 1 Q Y X R o P l N l Y 3 R p b 2 4 x L 0 l u Z G l h X 3 N 0 Y W Z m L 1 J l c G x h Y 2 V k J T I w V m F s d W U 8 L 0 l 0 Z W 1 Q Y X R o P j w v S X R l b U x v Y 2 F 0 a W 9 u P j x T d G F i b G V F b n R y a W V z I C 8 + P C 9 J d G V t P j x J d G V t P j x J d G V t T G 9 j Y X R p b 2 4 + P E l 0 Z W 1 U e X B l P k Z v c m 1 1 b G E 8 L 0 l 0 Z W 1 U e X B l P j x J d G V t U G F 0 a D 5 T Z W N 0 a W 9 u M S 9 u e l 9 z d G F m Z i 9 G a W x 0 Z X J l Z C U y M F J v d 3 M 8 L 0 l 0 Z W 1 Q Y X R o P j w v S X R l b U x v Y 2 F 0 a W 9 u P j x T d G F i b G V F b n R y a W V z I C 8 + P C 9 J d G V t P j x J d G V t P j x J d G V t T G 9 j Y X R p b 2 4 + P E l 0 Z W 1 U e X B l P k Z v c m 1 1 b G E 8 L 0 l 0 Z W 1 U e X B l P j x J d G V t U G F 0 a D 5 T Z W N 0 a W 9 u M S 9 u e l 9 z d G F m Z i 9 B c H B l b m R l Z C U y M F F 1 Z X J 5 P C 9 J d G V t U G F 0 a D 4 8 L 0 l 0 Z W 1 M b 2 N h d G l v b j 4 8 U 3 R h Y m x l R W 5 0 c m l l c y A v P j w v S X R l b T 4 8 S X R l b T 4 8 S X R l b U x v Y 2 F 0 a W 9 u P j x J d G V t V H l w Z T 5 G b 3 J t d W x h P C 9 J d G V t V H l w Z T 4 8 S X R l b V B h d G g + U 2 V j d G l v b j E v b n p f c 3 R h Z m Y v Q 2 h h b m d l Z C U y M F R 5 c G U x P C 9 J d G V t U G F 0 a D 4 8 L 0 l 0 Z W 1 M b 2 N h d G l v b j 4 8 U 3 R h Y m x l R W 5 0 c m l l c y A v P j w v S X R l b T 4 8 L 0 l 0 Z W 1 z P j w v T G 9 j Y W x Q Y W N r Y W d l T W V 0 Y W R h d G F G a W x l P h Y A A A B Q S w U G A A A A A A A A A A A A A A A A A A A A A A A A J g E A A A E A A A D Q j J 3 f A R X R E Y x 6 A M B P w p f r A Q A A A A Q f l a M c v O F D m M b X l Q u A 3 7 M A A A A A A g A A A A A A E G Y A A A A B A A A g A A A A K S n W F j J D c Q 7 u W f q J 6 2 P c w I v s k G 4 Z X Z T k 3 H x k 8 z e r M w 8 A A A A A D o A A A A A C A A A g A A A A K l 0 q V b V n h W z L v 1 T C R W I Y M z x E A / + M V M H M D N I x f c i Y r S 1 Q A A A A k H 8 u W h f 7 D P i V R b v / K q k 2 + C p P F P k 2 R J A p I z C x m q N 1 B c 8 U Q x K 9 S 8 z t w r Z h Y R J T I x b Q 2 J B 8 t B K J q V l G K 8 R z l Y L t V Q j T r 8 P m / R M W 2 9 P K B G e T M y F A A A A A 1 8 z 1 i 6 X F K v 9 w 0 B W V q t U / r f X g B Q Q U X 4 I d s n 2 o G 7 B b L Z 8 k A T O z g 2 A H c X p R s g z r v 6 D U 4 A 5 R 5 J 0 N v I Z X c h r u y 9 5 7 t A = = < / D a t a M a s h u p > 
</file>

<file path=customXml/itemProps1.xml><?xml version="1.0" encoding="utf-8"?>
<ds:datastoreItem xmlns:ds="http://schemas.openxmlformats.org/officeDocument/2006/customXml" ds:itemID="{722DF911-BDAE-43E6-94FD-8C0E50CB7322}">
  <ds:schemaRefs/>
</ds:datastoreItem>
</file>

<file path=customXml/itemProps2.xml><?xml version="1.0" encoding="utf-8"?>
<ds:datastoreItem xmlns:ds="http://schemas.openxmlformats.org/officeDocument/2006/customXml" ds:itemID="{90F296F8-CDC6-4EF8-B348-587CD9779EB6}">
  <ds:schemaRefs/>
</ds:datastoreItem>
</file>

<file path=customXml/itemProps3.xml><?xml version="1.0" encoding="utf-8"?>
<ds:datastoreItem xmlns:ds="http://schemas.openxmlformats.org/officeDocument/2006/customXml" ds:itemID="{BF64369F-1C51-45BD-99C0-90811152FBAA}">
  <ds:schemaRefs/>
</ds:datastoreItem>
</file>

<file path=customXml/itemProps4.xml><?xml version="1.0" encoding="utf-8"?>
<ds:datastoreItem xmlns:ds="http://schemas.openxmlformats.org/officeDocument/2006/customXml" ds:itemID="{67CB35B9-FC66-422F-9D3F-4C6D653F95A7}">
  <ds:schemaRefs/>
</ds:datastoreItem>
</file>

<file path=customXml/itemProps5.xml><?xml version="1.0" encoding="utf-8"?>
<ds:datastoreItem xmlns:ds="http://schemas.openxmlformats.org/officeDocument/2006/customXml" ds:itemID="{B377C195-3450-4509-AD3D-4A69A0B8102B}">
  <ds:schemaRefs/>
</ds:datastoreItem>
</file>

<file path=customXml/itemProps6.xml><?xml version="1.0" encoding="utf-8"?>
<ds:datastoreItem xmlns:ds="http://schemas.openxmlformats.org/officeDocument/2006/customXml" ds:itemID="{BCA7B127-B6A0-4CF3-8E63-92CE8915EB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India Staff</vt:lpstr>
      <vt:lpstr>All Staff</vt:lpstr>
      <vt:lpstr>Male vs Female Comparison</vt:lpstr>
      <vt:lpstr>Salary spread</vt:lpstr>
      <vt:lpstr>salary vs rating</vt:lpstr>
      <vt:lpstr>Employee Trend over time</vt:lpstr>
      <vt:lpstr>Employee Report card</vt:lpstr>
      <vt:lpstr>Full Dashboard</vt:lpstr>
      <vt:lpstr>Documentation</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Cyberrocknet</cp:lastModifiedBy>
  <dcterms:created xsi:type="dcterms:W3CDTF">2021-03-14T20:21:32Z</dcterms:created>
  <dcterms:modified xsi:type="dcterms:W3CDTF">2023-07-11T13:49:00Z</dcterms:modified>
</cp:coreProperties>
</file>