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vsc1\OneDrive\Desktop\"/>
    </mc:Choice>
  </mc:AlternateContent>
  <bookViews>
    <workbookView xWindow="0" yWindow="0" windowWidth="16380" windowHeight="8190" tabRatio="684"/>
  </bookViews>
  <sheets>
    <sheet name="non lab exp" sheetId="4" r:id="rId1"/>
    <sheet name="Engineering" sheetId="1" r:id="rId2"/>
    <sheet name="Engg Opex Lbr Reg" sheetId="5" r:id="rId3"/>
    <sheet name="Management" sheetId="2" r:id="rId4"/>
    <sheet name="Mgmt Opex Lbr Reg" sheetId="3" r:id="rId5"/>
  </sheets>
  <calcPr calcId="162913" iterateDelta="1E-4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M4" i="2"/>
  <c r="K4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M4" i="1"/>
  <c r="K4" i="1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5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26" i="3"/>
  <c r="G25" i="3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4" i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4" i="2"/>
  <c r="R4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53" i="1"/>
  <c r="I52" i="1"/>
  <c r="I51" i="1"/>
  <c r="I50" i="1"/>
  <c r="I49" i="1"/>
  <c r="I48" i="1"/>
  <c r="I46" i="1"/>
  <c r="I45" i="1"/>
  <c r="I44" i="1"/>
</calcChain>
</file>

<file path=xl/sharedStrings.xml><?xml version="1.0" encoding="utf-8"?>
<sst xmlns="http://schemas.openxmlformats.org/spreadsheetml/2006/main" count="218" uniqueCount="163">
  <si>
    <t>Name</t>
  </si>
  <si>
    <t>Input</t>
  </si>
  <si>
    <t>Output</t>
  </si>
  <si>
    <t>Faculty</t>
  </si>
  <si>
    <t>Expenditure</t>
  </si>
  <si>
    <t>Graduate Students</t>
  </si>
  <si>
    <t>Research</t>
  </si>
  <si>
    <t>Total</t>
  </si>
  <si>
    <t>Capital</t>
  </si>
  <si>
    <t>Operational</t>
  </si>
  <si>
    <t>Publications (Scopus)</t>
  </si>
  <si>
    <t>Patents (Published)</t>
  </si>
  <si>
    <t>Patents (Earnings)</t>
  </si>
  <si>
    <t>Sponsored Research</t>
  </si>
  <si>
    <t>Consultancy</t>
  </si>
  <si>
    <t>Number (Final Year)</t>
  </si>
  <si>
    <t>Publications (WoS)</t>
  </si>
  <si>
    <t>IIM Ahmedabad</t>
  </si>
  <si>
    <t>IIM Bangalore</t>
  </si>
  <si>
    <t>IIM Calcultta</t>
  </si>
  <si>
    <t>IIM Lucknow</t>
  </si>
  <si>
    <t>IIT Bombay</t>
  </si>
  <si>
    <t>IIM Kozhikode</t>
  </si>
  <si>
    <t>IIT Kharagpur</t>
  </si>
  <si>
    <t>IIT Delhi</t>
  </si>
  <si>
    <t>IIT Roorkee</t>
  </si>
  <si>
    <t>IIM Indore</t>
  </si>
  <si>
    <t>XLRI Jamshedpur</t>
  </si>
  <si>
    <t>MDI Gurgaon</t>
  </si>
  <si>
    <t>IIM Udaipur</t>
  </si>
  <si>
    <t>NIIE Mumbai</t>
  </si>
  <si>
    <t>IIM Tirchy</t>
  </si>
  <si>
    <t>Great Lakes Chennai</t>
  </si>
  <si>
    <t>IIT Kanpur</t>
  </si>
  <si>
    <t>SIBM Pune</t>
  </si>
  <si>
    <t>SP Jain Mumbai</t>
  </si>
  <si>
    <t>IIM Kashipur</t>
  </si>
  <si>
    <t>IIM Raipur</t>
  </si>
  <si>
    <t>IFCAI Hyderabad</t>
  </si>
  <si>
    <t>IIFT New Delhi</t>
  </si>
  <si>
    <t>NMIMS Mumbai</t>
  </si>
  <si>
    <t>IMI New Delhi</t>
  </si>
  <si>
    <t>IIM Shillong</t>
  </si>
  <si>
    <t>IIM Rohtak</t>
  </si>
  <si>
    <t>VIT Vellore</t>
  </si>
  <si>
    <t>Anna University Chennai</t>
  </si>
  <si>
    <t>KIIT, Bhubaneshwar</t>
  </si>
  <si>
    <t>IMT Ghaziabad</t>
  </si>
  <si>
    <t>LIBA Chennai</t>
  </si>
  <si>
    <t>PSG Coimbatore</t>
  </si>
  <si>
    <t>Jamia Millia Islamia</t>
  </si>
  <si>
    <t>IFMR Satyavedu</t>
  </si>
  <si>
    <t>Xavier University Bhubaneshwar</t>
  </si>
  <si>
    <t>Fore New Delhi</t>
  </si>
  <si>
    <t>LPU Jalandhar</t>
  </si>
  <si>
    <t>BHU Varanasi</t>
  </si>
  <si>
    <t>IIM Ranchi</t>
  </si>
  <si>
    <t>Punjab University Chandigarh</t>
  </si>
  <si>
    <t>IIFM Bhopal</t>
  </si>
  <si>
    <t>Institute of Rural Management Anand</t>
  </si>
  <si>
    <t>BIT Ranchi</t>
  </si>
  <si>
    <t>BIMT Noida</t>
  </si>
  <si>
    <t>KLEF University Vaddeswaram</t>
  </si>
  <si>
    <t>Lal Bahadur Shastri Institute of Management, Delhi</t>
  </si>
  <si>
    <t>Amity University, Noida</t>
  </si>
  <si>
    <t>Aligarh Muslim University, Aligarh</t>
  </si>
  <si>
    <t>IMED Pune</t>
  </si>
  <si>
    <t>DTU</t>
  </si>
  <si>
    <t>JNT University, Hyderabad</t>
  </si>
  <si>
    <t>NIT Kurukshetra</t>
  </si>
  <si>
    <t>NIIE, Mumbai</t>
  </si>
  <si>
    <t>College of Engg, Pune</t>
  </si>
  <si>
    <t>SRM, Chennai</t>
  </si>
  <si>
    <t>NIT Durgapur</t>
  </si>
  <si>
    <t>MNNIT, Allahabad</t>
  </si>
  <si>
    <t>NIT Calicut</t>
  </si>
  <si>
    <t>NIRF Rank</t>
  </si>
  <si>
    <t>IIT Madras</t>
  </si>
  <si>
    <t>IIT BOMBAY</t>
  </si>
  <si>
    <t>IIT DELHI</t>
  </si>
  <si>
    <t>IIT KHARAGPUR</t>
  </si>
  <si>
    <t>IIT KANPUR</t>
  </si>
  <si>
    <t>IIT ROORKEE</t>
  </si>
  <si>
    <t>IIT GUWAHATI</t>
  </si>
  <si>
    <t>ANNA UNIVERSITY</t>
  </si>
  <si>
    <t>IIT HYDERABAD</t>
  </si>
  <si>
    <t>INSTITUTE OF CHEMICAL TECHNOLOGY, MUMBAI</t>
  </si>
  <si>
    <t>NIT Tiruchirappalli</t>
  </si>
  <si>
    <t>JADAVPUR UNIVERSITY</t>
  </si>
  <si>
    <t>IIT DHANBAD</t>
  </si>
  <si>
    <t>IIT INDORE</t>
  </si>
  <si>
    <t>NIT ROURKELA</t>
  </si>
  <si>
    <t>VIT,VELLORE</t>
  </si>
  <si>
    <t>BITS PILANI</t>
  </si>
  <si>
    <t>IIT BHUBANESWAR</t>
  </si>
  <si>
    <t>IIT,VARANASI</t>
  </si>
  <si>
    <t>THAPAR, PATAILA</t>
  </si>
  <si>
    <t>NIT, SURATHKAL</t>
  </si>
  <si>
    <t>IIT, RUPNAGAR</t>
  </si>
  <si>
    <t>IISST THIRUVANATHAPURAM</t>
  </si>
  <si>
    <t>IIT PATNA</t>
  </si>
  <si>
    <t>NIT WARANGAL</t>
  </si>
  <si>
    <t>BIT RANCHI</t>
  </si>
  <si>
    <t>IIT GANDHINAGAR</t>
  </si>
  <si>
    <t>IIT MANDI</t>
  </si>
  <si>
    <t>PSG COLLEGE OF TECHNOLOGY</t>
  </si>
  <si>
    <t>IIEST,HOWRAH</t>
  </si>
  <si>
    <t>Visvesvaraya National Institute of Technology, Nagpur</t>
  </si>
  <si>
    <t>Jamia Millia Islamia, New Delhi</t>
  </si>
  <si>
    <t>Shanmugha Arts Science Technology &amp; Research Academy, Thanjavur</t>
  </si>
  <si>
    <t>AMITY UNIVERSITY</t>
  </si>
  <si>
    <t xml:space="preserve"> Sri Sivasubramaniya Nadar College of Engineering, Kancheepuram</t>
  </si>
  <si>
    <t>Sathyabama Institute of Science and Technology, Chennai</t>
  </si>
  <si>
    <t>IIIT,HYDERABAD</t>
  </si>
  <si>
    <t>Manipal Institute of Technology</t>
  </si>
  <si>
    <t>Thiagarajar College of Engineering, Madurai</t>
  </si>
  <si>
    <t>Number (Final year)</t>
  </si>
  <si>
    <t>Capital (in 10000000)</t>
  </si>
  <si>
    <t>Operational (in 10000000)</t>
  </si>
  <si>
    <t>Patents (Earnings in 100000)</t>
  </si>
  <si>
    <t>Sponsored Research (in 10000000)</t>
  </si>
  <si>
    <t>Consultancy (in 1000000)</t>
  </si>
  <si>
    <t>Capital (in 1000000)</t>
  </si>
  <si>
    <t>Operational (in 1000000)</t>
  </si>
  <si>
    <t>Outside Research Funding</t>
  </si>
  <si>
    <t>Sponsored Research (in 1000000)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</si>
  <si>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</si>
  <si>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</si>
  <si>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</si>
  <si>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</si>
  <si>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</si>
  <si>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</si>
  <si>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</si>
  <si>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</si>
  <si>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</si>
  <si>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</si>
  <si>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</si>
  <si>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</si>
  <si>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</si>
  <si>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</si>
  <si>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</si>
  <si>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</si>
  <si>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</si>
  <si>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</si>
  <si>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</si>
  <si>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</si>
  <si>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</si>
  <si>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</si>
  <si>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</si>
  <si>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</si>
  <si>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</si>
  <si>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Operational (in 1000000)</t>
  </si>
  <si>
    <t>Residuals</t>
  </si>
  <si>
    <t>non lab opex</t>
  </si>
  <si>
    <t>alpha+residual</t>
  </si>
  <si>
    <t>opex-beta*faculty</t>
  </si>
  <si>
    <t>Scopus/3</t>
  </si>
  <si>
    <t>WoS/3</t>
  </si>
  <si>
    <t>Engineering</t>
  </si>
  <si>
    <t>Management</t>
  </si>
  <si>
    <t>X Variable 1</t>
  </si>
  <si>
    <t>alpha + residual</t>
  </si>
  <si>
    <t>These are result when regression was opex = alpha + beta*faculty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</si>
</sst>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charset val="1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  <fill>
      <patternFill patternType="solid">
        <fgColor indexed="42"/>
        <bgColor indexed="31"/>
      </patternFill>
    </fill>
    <fill>
      <patternFill patternType="solid">
        <fgColor indexed="47"/>
        <bgColor indexed="42"/>
      </patternFill>
    </fill>
    <fill>
      <patternFill patternType="solid">
        <fgColor indexed="43"/>
        <b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31"/>
        <bgColor indexed="44"/>
      </patternFill>
    </fill>
    <fill>
      <patternFill patternType="solid">
        <fgColor indexed="22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1" fillId="0" borderId="0" xfId="1" applyFill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3" borderId="0" xfId="1" applyFont="1" applyFill="1"/>
    <xf numFmtId="0" fontId="1" fillId="4" borderId="0" xfId="1" applyFont="1" applyFill="1"/>
    <xf numFmtId="0" fontId="2" fillId="0" borderId="0" xfId="0" applyFont="1" applyAlignment="1">
      <alignment vertical="center"/>
    </xf>
    <xf numFmtId="0" fontId="1" fillId="0" borderId="0" xfId="1" applyAlignment="1">
      <alignment wrapText="1"/>
    </xf>
    <xf numFmtId="0" fontId="3" fillId="0" borderId="0" xfId="0" applyFont="1"/>
    <xf numFmtId="0" fontId="1" fillId="5" borderId="0" xfId="1" applyFont="1" applyFill="1" applyBorder="1" applyAlignment="1">
      <alignment horizontal="center"/>
    </xf>
    <xf numFmtId="0" fontId="1" fillId="6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1" fillId="10" borderId="0" xfId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11" borderId="0" xfId="0" applyFill="1"/>
    <xf numFmtId="0" fontId="1" fillId="8" borderId="0" xfId="1" applyFont="1" applyFill="1" applyBorder="1" applyAlignment="1">
      <alignment horizontal="center" vertical="center"/>
    </xf>
    <xf numFmtId="0" fontId="1" fillId="9" borderId="0" xfId="1" applyFill="1" applyAlignment="1">
      <alignment horizontal="center" vertical="center"/>
    </xf>
    <xf numFmtId="0" fontId="1" fillId="5" borderId="0" xfId="1" applyFont="1" applyFill="1" applyBorder="1" applyAlignment="1">
      <alignment horizontal="center"/>
    </xf>
    <xf numFmtId="0" fontId="1" fillId="6" borderId="0" xfId="1" applyFont="1" applyFill="1" applyBorder="1" applyAlignment="1">
      <alignment horizontal="center"/>
    </xf>
    <xf numFmtId="0" fontId="1" fillId="7" borderId="0" xfId="1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DB9C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D966"/>
      <rgbColor rgb="00B4C7E7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A9D18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H22" sqref="H22"/>
    </sheetView>
  </sheetViews>
  <sheetFormatPr defaultRowHeight="12.75" x14ac:dyDescent="0.2"/>
  <cols>
    <col min="1" max="2" width="10.7109375" bestFit="1" customWidth="1"/>
    <col min="3" max="3" width="11.7109375" bestFit="1" customWidth="1"/>
  </cols>
  <sheetData>
    <row r="1" spans="1:6" x14ac:dyDescent="0.2">
      <c r="B1" s="25" t="s">
        <v>161</v>
      </c>
      <c r="C1" s="25"/>
    </row>
    <row r="2" spans="1:6" x14ac:dyDescent="0.2">
      <c r="A2" t="s">
        <v>150</v>
      </c>
      <c r="B2" t="s">
        <v>158</v>
      </c>
      <c r="C2" t="s">
        <v>159</v>
      </c>
    </row>
    <row r="3" spans="1:6" x14ac:dyDescent="0.2">
      <c r="A3">
        <v>1</v>
      </c>
      <c r="B3">
        <v>4470.5369317023069</v>
      </c>
      <c r="C3">
        <v>1654.6286793453096</v>
      </c>
    </row>
    <row r="4" spans="1:6" x14ac:dyDescent="0.2">
      <c r="A4">
        <v>2</v>
      </c>
      <c r="B4">
        <v>3060.303154358844</v>
      </c>
      <c r="C4">
        <v>148.85448825015601</v>
      </c>
      <c r="F4" t="s">
        <v>162</v>
      </c>
    </row>
    <row r="5" spans="1:6" x14ac:dyDescent="0.2">
      <c r="A5">
        <v>3</v>
      </c>
      <c r="B5">
        <v>2534.0395276734921</v>
      </c>
      <c r="C5">
        <v>1044.054896935972</v>
      </c>
    </row>
    <row r="6" spans="1:6" x14ac:dyDescent="0.2">
      <c r="A6">
        <v>4</v>
      </c>
      <c r="B6">
        <v>2164.4081163694991</v>
      </c>
      <c r="C6">
        <v>611.88400035189011</v>
      </c>
    </row>
    <row r="7" spans="1:6" x14ac:dyDescent="0.2">
      <c r="A7">
        <v>5</v>
      </c>
      <c r="B7">
        <v>771.3732111590848</v>
      </c>
      <c r="C7" s="17">
        <v>-76.282693393774935</v>
      </c>
    </row>
    <row r="8" spans="1:6" x14ac:dyDescent="0.2">
      <c r="A8">
        <v>6</v>
      </c>
      <c r="B8">
        <v>629.51862516816459</v>
      </c>
      <c r="C8" s="17">
        <v>-51.067817524232737</v>
      </c>
    </row>
    <row r="9" spans="1:6" x14ac:dyDescent="0.2">
      <c r="A9">
        <v>7</v>
      </c>
      <c r="B9">
        <v>915.42563752821286</v>
      </c>
      <c r="C9">
        <v>5.3975964602045821</v>
      </c>
    </row>
    <row r="10" spans="1:6" x14ac:dyDescent="0.2">
      <c r="A10">
        <v>8</v>
      </c>
      <c r="B10" s="17">
        <v>-119.24749096015921</v>
      </c>
      <c r="C10" s="17">
        <v>-101.5197140287238</v>
      </c>
    </row>
    <row r="11" spans="1:6" x14ac:dyDescent="0.2">
      <c r="A11">
        <v>9</v>
      </c>
      <c r="B11">
        <v>430.91478873232649</v>
      </c>
      <c r="C11" s="17">
        <v>-29.356821904846555</v>
      </c>
    </row>
    <row r="12" spans="1:6" x14ac:dyDescent="0.2">
      <c r="A12">
        <v>10</v>
      </c>
      <c r="B12">
        <v>153.03357601065511</v>
      </c>
      <c r="C12">
        <v>511.66448998683887</v>
      </c>
    </row>
    <row r="13" spans="1:6" x14ac:dyDescent="0.2">
      <c r="A13">
        <v>11</v>
      </c>
      <c r="B13">
        <v>500.40097042833327</v>
      </c>
      <c r="C13">
        <v>12.619107301023064</v>
      </c>
    </row>
    <row r="14" spans="1:6" x14ac:dyDescent="0.2">
      <c r="A14">
        <v>12</v>
      </c>
      <c r="B14">
        <v>182.56389798656539</v>
      </c>
      <c r="C14" s="17">
        <v>-43.365316794130422</v>
      </c>
    </row>
    <row r="15" spans="1:6" x14ac:dyDescent="0.2">
      <c r="A15">
        <v>13</v>
      </c>
      <c r="B15">
        <v>1250.6680176174373</v>
      </c>
      <c r="C15">
        <v>139.74403997127621</v>
      </c>
    </row>
    <row r="16" spans="1:6" x14ac:dyDescent="0.2">
      <c r="A16">
        <v>14</v>
      </c>
      <c r="B16">
        <v>351.41388001065513</v>
      </c>
      <c r="C16">
        <v>52.144975307603602</v>
      </c>
    </row>
    <row r="17" spans="1:3" x14ac:dyDescent="0.2">
      <c r="A17">
        <v>15</v>
      </c>
      <c r="B17">
        <v>695.15382474298156</v>
      </c>
      <c r="C17" s="17">
        <v>-95.253666203468043</v>
      </c>
    </row>
    <row r="18" spans="1:3" x14ac:dyDescent="0.2">
      <c r="A18">
        <v>16</v>
      </c>
      <c r="B18">
        <v>1195.5076619963866</v>
      </c>
      <c r="C18">
        <v>262.97884182525581</v>
      </c>
    </row>
    <row r="19" spans="1:3" x14ac:dyDescent="0.2">
      <c r="A19">
        <v>17</v>
      </c>
      <c r="B19">
        <v>2090.0764042952842</v>
      </c>
      <c r="C19" s="17">
        <v>-58.043282685815868</v>
      </c>
    </row>
    <row r="20" spans="1:3" x14ac:dyDescent="0.2">
      <c r="A20">
        <v>18</v>
      </c>
      <c r="B20">
        <v>239.92442943426295</v>
      </c>
      <c r="C20">
        <v>25.586248380613824</v>
      </c>
    </row>
    <row r="21" spans="1:3" x14ac:dyDescent="0.2">
      <c r="A21">
        <v>19</v>
      </c>
      <c r="B21">
        <v>1074.6562663738534</v>
      </c>
      <c r="C21" s="17">
        <v>-90.456851378212264</v>
      </c>
    </row>
    <row r="22" spans="1:3" x14ac:dyDescent="0.2">
      <c r="A22">
        <v>20</v>
      </c>
      <c r="B22">
        <v>252.48556400630048</v>
      </c>
      <c r="C22">
        <v>87.09575340933759</v>
      </c>
    </row>
    <row r="23" spans="1:3" x14ac:dyDescent="0.2">
      <c r="A23">
        <v>21</v>
      </c>
      <c r="B23">
        <v>212.22540614842956</v>
      </c>
      <c r="C23" s="17">
        <v>-68.454222641529384</v>
      </c>
    </row>
    <row r="24" spans="1:3" x14ac:dyDescent="0.2">
      <c r="A24">
        <v>22</v>
      </c>
      <c r="B24">
        <v>51.228749208839076</v>
      </c>
      <c r="C24" s="17">
        <v>-134.30230407718932</v>
      </c>
    </row>
    <row r="25" spans="1:3" x14ac:dyDescent="0.2">
      <c r="A25">
        <v>23</v>
      </c>
      <c r="B25">
        <v>392.43977798341518</v>
      </c>
      <c r="C25">
        <v>200.64326313943991</v>
      </c>
    </row>
    <row r="26" spans="1:3" x14ac:dyDescent="0.2">
      <c r="A26">
        <v>24</v>
      </c>
      <c r="B26">
        <v>123.42671119975915</v>
      </c>
      <c r="C26" s="17">
        <v>-244.60579694673152</v>
      </c>
    </row>
    <row r="27" spans="1:3" x14ac:dyDescent="0.2">
      <c r="A27">
        <v>25</v>
      </c>
      <c r="B27">
        <v>903.13433076114154</v>
      </c>
      <c r="C27">
        <v>80.541627796531941</v>
      </c>
    </row>
    <row r="28" spans="1:3" x14ac:dyDescent="0.2">
      <c r="A28">
        <v>26</v>
      </c>
      <c r="B28">
        <v>216.92076391392573</v>
      </c>
      <c r="C28">
        <v>67.994748044286467</v>
      </c>
    </row>
    <row r="29" spans="1:3" x14ac:dyDescent="0.2">
      <c r="A29">
        <v>27</v>
      </c>
      <c r="B29">
        <v>564.02466491985547</v>
      </c>
      <c r="C29">
        <v>24.352061482347807</v>
      </c>
    </row>
    <row r="30" spans="1:3" x14ac:dyDescent="0.2">
      <c r="A30">
        <v>28</v>
      </c>
      <c r="B30">
        <v>123.52218399249512</v>
      </c>
      <c r="C30" s="17">
        <v>-70.846686685815868</v>
      </c>
    </row>
    <row r="31" spans="1:3" x14ac:dyDescent="0.2">
      <c r="A31">
        <v>29</v>
      </c>
      <c r="B31" s="17">
        <v>-314.22802904660409</v>
      </c>
      <c r="C31" s="17">
        <v>-143.31875593357034</v>
      </c>
    </row>
    <row r="32" spans="1:3" x14ac:dyDescent="0.2">
      <c r="A32">
        <v>30</v>
      </c>
      <c r="B32">
        <v>366.79522266126207</v>
      </c>
      <c r="C32" s="17">
        <v>-184.84368974326347</v>
      </c>
    </row>
    <row r="33" spans="1:3" x14ac:dyDescent="0.2">
      <c r="A33">
        <v>31</v>
      </c>
      <c r="B33">
        <v>296.38717562494219</v>
      </c>
      <c r="C33" s="17">
        <v>-22.273907800711072</v>
      </c>
    </row>
    <row r="34" spans="1:3" x14ac:dyDescent="0.2">
      <c r="A34">
        <v>32</v>
      </c>
      <c r="B34">
        <v>32.662637785231198</v>
      </c>
      <c r="C34">
        <v>7.1130295332148279</v>
      </c>
    </row>
    <row r="35" spans="1:3" x14ac:dyDescent="0.2">
      <c r="A35">
        <v>33</v>
      </c>
      <c r="B35" s="17">
        <v>-518.06890784684492</v>
      </c>
      <c r="C35" s="17">
        <v>-167.1958595176522</v>
      </c>
    </row>
    <row r="36" spans="1:3" x14ac:dyDescent="0.2">
      <c r="A36">
        <v>34</v>
      </c>
      <c r="B36" s="17">
        <v>-294.9109112748074</v>
      </c>
      <c r="C36" s="17">
        <v>-39.422009977856774</v>
      </c>
    </row>
    <row r="37" spans="1:3" x14ac:dyDescent="0.2">
      <c r="A37">
        <v>35</v>
      </c>
      <c r="B37">
        <v>17.630081994070281</v>
      </c>
      <c r="C37">
        <v>86.665332336327367</v>
      </c>
    </row>
    <row r="38" spans="1:3" x14ac:dyDescent="0.2">
      <c r="A38">
        <v>36</v>
      </c>
      <c r="B38">
        <v>252.27359989576576</v>
      </c>
      <c r="C38">
        <v>569.19920130760352</v>
      </c>
    </row>
    <row r="39" spans="1:3" x14ac:dyDescent="0.2">
      <c r="A39">
        <v>37</v>
      </c>
      <c r="B39" s="17">
        <v>-584.43825148522183</v>
      </c>
      <c r="C39">
        <v>84.294029774388775</v>
      </c>
    </row>
    <row r="40" spans="1:3" x14ac:dyDescent="0.2">
      <c r="A40">
        <v>38</v>
      </c>
      <c r="B40">
        <v>214.1803301543593</v>
      </c>
      <c r="C40" s="17">
        <v>-284.21644808617134</v>
      </c>
    </row>
    <row r="41" spans="1:3" x14ac:dyDescent="0.2">
      <c r="A41">
        <v>39</v>
      </c>
      <c r="B41">
        <v>95.009004405818814</v>
      </c>
      <c r="C41" s="17">
        <v>-92.687614955713542</v>
      </c>
    </row>
    <row r="42" spans="1:3" x14ac:dyDescent="0.2">
      <c r="A42">
        <v>40</v>
      </c>
      <c r="B42" s="17">
        <v>-260.35448986065035</v>
      </c>
      <c r="C42">
        <v>11.155478920409166</v>
      </c>
    </row>
    <row r="43" spans="1:3" x14ac:dyDescent="0.2">
      <c r="A43">
        <v>41</v>
      </c>
      <c r="B43" s="17">
        <v>-120.47592360641147</v>
      </c>
      <c r="C43">
        <v>10.628990336327377</v>
      </c>
    </row>
    <row r="44" spans="1:3" x14ac:dyDescent="0.2">
      <c r="A44">
        <v>42</v>
      </c>
      <c r="B44">
        <v>935.49193895182077</v>
      </c>
      <c r="C44" s="17">
        <v>-64.74544817474424</v>
      </c>
    </row>
    <row r="45" spans="1:3" x14ac:dyDescent="0.2">
      <c r="A45">
        <v>43</v>
      </c>
      <c r="B45">
        <v>245.90875011210971</v>
      </c>
      <c r="C45">
        <v>91.498957409337606</v>
      </c>
    </row>
    <row r="46" spans="1:3" x14ac:dyDescent="0.2">
      <c r="A46">
        <v>44</v>
      </c>
      <c r="B46">
        <v>228.17269830714355</v>
      </c>
      <c r="C46" s="17">
        <v>-56.935074612805622</v>
      </c>
    </row>
    <row r="47" spans="1:3" x14ac:dyDescent="0.2">
      <c r="A47">
        <v>45</v>
      </c>
      <c r="B47">
        <v>198.05656785944598</v>
      </c>
      <c r="C47">
        <v>11.865986526634231</v>
      </c>
    </row>
    <row r="48" spans="1:3" x14ac:dyDescent="0.2">
      <c r="A48">
        <v>46</v>
      </c>
      <c r="B48" s="17">
        <v>-575.98312572685973</v>
      </c>
      <c r="C48" s="17">
        <v>-94.051303444641945</v>
      </c>
    </row>
    <row r="49" spans="1:3" x14ac:dyDescent="0.2">
      <c r="A49">
        <v>47</v>
      </c>
      <c r="B49">
        <v>530.61043752506259</v>
      </c>
      <c r="C49" s="17">
        <v>-151.66781354637592</v>
      </c>
    </row>
    <row r="50" spans="1:3" x14ac:dyDescent="0.2">
      <c r="A50">
        <v>48</v>
      </c>
      <c r="B50">
        <v>468.09972439043827</v>
      </c>
      <c r="C50" s="17">
        <v>-622.14512502392074</v>
      </c>
    </row>
    <row r="51" spans="1:3" x14ac:dyDescent="0.2">
      <c r="A51">
        <v>49</v>
      </c>
      <c r="B51" s="17">
        <v>-1247.3321878133047</v>
      </c>
      <c r="C51" s="17">
        <v>-51.317948758826077</v>
      </c>
    </row>
    <row r="52" spans="1:3" x14ac:dyDescent="0.2">
      <c r="A52">
        <v>50</v>
      </c>
      <c r="B52">
        <v>158.76740156295762</v>
      </c>
      <c r="C52" s="17">
        <v>-174.65424849550897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selection activeCell="G8" sqref="G8"/>
    </sheetView>
  </sheetViews>
  <sheetFormatPr defaultColWidth="8.7109375" defaultRowHeight="15" x14ac:dyDescent="0.25"/>
  <cols>
    <col min="1" max="1" width="9.85546875" style="1" bestFit="1" customWidth="1"/>
    <col min="2" max="2" width="24.5703125" style="1" bestFit="1" customWidth="1"/>
    <col min="3" max="3" width="8.7109375" style="1"/>
    <col min="4" max="4" width="11.5703125" style="1" customWidth="1"/>
    <col min="5" max="5" width="19.42578125" style="1" bestFit="1" customWidth="1"/>
    <col min="6" max="6" width="11.5703125" style="1" customWidth="1"/>
    <col min="7" max="7" width="24" style="1" bestFit="1" customWidth="1"/>
    <col min="8" max="8" width="24" style="11" customWidth="1"/>
    <col min="9" max="9" width="21.85546875" style="1" customWidth="1"/>
    <col min="10" max="13" width="20.28515625" style="1" customWidth="1"/>
    <col min="14" max="14" width="18.85546875" style="1" customWidth="1"/>
    <col min="15" max="16" width="17.42578125" style="1" customWidth="1"/>
    <col min="17" max="17" width="19.28515625" style="1" customWidth="1"/>
    <col min="18" max="18" width="31.5703125" style="1" bestFit="1" customWidth="1"/>
    <col min="19" max="19" width="11.7109375" style="1" customWidth="1"/>
    <col min="20" max="20" width="23.140625" style="1" bestFit="1" customWidth="1"/>
    <col min="21" max="21" width="24.42578125" style="1" bestFit="1" customWidth="1"/>
    <col min="22" max="16384" width="8.7109375" style="1"/>
  </cols>
  <sheetData>
    <row r="1" spans="1:21" x14ac:dyDescent="0.25">
      <c r="A1" s="19" t="s">
        <v>76</v>
      </c>
      <c r="B1" s="18" t="s">
        <v>0</v>
      </c>
      <c r="C1" s="20" t="s">
        <v>1</v>
      </c>
      <c r="D1" s="20"/>
      <c r="E1" s="20"/>
      <c r="F1" s="20"/>
      <c r="G1" s="20"/>
      <c r="I1" s="20" t="s">
        <v>2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x14ac:dyDescent="0.25">
      <c r="A2" s="19"/>
      <c r="B2" s="18"/>
      <c r="C2" s="3" t="s">
        <v>3</v>
      </c>
      <c r="D2" s="21" t="s">
        <v>4</v>
      </c>
      <c r="E2" s="21"/>
      <c r="F2" s="21"/>
      <c r="G2" s="21"/>
      <c r="I2" s="3" t="s">
        <v>5</v>
      </c>
      <c r="J2" s="22" t="s">
        <v>6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x14ac:dyDescent="0.25">
      <c r="A3" s="19"/>
      <c r="B3" s="18"/>
      <c r="C3" s="4" t="s">
        <v>7</v>
      </c>
      <c r="D3" s="5" t="s">
        <v>8</v>
      </c>
      <c r="E3" s="5" t="s">
        <v>117</v>
      </c>
      <c r="F3" s="5" t="s">
        <v>9</v>
      </c>
      <c r="G3" s="5" t="s">
        <v>118</v>
      </c>
      <c r="I3" s="4" t="s">
        <v>116</v>
      </c>
      <c r="J3" s="5" t="s">
        <v>10</v>
      </c>
      <c r="K3" s="5" t="s">
        <v>156</v>
      </c>
      <c r="L3" s="5" t="s">
        <v>16</v>
      </c>
      <c r="M3" s="5" t="s">
        <v>157</v>
      </c>
      <c r="N3" s="5" t="s">
        <v>11</v>
      </c>
      <c r="O3" s="5" t="s">
        <v>12</v>
      </c>
      <c r="P3" s="5" t="s">
        <v>119</v>
      </c>
      <c r="Q3" s="5" t="s">
        <v>13</v>
      </c>
      <c r="R3" s="5" t="s">
        <v>120</v>
      </c>
      <c r="S3" s="5" t="s">
        <v>14</v>
      </c>
      <c r="T3" s="5" t="s">
        <v>121</v>
      </c>
      <c r="U3" s="12" t="s">
        <v>124</v>
      </c>
    </row>
    <row r="4" spans="1:21" x14ac:dyDescent="0.25">
      <c r="A4" s="1">
        <v>1</v>
      </c>
      <c r="B4" s="1" t="s">
        <v>77</v>
      </c>
      <c r="C4" s="1">
        <v>607</v>
      </c>
      <c r="D4">
        <v>1165385176</v>
      </c>
      <c r="E4">
        <f>D4/10000000</f>
        <v>116.53851760000001</v>
      </c>
      <c r="F4" s="1">
        <v>5807282771</v>
      </c>
      <c r="G4" s="1">
        <f>F4/10000000</f>
        <v>580.72827710000001</v>
      </c>
      <c r="I4" s="1">
        <f>437+350+422+175</f>
        <v>1384</v>
      </c>
      <c r="J4" s="1">
        <v>3785</v>
      </c>
      <c r="K4" s="1">
        <f>J4/3</f>
        <v>1261.6666666666667</v>
      </c>
      <c r="L4" s="1">
        <v>4286</v>
      </c>
      <c r="M4" s="1">
        <f>L4/3</f>
        <v>1428.6666666666667</v>
      </c>
      <c r="N4" s="1">
        <v>395</v>
      </c>
      <c r="O4">
        <v>65531734</v>
      </c>
      <c r="P4">
        <f>O4/100000</f>
        <v>655.31733999999994</v>
      </c>
      <c r="Q4">
        <v>1949148000</v>
      </c>
      <c r="R4">
        <f>Q4/1000000</f>
        <v>1949.1479999999999</v>
      </c>
      <c r="S4">
        <v>852616000</v>
      </c>
      <c r="T4">
        <f>S4/1000000</f>
        <v>852.61599999999999</v>
      </c>
      <c r="U4" s="1">
        <f>T4+R4</f>
        <v>2801.7640000000001</v>
      </c>
    </row>
    <row r="5" spans="1:21" x14ac:dyDescent="0.25">
      <c r="A5" s="1">
        <v>2</v>
      </c>
      <c r="B5" s="1" t="s">
        <v>78</v>
      </c>
      <c r="C5" s="1">
        <v>528</v>
      </c>
      <c r="D5" s="1">
        <v>615057803</v>
      </c>
      <c r="E5">
        <f t="shared" ref="E5:E53" si="0">D5/10000000</f>
        <v>61.505780299999998</v>
      </c>
      <c r="F5" s="1">
        <v>4223073835</v>
      </c>
      <c r="G5" s="1">
        <f t="shared" ref="G5:G53" si="1">F5/10000000</f>
        <v>422.30738350000001</v>
      </c>
      <c r="I5" s="1">
        <f>549+226+482</f>
        <v>1257</v>
      </c>
      <c r="J5" s="1">
        <v>3764</v>
      </c>
      <c r="K5" s="1">
        <f t="shared" ref="K5:K53" si="2">J5/3</f>
        <v>1254.6666666666667</v>
      </c>
      <c r="L5" s="1">
        <v>4490</v>
      </c>
      <c r="M5" s="1">
        <f t="shared" ref="M5:M53" si="3">L5/3</f>
        <v>1496.6666666666667</v>
      </c>
      <c r="N5" s="1">
        <v>369</v>
      </c>
      <c r="O5" s="1">
        <v>66200000</v>
      </c>
      <c r="P5">
        <f t="shared" ref="P5:P53" si="4">O5/100000</f>
        <v>662</v>
      </c>
      <c r="Q5" s="7">
        <v>345950000</v>
      </c>
      <c r="R5">
        <f t="shared" ref="R5:R53" si="5">Q5/1000000</f>
        <v>345.95</v>
      </c>
      <c r="S5">
        <v>471400000</v>
      </c>
      <c r="T5">
        <f t="shared" ref="T5:T53" si="6">S5/1000000</f>
        <v>471.4</v>
      </c>
      <c r="U5" s="1">
        <f t="shared" ref="U5:U53" si="7">T5+R5</f>
        <v>817.34999999999991</v>
      </c>
    </row>
    <row r="6" spans="1:21" x14ac:dyDescent="0.25">
      <c r="A6" s="1">
        <v>3</v>
      </c>
      <c r="B6" s="1" t="s">
        <v>79</v>
      </c>
      <c r="C6" s="1">
        <v>481</v>
      </c>
      <c r="D6" s="1">
        <v>1578944887</v>
      </c>
      <c r="E6">
        <f t="shared" si="0"/>
        <v>157.89448870000001</v>
      </c>
      <c r="F6" s="1">
        <v>3593306000</v>
      </c>
      <c r="G6" s="1">
        <f t="shared" si="1"/>
        <v>359.3306</v>
      </c>
      <c r="I6" s="1">
        <f>572+159+653</f>
        <v>1384</v>
      </c>
      <c r="J6" s="1">
        <v>3738</v>
      </c>
      <c r="K6" s="1">
        <f t="shared" si="2"/>
        <v>1246</v>
      </c>
      <c r="L6" s="1">
        <v>4159</v>
      </c>
      <c r="M6" s="1">
        <f t="shared" si="3"/>
        <v>1386.3333333333333</v>
      </c>
      <c r="N6">
        <v>156</v>
      </c>
      <c r="O6" s="1">
        <v>3571000</v>
      </c>
      <c r="P6">
        <f t="shared" si="4"/>
        <v>35.71</v>
      </c>
      <c r="Q6" s="7">
        <v>936383452</v>
      </c>
      <c r="R6">
        <f t="shared" si="5"/>
        <v>936.38345200000003</v>
      </c>
      <c r="S6" s="1">
        <v>358051397</v>
      </c>
      <c r="T6">
        <f t="shared" si="6"/>
        <v>358.05139700000001</v>
      </c>
      <c r="U6" s="1">
        <f t="shared" si="7"/>
        <v>1294.434849</v>
      </c>
    </row>
    <row r="7" spans="1:21" x14ac:dyDescent="0.25">
      <c r="A7" s="1">
        <v>4</v>
      </c>
      <c r="B7" s="1" t="s">
        <v>80</v>
      </c>
      <c r="C7" s="1">
        <v>644</v>
      </c>
      <c r="D7">
        <v>613166685</v>
      </c>
      <c r="E7">
        <f t="shared" si="0"/>
        <v>61.316668499999999</v>
      </c>
      <c r="F7" s="1">
        <v>3582635992</v>
      </c>
      <c r="G7" s="1">
        <f t="shared" si="1"/>
        <v>358.26359919999999</v>
      </c>
      <c r="I7" s="1">
        <f>417+926+8+605</f>
        <v>1956</v>
      </c>
      <c r="J7" s="1">
        <v>4308</v>
      </c>
      <c r="K7" s="1">
        <f t="shared" si="2"/>
        <v>1436</v>
      </c>
      <c r="L7">
        <v>4513</v>
      </c>
      <c r="M7" s="1">
        <f t="shared" si="3"/>
        <v>1504.3333333333333</v>
      </c>
      <c r="N7" s="1">
        <v>131</v>
      </c>
      <c r="O7" s="1">
        <v>4995889</v>
      </c>
      <c r="P7">
        <f t="shared" si="4"/>
        <v>49.958889999999997</v>
      </c>
      <c r="Q7" s="1">
        <v>727097130</v>
      </c>
      <c r="R7">
        <f t="shared" si="5"/>
        <v>727.09712999999999</v>
      </c>
      <c r="S7">
        <v>80339625</v>
      </c>
      <c r="T7">
        <f t="shared" si="6"/>
        <v>80.339624999999998</v>
      </c>
      <c r="U7" s="1">
        <f t="shared" si="7"/>
        <v>807.43675499999995</v>
      </c>
    </row>
    <row r="8" spans="1:21" x14ac:dyDescent="0.25">
      <c r="A8" s="1">
        <v>5</v>
      </c>
      <c r="B8" s="1" t="s">
        <v>81</v>
      </c>
      <c r="C8" s="1">
        <v>418</v>
      </c>
      <c r="D8">
        <v>1115835000</v>
      </c>
      <c r="E8">
        <f t="shared" si="0"/>
        <v>111.5835</v>
      </c>
      <c r="F8">
        <v>1691900000</v>
      </c>
      <c r="G8" s="1">
        <f t="shared" si="1"/>
        <v>169.19</v>
      </c>
      <c r="I8" s="1">
        <f>716+491</f>
        <v>1207</v>
      </c>
      <c r="J8" s="1">
        <v>2599</v>
      </c>
      <c r="K8" s="1">
        <f t="shared" si="2"/>
        <v>866.33333333333337</v>
      </c>
      <c r="L8" s="1">
        <v>2933</v>
      </c>
      <c r="M8" s="1">
        <f t="shared" si="3"/>
        <v>977.66666666666663</v>
      </c>
      <c r="N8" s="1">
        <v>203</v>
      </c>
      <c r="O8">
        <v>8144839</v>
      </c>
      <c r="P8">
        <f t="shared" si="4"/>
        <v>81.448390000000003</v>
      </c>
      <c r="Q8" s="1">
        <v>1610699753</v>
      </c>
      <c r="R8">
        <f t="shared" si="5"/>
        <v>1610.6997530000001</v>
      </c>
      <c r="S8">
        <v>182671711</v>
      </c>
      <c r="T8">
        <f t="shared" si="6"/>
        <v>182.67171099999999</v>
      </c>
      <c r="U8" s="1">
        <f t="shared" si="7"/>
        <v>1793.3714640000001</v>
      </c>
    </row>
    <row r="9" spans="1:21" x14ac:dyDescent="0.25">
      <c r="A9" s="1">
        <v>6</v>
      </c>
      <c r="B9" s="1" t="s">
        <v>82</v>
      </c>
      <c r="C9" s="1">
        <v>423</v>
      </c>
      <c r="D9">
        <v>643481000</v>
      </c>
      <c r="E9">
        <f t="shared" si="0"/>
        <v>64.348100000000002</v>
      </c>
      <c r="F9">
        <v>1561056500</v>
      </c>
      <c r="G9" s="1">
        <f t="shared" si="1"/>
        <v>156.10565</v>
      </c>
      <c r="I9" s="1">
        <f>826+231+663</f>
        <v>1720</v>
      </c>
      <c r="J9" s="1">
        <v>3046</v>
      </c>
      <c r="K9" s="1">
        <f t="shared" si="2"/>
        <v>1015.3333333333334</v>
      </c>
      <c r="L9" s="1">
        <v>3461</v>
      </c>
      <c r="M9" s="1">
        <f t="shared" si="3"/>
        <v>1153.6666666666667</v>
      </c>
      <c r="N9" s="1">
        <v>2</v>
      </c>
      <c r="O9" s="1">
        <v>0</v>
      </c>
      <c r="P9">
        <f t="shared" si="4"/>
        <v>0</v>
      </c>
      <c r="Q9">
        <v>304552826</v>
      </c>
      <c r="R9">
        <f t="shared" si="5"/>
        <v>304.55282599999998</v>
      </c>
      <c r="S9">
        <v>492437656</v>
      </c>
      <c r="T9">
        <f t="shared" si="6"/>
        <v>492.437656</v>
      </c>
      <c r="U9" s="1">
        <f t="shared" si="7"/>
        <v>796.99048199999993</v>
      </c>
    </row>
    <row r="10" spans="1:21" x14ac:dyDescent="0.25">
      <c r="A10" s="1">
        <v>7</v>
      </c>
      <c r="B10" s="1" t="s">
        <v>83</v>
      </c>
      <c r="C10" s="1">
        <v>401</v>
      </c>
      <c r="D10">
        <v>1862390064</v>
      </c>
      <c r="E10">
        <f t="shared" si="0"/>
        <v>186.23900639999999</v>
      </c>
      <c r="F10">
        <v>1798514734</v>
      </c>
      <c r="G10" s="1">
        <f t="shared" si="1"/>
        <v>179.8514734</v>
      </c>
      <c r="I10" s="1">
        <f>554+244</f>
        <v>798</v>
      </c>
      <c r="J10" s="1">
        <v>2159</v>
      </c>
      <c r="K10" s="1">
        <f t="shared" si="2"/>
        <v>719.66666666666663</v>
      </c>
      <c r="L10">
        <v>2347</v>
      </c>
      <c r="M10" s="1">
        <f t="shared" si="3"/>
        <v>782.33333333333337</v>
      </c>
      <c r="N10" s="1">
        <v>1</v>
      </c>
      <c r="O10" s="1">
        <v>0</v>
      </c>
      <c r="P10">
        <f t="shared" si="4"/>
        <v>0</v>
      </c>
      <c r="Q10">
        <v>341959760</v>
      </c>
      <c r="R10">
        <f t="shared" si="5"/>
        <v>341.95976000000002</v>
      </c>
      <c r="S10">
        <v>71741219</v>
      </c>
      <c r="T10">
        <f t="shared" si="6"/>
        <v>71.741219000000001</v>
      </c>
      <c r="U10" s="1">
        <f t="shared" si="7"/>
        <v>413.70097900000002</v>
      </c>
    </row>
    <row r="11" spans="1:21" x14ac:dyDescent="0.25">
      <c r="A11" s="1">
        <v>8</v>
      </c>
      <c r="B11" s="1" t="s">
        <v>84</v>
      </c>
      <c r="C11" s="1">
        <v>903</v>
      </c>
      <c r="D11">
        <v>261869450</v>
      </c>
      <c r="E11">
        <f t="shared" si="0"/>
        <v>26.186945000000001</v>
      </c>
      <c r="F11">
        <v>1869354639</v>
      </c>
      <c r="G11" s="1">
        <f t="shared" si="1"/>
        <v>186.9354639</v>
      </c>
      <c r="I11" s="1">
        <f>1213+1830</f>
        <v>3043</v>
      </c>
      <c r="J11" s="1">
        <v>3234</v>
      </c>
      <c r="K11" s="1">
        <f t="shared" si="2"/>
        <v>1078</v>
      </c>
      <c r="L11" s="1">
        <v>5217</v>
      </c>
      <c r="M11" s="1">
        <f t="shared" si="3"/>
        <v>1739</v>
      </c>
      <c r="N11" s="1">
        <v>39</v>
      </c>
      <c r="O11" s="1">
        <v>0</v>
      </c>
      <c r="P11">
        <f t="shared" si="4"/>
        <v>0</v>
      </c>
      <c r="Q11">
        <v>641997768</v>
      </c>
      <c r="R11">
        <f t="shared" si="5"/>
        <v>641.99776799999995</v>
      </c>
      <c r="S11">
        <v>285008601</v>
      </c>
      <c r="T11">
        <f t="shared" si="6"/>
        <v>285.008601</v>
      </c>
      <c r="U11" s="1">
        <f t="shared" si="7"/>
        <v>927.00636899999995</v>
      </c>
    </row>
    <row r="12" spans="1:21" x14ac:dyDescent="0.25">
      <c r="A12" s="1">
        <v>9</v>
      </c>
      <c r="B12" s="1" t="s">
        <v>85</v>
      </c>
      <c r="C12" s="1">
        <v>183</v>
      </c>
      <c r="D12">
        <v>203572038</v>
      </c>
      <c r="E12">
        <f t="shared" si="0"/>
        <v>20.357203800000001</v>
      </c>
      <c r="F12">
        <v>833920536</v>
      </c>
      <c r="G12" s="1">
        <f t="shared" si="1"/>
        <v>83.392053599999997</v>
      </c>
      <c r="I12" s="1">
        <f>192+126+26</f>
        <v>344</v>
      </c>
      <c r="J12" s="1">
        <v>861</v>
      </c>
      <c r="K12" s="1">
        <f t="shared" si="2"/>
        <v>287</v>
      </c>
      <c r="L12" s="1">
        <v>896</v>
      </c>
      <c r="M12" s="1">
        <f t="shared" si="3"/>
        <v>298.66666666666669</v>
      </c>
      <c r="N12" s="1">
        <v>32</v>
      </c>
      <c r="O12" s="1">
        <v>0</v>
      </c>
      <c r="P12">
        <f t="shared" si="4"/>
        <v>0</v>
      </c>
      <c r="Q12">
        <v>411407194</v>
      </c>
      <c r="R12">
        <f t="shared" si="5"/>
        <v>411.407194</v>
      </c>
      <c r="S12">
        <v>27291896</v>
      </c>
      <c r="T12">
        <f t="shared" si="6"/>
        <v>27.291896000000001</v>
      </c>
      <c r="U12" s="1">
        <f t="shared" si="7"/>
        <v>438.69909000000001</v>
      </c>
    </row>
    <row r="13" spans="1:21" x14ac:dyDescent="0.25">
      <c r="A13" s="1">
        <v>10</v>
      </c>
      <c r="B13" s="1" t="s">
        <v>86</v>
      </c>
      <c r="C13" s="1">
        <v>116</v>
      </c>
      <c r="D13">
        <v>260362155</v>
      </c>
      <c r="E13">
        <f t="shared" si="0"/>
        <v>26.036215500000001</v>
      </c>
      <c r="F13">
        <v>408490771</v>
      </c>
      <c r="G13" s="1">
        <f t="shared" si="1"/>
        <v>40.849077100000002</v>
      </c>
      <c r="I13" s="1">
        <f>193+177</f>
        <v>370</v>
      </c>
      <c r="J13" s="1">
        <v>638</v>
      </c>
      <c r="K13" s="1">
        <f t="shared" si="2"/>
        <v>212.66666666666666</v>
      </c>
      <c r="L13" s="1">
        <v>832</v>
      </c>
      <c r="M13" s="1">
        <f t="shared" si="3"/>
        <v>277.33333333333331</v>
      </c>
      <c r="N13" s="1">
        <v>35</v>
      </c>
      <c r="O13">
        <v>31505000</v>
      </c>
      <c r="P13">
        <f t="shared" si="4"/>
        <v>315.05</v>
      </c>
      <c r="Q13" s="1">
        <v>331800948</v>
      </c>
      <c r="R13">
        <f t="shared" si="5"/>
        <v>331.80094800000001</v>
      </c>
      <c r="S13">
        <v>49582205</v>
      </c>
      <c r="T13">
        <f t="shared" si="6"/>
        <v>49.582205000000002</v>
      </c>
      <c r="U13" s="1">
        <f t="shared" si="7"/>
        <v>381.38315299999999</v>
      </c>
    </row>
    <row r="14" spans="1:21" x14ac:dyDescent="0.25">
      <c r="A14" s="1">
        <v>11</v>
      </c>
      <c r="B14" s="1" t="s">
        <v>87</v>
      </c>
      <c r="C14" s="1">
        <v>346</v>
      </c>
      <c r="D14">
        <v>252816815</v>
      </c>
      <c r="E14">
        <f t="shared" si="0"/>
        <v>25.281681500000001</v>
      </c>
      <c r="F14">
        <v>1262368121</v>
      </c>
      <c r="G14" s="1">
        <f t="shared" si="1"/>
        <v>126.23681209999999</v>
      </c>
      <c r="I14" s="1">
        <f>800+433</f>
        <v>1233</v>
      </c>
      <c r="J14" s="1">
        <v>1361</v>
      </c>
      <c r="K14" s="1">
        <f t="shared" si="2"/>
        <v>453.66666666666669</v>
      </c>
      <c r="L14" s="1">
        <v>1523</v>
      </c>
      <c r="M14" s="1">
        <f t="shared" si="3"/>
        <v>507.66666666666669</v>
      </c>
      <c r="N14" s="1">
        <v>0</v>
      </c>
      <c r="O14" s="1">
        <v>0</v>
      </c>
      <c r="P14">
        <f t="shared" si="4"/>
        <v>0</v>
      </c>
      <c r="Q14">
        <v>105610500</v>
      </c>
      <c r="R14">
        <f t="shared" si="5"/>
        <v>105.6105</v>
      </c>
      <c r="S14">
        <v>22066139</v>
      </c>
      <c r="T14">
        <f t="shared" si="6"/>
        <v>22.066139</v>
      </c>
      <c r="U14" s="1">
        <f t="shared" si="7"/>
        <v>127.67663899999999</v>
      </c>
    </row>
    <row r="15" spans="1:21" x14ac:dyDescent="0.25">
      <c r="A15" s="1">
        <v>12</v>
      </c>
      <c r="B15" s="1" t="s">
        <v>88</v>
      </c>
      <c r="C15" s="1">
        <v>323</v>
      </c>
      <c r="D15">
        <v>243447156</v>
      </c>
      <c r="E15">
        <f t="shared" si="0"/>
        <v>24.344715600000001</v>
      </c>
      <c r="F15">
        <v>893880053</v>
      </c>
      <c r="G15" s="1">
        <f t="shared" si="1"/>
        <v>89.388005300000003</v>
      </c>
      <c r="I15" s="1">
        <f>795+120+347+110</f>
        <v>1372</v>
      </c>
      <c r="J15" s="1">
        <v>2726</v>
      </c>
      <c r="K15" s="1">
        <f t="shared" si="2"/>
        <v>908.66666666666663</v>
      </c>
      <c r="L15" s="1">
        <v>3298</v>
      </c>
      <c r="M15" s="1">
        <f t="shared" si="3"/>
        <v>1099.3333333333333</v>
      </c>
      <c r="N15" s="1">
        <v>8</v>
      </c>
      <c r="O15" s="1">
        <v>2128000</v>
      </c>
      <c r="P15">
        <f t="shared" si="4"/>
        <v>21.28</v>
      </c>
      <c r="Q15">
        <v>320571776</v>
      </c>
      <c r="R15">
        <f t="shared" si="5"/>
        <v>320.571776</v>
      </c>
      <c r="S15">
        <v>147156313</v>
      </c>
      <c r="T15">
        <f t="shared" si="6"/>
        <v>147.15631300000001</v>
      </c>
      <c r="U15" s="1">
        <f t="shared" si="7"/>
        <v>467.72808900000001</v>
      </c>
    </row>
    <row r="16" spans="1:21" x14ac:dyDescent="0.25">
      <c r="A16" s="1">
        <v>13</v>
      </c>
      <c r="B16" s="1" t="s">
        <v>89</v>
      </c>
      <c r="C16" s="1">
        <v>340</v>
      </c>
      <c r="D16" s="1">
        <v>253155602</v>
      </c>
      <c r="E16">
        <f t="shared" si="0"/>
        <v>25.3155602</v>
      </c>
      <c r="F16">
        <v>1999421865</v>
      </c>
      <c r="G16" s="1">
        <f t="shared" si="1"/>
        <v>199.94218649999999</v>
      </c>
      <c r="I16" s="1">
        <f>821+584+118</f>
        <v>1523</v>
      </c>
      <c r="J16" s="1">
        <v>1580</v>
      </c>
      <c r="K16" s="1">
        <f t="shared" si="2"/>
        <v>526.66666666666663</v>
      </c>
      <c r="L16" s="1">
        <v>1883</v>
      </c>
      <c r="M16" s="1">
        <f t="shared" si="3"/>
        <v>627.66666666666663</v>
      </c>
      <c r="N16" s="1">
        <v>14</v>
      </c>
      <c r="O16" s="1">
        <v>0</v>
      </c>
      <c r="P16">
        <f t="shared" si="4"/>
        <v>0</v>
      </c>
      <c r="Q16">
        <v>229688051</v>
      </c>
      <c r="R16">
        <f t="shared" si="5"/>
        <v>229.688051</v>
      </c>
      <c r="S16">
        <v>141878175</v>
      </c>
      <c r="T16">
        <f t="shared" si="6"/>
        <v>141.878175</v>
      </c>
      <c r="U16" s="1">
        <f t="shared" si="7"/>
        <v>371.56622600000003</v>
      </c>
    </row>
    <row r="17" spans="1:21" x14ac:dyDescent="0.25">
      <c r="A17" s="1">
        <v>14</v>
      </c>
      <c r="B17" s="1" t="s">
        <v>90</v>
      </c>
      <c r="C17" s="1">
        <v>116</v>
      </c>
      <c r="D17">
        <v>220631675</v>
      </c>
      <c r="E17">
        <f t="shared" si="0"/>
        <v>22.063167499999999</v>
      </c>
      <c r="F17">
        <v>606871075</v>
      </c>
      <c r="G17" s="1">
        <f t="shared" si="1"/>
        <v>60.687107500000003</v>
      </c>
      <c r="I17" s="1">
        <f>115+47</f>
        <v>162</v>
      </c>
      <c r="J17" s="1">
        <v>560</v>
      </c>
      <c r="K17" s="1">
        <f t="shared" si="2"/>
        <v>186.66666666666666</v>
      </c>
      <c r="L17" s="1">
        <v>654</v>
      </c>
      <c r="M17" s="1">
        <f t="shared" si="3"/>
        <v>218</v>
      </c>
      <c r="N17" s="1">
        <v>3</v>
      </c>
      <c r="O17" s="1">
        <v>0</v>
      </c>
      <c r="P17">
        <f t="shared" si="4"/>
        <v>0</v>
      </c>
      <c r="Q17" s="1">
        <v>105757368</v>
      </c>
      <c r="R17">
        <f t="shared" si="5"/>
        <v>105.757368</v>
      </c>
      <c r="S17">
        <v>161373</v>
      </c>
      <c r="T17">
        <f t="shared" si="6"/>
        <v>0.16137299999999999</v>
      </c>
      <c r="U17" s="1">
        <f t="shared" si="7"/>
        <v>105.918741</v>
      </c>
    </row>
    <row r="18" spans="1:21" x14ac:dyDescent="0.25">
      <c r="A18" s="1">
        <v>15</v>
      </c>
      <c r="B18" s="1" t="s">
        <v>91</v>
      </c>
      <c r="C18" s="1">
        <v>299</v>
      </c>
      <c r="D18">
        <v>71446765</v>
      </c>
      <c r="E18">
        <f t="shared" si="0"/>
        <v>7.1446765000000001</v>
      </c>
      <c r="F18">
        <v>1353616767</v>
      </c>
      <c r="G18" s="1">
        <f t="shared" si="1"/>
        <v>135.3616767</v>
      </c>
      <c r="I18" s="1">
        <f>558+558+156</f>
        <v>1272</v>
      </c>
      <c r="J18" s="1">
        <v>1979</v>
      </c>
      <c r="K18" s="1">
        <f t="shared" si="2"/>
        <v>659.66666666666663</v>
      </c>
      <c r="L18" s="1">
        <v>1979</v>
      </c>
      <c r="M18" s="1">
        <f t="shared" si="3"/>
        <v>659.66666666666663</v>
      </c>
      <c r="N18" s="1">
        <v>3</v>
      </c>
      <c r="O18" s="1">
        <v>0</v>
      </c>
      <c r="P18">
        <f t="shared" si="4"/>
        <v>0</v>
      </c>
      <c r="Q18" s="1">
        <v>187176853</v>
      </c>
      <c r="R18">
        <f t="shared" si="5"/>
        <v>187.17685299999999</v>
      </c>
      <c r="S18">
        <v>28975306</v>
      </c>
      <c r="T18">
        <f t="shared" si="6"/>
        <v>28.975306</v>
      </c>
      <c r="U18" s="1">
        <f t="shared" si="7"/>
        <v>216.15215899999998</v>
      </c>
    </row>
    <row r="19" spans="1:21" x14ac:dyDescent="0.25">
      <c r="A19" s="1">
        <v>16</v>
      </c>
      <c r="B19" s="1" t="s">
        <v>92</v>
      </c>
      <c r="C19" s="1">
        <v>1650</v>
      </c>
      <c r="D19" s="1">
        <v>645819412</v>
      </c>
      <c r="E19">
        <f t="shared" si="0"/>
        <v>64.581941200000003</v>
      </c>
      <c r="F19" s="1">
        <v>4829166039</v>
      </c>
      <c r="G19" s="1">
        <f t="shared" si="1"/>
        <v>482.91660389999998</v>
      </c>
      <c r="I19" s="1">
        <f>3699+1768+420</f>
        <v>5887</v>
      </c>
      <c r="J19" s="1">
        <v>2868</v>
      </c>
      <c r="K19" s="1">
        <f t="shared" si="2"/>
        <v>956</v>
      </c>
      <c r="L19" s="1">
        <v>5089</v>
      </c>
      <c r="M19" s="1">
        <f t="shared" si="3"/>
        <v>1696.3333333333333</v>
      </c>
      <c r="N19" s="1">
        <v>4</v>
      </c>
      <c r="O19" s="1">
        <v>0</v>
      </c>
      <c r="P19">
        <f t="shared" si="4"/>
        <v>0</v>
      </c>
      <c r="Q19" s="1">
        <v>131156373</v>
      </c>
      <c r="R19">
        <f t="shared" si="5"/>
        <v>131.156373</v>
      </c>
      <c r="S19" s="1">
        <v>5679002</v>
      </c>
      <c r="T19">
        <f t="shared" si="6"/>
        <v>5.6790019999999997</v>
      </c>
      <c r="U19" s="1">
        <f t="shared" si="7"/>
        <v>136.835375</v>
      </c>
    </row>
    <row r="20" spans="1:21" x14ac:dyDescent="0.25">
      <c r="A20" s="1">
        <v>17</v>
      </c>
      <c r="B20" s="1" t="s">
        <v>93</v>
      </c>
      <c r="C20" s="1">
        <v>493</v>
      </c>
      <c r="D20" s="1">
        <v>476371633</v>
      </c>
      <c r="E20">
        <f t="shared" si="0"/>
        <v>47.637163299999997</v>
      </c>
      <c r="F20">
        <v>3175769483</v>
      </c>
      <c r="G20" s="1">
        <f t="shared" si="1"/>
        <v>317.57694830000003</v>
      </c>
      <c r="I20" s="1">
        <f>1942+267</f>
        <v>2209</v>
      </c>
      <c r="J20" s="1">
        <v>1225</v>
      </c>
      <c r="K20" s="1">
        <f t="shared" si="2"/>
        <v>408.33333333333331</v>
      </c>
      <c r="L20" s="1">
        <v>1386</v>
      </c>
      <c r="M20" s="1">
        <f t="shared" si="3"/>
        <v>462</v>
      </c>
      <c r="N20" s="1">
        <v>10</v>
      </c>
      <c r="O20" s="1">
        <v>0</v>
      </c>
      <c r="P20">
        <f t="shared" si="4"/>
        <v>0</v>
      </c>
      <c r="Q20" s="1">
        <v>58719479</v>
      </c>
      <c r="R20">
        <f t="shared" si="5"/>
        <v>58.719479</v>
      </c>
      <c r="S20" s="1">
        <v>1227069</v>
      </c>
      <c r="T20">
        <f t="shared" si="6"/>
        <v>1.227069</v>
      </c>
      <c r="U20" s="1">
        <f t="shared" si="7"/>
        <v>59.946548</v>
      </c>
    </row>
    <row r="21" spans="1:21" x14ac:dyDescent="0.25">
      <c r="A21" s="1">
        <v>18</v>
      </c>
      <c r="B21" s="1" t="s">
        <v>94</v>
      </c>
      <c r="C21" s="1">
        <v>129</v>
      </c>
      <c r="D21" s="1">
        <v>215410992</v>
      </c>
      <c r="E21">
        <f t="shared" si="0"/>
        <v>21.541099200000001</v>
      </c>
      <c r="F21" s="1">
        <v>524010448</v>
      </c>
      <c r="G21" s="1">
        <f t="shared" si="1"/>
        <v>52.401044800000001</v>
      </c>
      <c r="I21" s="1">
        <f>140+57</f>
        <v>197</v>
      </c>
      <c r="J21" s="1">
        <v>757</v>
      </c>
      <c r="K21" s="1">
        <f t="shared" si="2"/>
        <v>252.33333333333334</v>
      </c>
      <c r="L21" s="1">
        <v>540</v>
      </c>
      <c r="M21" s="1">
        <f t="shared" si="3"/>
        <v>180</v>
      </c>
      <c r="N21" s="1">
        <v>6</v>
      </c>
      <c r="O21" s="1">
        <v>0</v>
      </c>
      <c r="P21">
        <f t="shared" si="4"/>
        <v>0</v>
      </c>
      <c r="Q21" s="1">
        <v>85271270</v>
      </c>
      <c r="R21">
        <f t="shared" si="5"/>
        <v>85.271270000000001</v>
      </c>
      <c r="S21" s="1">
        <v>18378498</v>
      </c>
      <c r="T21">
        <f t="shared" si="6"/>
        <v>18.378498</v>
      </c>
      <c r="U21" s="1">
        <f t="shared" si="7"/>
        <v>103.64976799999999</v>
      </c>
    </row>
    <row r="22" spans="1:21" x14ac:dyDescent="0.25">
      <c r="A22" s="1">
        <v>19</v>
      </c>
      <c r="B22" s="1" t="s">
        <v>95</v>
      </c>
      <c r="C22" s="1">
        <v>316</v>
      </c>
      <c r="D22">
        <v>577630003</v>
      </c>
      <c r="E22">
        <f t="shared" si="0"/>
        <v>57.763000300000002</v>
      </c>
      <c r="F22" s="1">
        <v>1770556901</v>
      </c>
      <c r="G22" s="1">
        <f t="shared" si="1"/>
        <v>177.05569009999999</v>
      </c>
      <c r="I22" s="1">
        <f>702+222+245</f>
        <v>1169</v>
      </c>
      <c r="J22" s="1">
        <v>1150</v>
      </c>
      <c r="K22" s="1">
        <f t="shared" si="2"/>
        <v>383.33333333333331</v>
      </c>
      <c r="L22" s="1">
        <v>1175</v>
      </c>
      <c r="M22" s="1">
        <f t="shared" si="3"/>
        <v>391.66666666666669</v>
      </c>
      <c r="N22" s="1">
        <v>10</v>
      </c>
      <c r="O22" s="1">
        <v>0</v>
      </c>
      <c r="P22">
        <f t="shared" si="4"/>
        <v>0</v>
      </c>
      <c r="Q22" s="1">
        <v>141610455</v>
      </c>
      <c r="R22">
        <f t="shared" si="5"/>
        <v>141.610455</v>
      </c>
      <c r="S22" s="1">
        <v>63358916</v>
      </c>
      <c r="T22">
        <f t="shared" si="6"/>
        <v>63.358916000000001</v>
      </c>
      <c r="U22" s="1">
        <f t="shared" si="7"/>
        <v>204.969371</v>
      </c>
    </row>
    <row r="23" spans="1:21" x14ac:dyDescent="0.25">
      <c r="A23" s="1">
        <v>20</v>
      </c>
      <c r="B23" s="1" t="s">
        <v>96</v>
      </c>
      <c r="C23" s="1">
        <v>444</v>
      </c>
      <c r="D23" s="1">
        <v>510600000</v>
      </c>
      <c r="E23">
        <f t="shared" si="0"/>
        <v>51.06</v>
      </c>
      <c r="F23" s="1">
        <v>1230270000</v>
      </c>
      <c r="G23" s="1">
        <f t="shared" si="1"/>
        <v>123.027</v>
      </c>
      <c r="I23" s="1">
        <f>939+349+30</f>
        <v>1318</v>
      </c>
      <c r="J23" s="1">
        <v>1332</v>
      </c>
      <c r="K23" s="1">
        <f t="shared" si="2"/>
        <v>444</v>
      </c>
      <c r="L23" s="1">
        <v>1412</v>
      </c>
      <c r="M23" s="1">
        <f t="shared" si="3"/>
        <v>470.66666666666669</v>
      </c>
      <c r="N23" s="1">
        <v>11</v>
      </c>
      <c r="O23" s="1">
        <v>27900000</v>
      </c>
      <c r="P23">
        <f t="shared" si="4"/>
        <v>279</v>
      </c>
      <c r="Q23">
        <v>82245186</v>
      </c>
      <c r="R23">
        <f t="shared" si="5"/>
        <v>82.245186000000004</v>
      </c>
      <c r="S23" s="1">
        <v>19713000</v>
      </c>
      <c r="T23">
        <f t="shared" si="6"/>
        <v>19.713000000000001</v>
      </c>
      <c r="U23" s="1">
        <f t="shared" si="7"/>
        <v>101.95818600000001</v>
      </c>
    </row>
    <row r="24" spans="1:21" x14ac:dyDescent="0.25">
      <c r="A24" s="1">
        <v>21</v>
      </c>
      <c r="B24" s="1" t="s">
        <v>97</v>
      </c>
      <c r="C24" s="1">
        <v>302</v>
      </c>
      <c r="D24" s="1">
        <v>170185000</v>
      </c>
      <c r="E24">
        <f t="shared" si="0"/>
        <v>17.0185</v>
      </c>
      <c r="F24" s="1">
        <v>877295000</v>
      </c>
      <c r="G24" s="1">
        <f t="shared" si="1"/>
        <v>87.729500000000002</v>
      </c>
      <c r="I24" s="1">
        <f>792+473+87</f>
        <v>1352</v>
      </c>
      <c r="J24" s="1">
        <v>1180</v>
      </c>
      <c r="K24" s="1">
        <f t="shared" si="2"/>
        <v>393.33333333333331</v>
      </c>
      <c r="L24" s="1">
        <v>1236</v>
      </c>
      <c r="M24" s="1">
        <f t="shared" si="3"/>
        <v>412</v>
      </c>
      <c r="N24" s="1">
        <v>7</v>
      </c>
      <c r="O24" s="1">
        <v>0</v>
      </c>
      <c r="P24">
        <f t="shared" si="4"/>
        <v>0</v>
      </c>
      <c r="Q24" s="1">
        <v>111212356</v>
      </c>
      <c r="R24">
        <f t="shared" si="5"/>
        <v>111.212356</v>
      </c>
      <c r="S24" s="1">
        <v>38344947</v>
      </c>
      <c r="T24">
        <f t="shared" si="6"/>
        <v>38.344946999999998</v>
      </c>
      <c r="U24" s="1">
        <f t="shared" si="7"/>
        <v>149.55730299999999</v>
      </c>
    </row>
    <row r="25" spans="1:21" x14ac:dyDescent="0.25">
      <c r="A25" s="1">
        <v>22</v>
      </c>
      <c r="B25" s="1" t="s">
        <v>98</v>
      </c>
      <c r="C25" s="1">
        <v>115</v>
      </c>
      <c r="D25" s="1">
        <v>228439684</v>
      </c>
      <c r="E25">
        <f t="shared" si="0"/>
        <v>22.843968400000001</v>
      </c>
      <c r="F25" s="1">
        <v>304483727</v>
      </c>
      <c r="G25" s="1">
        <f t="shared" si="1"/>
        <v>30.4483727</v>
      </c>
      <c r="I25" s="1">
        <f>108+29</f>
        <v>137</v>
      </c>
      <c r="J25" s="1">
        <v>347</v>
      </c>
      <c r="K25" s="1">
        <f t="shared" si="2"/>
        <v>115.66666666666667</v>
      </c>
      <c r="L25" s="1">
        <v>401</v>
      </c>
      <c r="M25" s="1">
        <f t="shared" si="3"/>
        <v>133.66666666666666</v>
      </c>
      <c r="N25" s="1">
        <v>2</v>
      </c>
      <c r="O25" s="1">
        <v>0</v>
      </c>
      <c r="P25">
        <f t="shared" si="4"/>
        <v>0</v>
      </c>
      <c r="Q25">
        <v>86692503</v>
      </c>
      <c r="R25">
        <f t="shared" si="5"/>
        <v>86.692503000000002</v>
      </c>
      <c r="S25">
        <v>2080678</v>
      </c>
      <c r="T25">
        <f t="shared" si="6"/>
        <v>2.0806779999999998</v>
      </c>
      <c r="U25" s="1">
        <f t="shared" si="7"/>
        <v>88.773181000000008</v>
      </c>
    </row>
    <row r="26" spans="1:21" x14ac:dyDescent="0.25">
      <c r="A26" s="1">
        <v>23</v>
      </c>
      <c r="B26" s="1" t="s">
        <v>99</v>
      </c>
      <c r="C26" s="1">
        <v>101</v>
      </c>
      <c r="D26" s="1">
        <v>171091396</v>
      </c>
      <c r="E26">
        <f t="shared" si="0"/>
        <v>17.109139599999999</v>
      </c>
      <c r="F26">
        <v>614863715</v>
      </c>
      <c r="G26" s="1">
        <f t="shared" si="1"/>
        <v>61.486371499999997</v>
      </c>
      <c r="I26" s="1">
        <f>147+83</f>
        <v>230</v>
      </c>
      <c r="J26" s="1">
        <v>297</v>
      </c>
      <c r="K26" s="1">
        <f t="shared" si="2"/>
        <v>99</v>
      </c>
      <c r="L26" s="1">
        <v>340</v>
      </c>
      <c r="M26" s="1">
        <f t="shared" si="3"/>
        <v>113.33333333333333</v>
      </c>
      <c r="N26" s="1">
        <v>0</v>
      </c>
      <c r="O26" s="1">
        <v>0</v>
      </c>
      <c r="P26">
        <f t="shared" si="4"/>
        <v>0</v>
      </c>
      <c r="Q26" s="1">
        <v>14473823</v>
      </c>
      <c r="R26">
        <f t="shared" si="5"/>
        <v>14.473822999999999</v>
      </c>
      <c r="S26" s="1">
        <v>1295000</v>
      </c>
      <c r="T26">
        <f t="shared" si="6"/>
        <v>1.2949999999999999</v>
      </c>
      <c r="U26" s="1">
        <f t="shared" si="7"/>
        <v>15.768822999999999</v>
      </c>
    </row>
    <row r="27" spans="1:21" x14ac:dyDescent="0.25">
      <c r="A27" s="1">
        <v>24</v>
      </c>
      <c r="B27" s="1" t="s">
        <v>100</v>
      </c>
      <c r="C27" s="1">
        <v>110</v>
      </c>
      <c r="D27" s="1">
        <v>271665272</v>
      </c>
      <c r="E27">
        <f t="shared" si="0"/>
        <v>27.166527200000001</v>
      </c>
      <c r="F27" s="1">
        <v>365670603</v>
      </c>
      <c r="G27" s="1">
        <f t="shared" si="1"/>
        <v>36.567060300000001</v>
      </c>
      <c r="I27" s="1">
        <f>175+78</f>
        <v>253</v>
      </c>
      <c r="J27" s="1">
        <v>511</v>
      </c>
      <c r="K27" s="1">
        <f t="shared" si="2"/>
        <v>170.33333333333334</v>
      </c>
      <c r="L27" s="1">
        <v>589</v>
      </c>
      <c r="M27" s="1">
        <f t="shared" si="3"/>
        <v>196.33333333333334</v>
      </c>
      <c r="N27" s="1">
        <v>6</v>
      </c>
      <c r="O27" s="1">
        <v>0</v>
      </c>
      <c r="P27">
        <f t="shared" si="4"/>
        <v>0</v>
      </c>
      <c r="Q27" s="1">
        <v>128059208</v>
      </c>
      <c r="R27">
        <f t="shared" si="5"/>
        <v>128.05920800000001</v>
      </c>
      <c r="S27" s="1">
        <v>22307189</v>
      </c>
      <c r="T27">
        <f t="shared" si="6"/>
        <v>22.307189000000001</v>
      </c>
      <c r="U27" s="1">
        <f t="shared" si="7"/>
        <v>150.36639700000001</v>
      </c>
    </row>
    <row r="28" spans="1:21" x14ac:dyDescent="0.25">
      <c r="A28" s="1">
        <v>25</v>
      </c>
      <c r="B28" s="1" t="s">
        <v>101</v>
      </c>
      <c r="C28" s="1">
        <v>309</v>
      </c>
      <c r="D28" s="1">
        <v>80092153</v>
      </c>
      <c r="E28">
        <f t="shared" si="0"/>
        <v>8.0092152999999993</v>
      </c>
      <c r="F28" s="1">
        <v>1583619445</v>
      </c>
      <c r="G28" s="1">
        <f t="shared" si="1"/>
        <v>158.36194449999999</v>
      </c>
      <c r="I28" s="1">
        <f>675+412</f>
        <v>1087</v>
      </c>
      <c r="J28" s="1">
        <v>839</v>
      </c>
      <c r="K28" s="1">
        <f t="shared" si="2"/>
        <v>279.66666666666669</v>
      </c>
      <c r="L28" s="1">
        <v>888</v>
      </c>
      <c r="M28" s="1">
        <f t="shared" si="3"/>
        <v>296</v>
      </c>
      <c r="N28" s="1">
        <v>2</v>
      </c>
      <c r="O28" s="1">
        <v>0</v>
      </c>
      <c r="P28">
        <f t="shared" si="4"/>
        <v>0</v>
      </c>
      <c r="Q28" s="1">
        <v>96839976</v>
      </c>
      <c r="R28">
        <f t="shared" si="5"/>
        <v>96.839975999999993</v>
      </c>
      <c r="S28" s="1">
        <v>19008908</v>
      </c>
      <c r="T28">
        <f t="shared" si="6"/>
        <v>19.008908000000002</v>
      </c>
      <c r="U28" s="1">
        <f t="shared" si="7"/>
        <v>115.848884</v>
      </c>
    </row>
    <row r="29" spans="1:21" x14ac:dyDescent="0.25">
      <c r="A29" s="1">
        <v>26</v>
      </c>
      <c r="B29" s="1" t="s">
        <v>102</v>
      </c>
      <c r="C29" s="1">
        <v>283</v>
      </c>
      <c r="D29" s="1">
        <v>180294906</v>
      </c>
      <c r="E29">
        <f t="shared" si="0"/>
        <v>18.029490599999999</v>
      </c>
      <c r="F29" s="1">
        <v>840148231</v>
      </c>
      <c r="G29" s="1">
        <f t="shared" si="1"/>
        <v>84.014823100000001</v>
      </c>
      <c r="I29" s="1">
        <f>603+188</f>
        <v>791</v>
      </c>
      <c r="J29" s="1">
        <v>758</v>
      </c>
      <c r="K29" s="1">
        <f t="shared" si="2"/>
        <v>252.66666666666666</v>
      </c>
      <c r="L29" s="1">
        <v>1129</v>
      </c>
      <c r="M29" s="1">
        <f t="shared" si="3"/>
        <v>376.33333333333331</v>
      </c>
      <c r="N29" s="1">
        <v>16</v>
      </c>
      <c r="O29" s="1">
        <v>0</v>
      </c>
      <c r="P29">
        <f t="shared" si="4"/>
        <v>0</v>
      </c>
      <c r="Q29">
        <v>64606749</v>
      </c>
      <c r="R29">
        <f t="shared" si="5"/>
        <v>64.606748999999994</v>
      </c>
      <c r="S29">
        <v>1667427</v>
      </c>
      <c r="T29">
        <f t="shared" si="6"/>
        <v>1.667427</v>
      </c>
      <c r="U29" s="1">
        <f t="shared" si="7"/>
        <v>66.274175999999997</v>
      </c>
    </row>
    <row r="30" spans="1:21" x14ac:dyDescent="0.25">
      <c r="A30" s="1">
        <v>27</v>
      </c>
      <c r="B30" s="1" t="s">
        <v>103</v>
      </c>
      <c r="C30" s="1">
        <v>66</v>
      </c>
      <c r="D30" s="1">
        <v>170848000</v>
      </c>
      <c r="E30">
        <f t="shared" si="0"/>
        <v>17.084800000000001</v>
      </c>
      <c r="F30">
        <v>709371000</v>
      </c>
      <c r="G30" s="1">
        <f t="shared" si="1"/>
        <v>70.937100000000001</v>
      </c>
      <c r="I30" s="1">
        <f>112+43</f>
        <v>155</v>
      </c>
      <c r="J30" s="1">
        <v>284</v>
      </c>
      <c r="K30" s="1">
        <f t="shared" si="2"/>
        <v>94.666666666666671</v>
      </c>
      <c r="L30" s="1">
        <v>374</v>
      </c>
      <c r="M30" s="1">
        <f t="shared" si="3"/>
        <v>124.66666666666667</v>
      </c>
      <c r="N30" s="1">
        <v>5</v>
      </c>
      <c r="O30" s="1">
        <v>0</v>
      </c>
      <c r="P30">
        <f t="shared" si="4"/>
        <v>0</v>
      </c>
      <c r="Q30">
        <v>118635325</v>
      </c>
      <c r="R30">
        <f t="shared" si="5"/>
        <v>118.63532499999999</v>
      </c>
      <c r="S30">
        <v>35838420</v>
      </c>
      <c r="T30">
        <f t="shared" si="6"/>
        <v>35.838419999999999</v>
      </c>
      <c r="U30" s="1">
        <f t="shared" si="7"/>
        <v>154.47374500000001</v>
      </c>
    </row>
    <row r="31" spans="1:21" x14ac:dyDescent="0.25">
      <c r="A31" s="1">
        <v>28</v>
      </c>
      <c r="B31" s="1" t="s">
        <v>104</v>
      </c>
      <c r="C31" s="1">
        <v>106</v>
      </c>
      <c r="D31">
        <v>253024587</v>
      </c>
      <c r="E31">
        <f t="shared" si="0"/>
        <v>25.302458699999999</v>
      </c>
      <c r="F31" s="1">
        <v>356957207</v>
      </c>
      <c r="G31" s="1">
        <f t="shared" si="1"/>
        <v>35.695720700000003</v>
      </c>
      <c r="I31" s="1">
        <f>114+4+3</f>
        <v>121</v>
      </c>
      <c r="J31" s="1">
        <v>423</v>
      </c>
      <c r="K31" s="1">
        <f t="shared" si="2"/>
        <v>141</v>
      </c>
      <c r="L31" s="1">
        <v>449</v>
      </c>
      <c r="M31" s="1">
        <f t="shared" si="3"/>
        <v>149.66666666666666</v>
      </c>
      <c r="N31" s="1">
        <v>0</v>
      </c>
      <c r="O31" s="1">
        <v>0</v>
      </c>
      <c r="P31">
        <f t="shared" si="4"/>
        <v>0</v>
      </c>
      <c r="Q31" s="1">
        <v>1854960</v>
      </c>
      <c r="R31">
        <f t="shared" si="5"/>
        <v>1.8549599999999999</v>
      </c>
      <c r="S31" s="1">
        <v>1590489</v>
      </c>
      <c r="T31">
        <f t="shared" si="6"/>
        <v>1.590489</v>
      </c>
      <c r="U31" s="1">
        <f t="shared" si="7"/>
        <v>3.445449</v>
      </c>
    </row>
    <row r="32" spans="1:21" x14ac:dyDescent="0.25">
      <c r="A32" s="1">
        <v>29</v>
      </c>
      <c r="B32" s="1" t="s">
        <v>105</v>
      </c>
      <c r="C32" s="1">
        <v>525</v>
      </c>
      <c r="D32" s="1">
        <v>193315000</v>
      </c>
      <c r="E32">
        <f t="shared" si="0"/>
        <v>19.331499999999998</v>
      </c>
      <c r="F32" s="1">
        <v>841936000</v>
      </c>
      <c r="G32" s="1">
        <f t="shared" si="1"/>
        <v>84.193600000000004</v>
      </c>
      <c r="I32" s="1">
        <f>1169+290</f>
        <v>1459</v>
      </c>
      <c r="J32" s="1">
        <v>518</v>
      </c>
      <c r="K32" s="1">
        <f t="shared" si="2"/>
        <v>172.66666666666666</v>
      </c>
      <c r="L32" s="1">
        <v>915</v>
      </c>
      <c r="M32" s="1">
        <f t="shared" si="3"/>
        <v>305</v>
      </c>
      <c r="N32" s="1">
        <v>0</v>
      </c>
      <c r="O32" s="1">
        <v>100200</v>
      </c>
      <c r="P32">
        <f t="shared" si="4"/>
        <v>1.002</v>
      </c>
      <c r="Q32" s="1">
        <v>149044634</v>
      </c>
      <c r="R32">
        <f t="shared" si="5"/>
        <v>149.044634</v>
      </c>
      <c r="S32" s="1">
        <v>13164818</v>
      </c>
      <c r="T32">
        <f t="shared" si="6"/>
        <v>13.164818</v>
      </c>
      <c r="U32" s="1">
        <f t="shared" si="7"/>
        <v>162.209452</v>
      </c>
    </row>
    <row r="33" spans="1:21" x14ac:dyDescent="0.25">
      <c r="A33" s="1">
        <v>30</v>
      </c>
      <c r="B33" s="1" t="s">
        <v>106</v>
      </c>
      <c r="C33" s="1">
        <v>254</v>
      </c>
      <c r="D33">
        <v>330680869</v>
      </c>
      <c r="E33">
        <f t="shared" si="0"/>
        <v>33.068086899999997</v>
      </c>
      <c r="F33">
        <v>926158391</v>
      </c>
      <c r="G33" s="1">
        <f t="shared" si="1"/>
        <v>92.615839100000002</v>
      </c>
      <c r="I33" s="1">
        <f>418+164</f>
        <v>582</v>
      </c>
      <c r="J33" s="1">
        <v>1250</v>
      </c>
      <c r="K33" s="1">
        <f t="shared" si="2"/>
        <v>416.66666666666669</v>
      </c>
      <c r="L33" s="1">
        <v>1404</v>
      </c>
      <c r="M33" s="1">
        <f t="shared" si="3"/>
        <v>468</v>
      </c>
      <c r="N33" s="1">
        <v>4</v>
      </c>
      <c r="O33" s="1">
        <v>0</v>
      </c>
      <c r="P33">
        <f t="shared" si="4"/>
        <v>0</v>
      </c>
      <c r="Q33">
        <v>123441754</v>
      </c>
      <c r="R33">
        <f t="shared" si="5"/>
        <v>123.441754</v>
      </c>
      <c r="S33">
        <v>25533494</v>
      </c>
      <c r="T33">
        <f t="shared" si="6"/>
        <v>25.533494000000001</v>
      </c>
      <c r="U33" s="1">
        <f t="shared" si="7"/>
        <v>148.97524799999999</v>
      </c>
    </row>
    <row r="34" spans="1:21" x14ac:dyDescent="0.25">
      <c r="A34" s="1">
        <v>31</v>
      </c>
      <c r="B34" t="s">
        <v>107</v>
      </c>
      <c r="C34" s="1">
        <v>234</v>
      </c>
      <c r="D34" s="1">
        <v>402096553</v>
      </c>
      <c r="E34">
        <f t="shared" si="0"/>
        <v>40.209655300000001</v>
      </c>
      <c r="F34" s="1">
        <v>811706000</v>
      </c>
      <c r="G34" s="1">
        <f t="shared" si="1"/>
        <v>81.170599999999993</v>
      </c>
      <c r="I34" s="1">
        <f>663+346</f>
        <v>1009</v>
      </c>
      <c r="J34" s="1">
        <v>686</v>
      </c>
      <c r="K34" s="1">
        <f t="shared" si="2"/>
        <v>228.66666666666666</v>
      </c>
      <c r="L34" s="1">
        <v>730</v>
      </c>
      <c r="M34" s="1">
        <f t="shared" si="3"/>
        <v>243.33333333333334</v>
      </c>
      <c r="N34" s="1">
        <v>61</v>
      </c>
      <c r="O34">
        <v>420000</v>
      </c>
      <c r="P34">
        <f t="shared" si="4"/>
        <v>4.2</v>
      </c>
      <c r="Q34">
        <v>393021360</v>
      </c>
      <c r="R34">
        <f t="shared" si="5"/>
        <v>393.02136000000002</v>
      </c>
      <c r="S34">
        <v>113395816</v>
      </c>
      <c r="T34">
        <f t="shared" si="6"/>
        <v>113.395816</v>
      </c>
      <c r="U34" s="1">
        <f t="shared" si="7"/>
        <v>506.41717600000004</v>
      </c>
    </row>
    <row r="35" spans="1:21" x14ac:dyDescent="0.25">
      <c r="A35" s="1">
        <v>32</v>
      </c>
      <c r="B35" t="s">
        <v>108</v>
      </c>
      <c r="C35" s="1">
        <v>102</v>
      </c>
      <c r="D35">
        <v>12991371</v>
      </c>
      <c r="E35">
        <f t="shared" si="0"/>
        <v>1.2991371</v>
      </c>
      <c r="F35">
        <v>257288792</v>
      </c>
      <c r="G35" s="1">
        <f t="shared" si="1"/>
        <v>25.728879200000002</v>
      </c>
      <c r="I35" s="1">
        <f>345+61</f>
        <v>406</v>
      </c>
      <c r="J35" s="1">
        <v>699</v>
      </c>
      <c r="K35" s="1">
        <f t="shared" si="2"/>
        <v>233</v>
      </c>
      <c r="L35" s="1">
        <v>890</v>
      </c>
      <c r="M35" s="1">
        <f t="shared" si="3"/>
        <v>296.66666666666669</v>
      </c>
      <c r="N35" s="1">
        <v>8</v>
      </c>
      <c r="O35" s="1">
        <v>0</v>
      </c>
      <c r="P35">
        <f t="shared" si="4"/>
        <v>0</v>
      </c>
      <c r="Q35" s="1">
        <v>39997000</v>
      </c>
      <c r="R35">
        <f t="shared" si="5"/>
        <v>39.997</v>
      </c>
      <c r="S35" s="1">
        <v>33510017</v>
      </c>
      <c r="T35">
        <f t="shared" si="6"/>
        <v>33.510016999999998</v>
      </c>
      <c r="U35" s="1">
        <f t="shared" si="7"/>
        <v>73.507016999999991</v>
      </c>
    </row>
    <row r="36" spans="1:21" x14ac:dyDescent="0.25">
      <c r="A36" s="1">
        <v>33</v>
      </c>
      <c r="B36" s="1" t="s">
        <v>109</v>
      </c>
      <c r="C36" s="1">
        <v>635</v>
      </c>
      <c r="D36">
        <v>240398030</v>
      </c>
      <c r="E36">
        <f t="shared" si="0"/>
        <v>24.039802999999999</v>
      </c>
      <c r="F36" s="1">
        <v>880339013</v>
      </c>
      <c r="G36" s="1">
        <f t="shared" si="1"/>
        <v>88.033901299999997</v>
      </c>
      <c r="I36" s="1">
        <f>1760+195+147</f>
        <v>2102</v>
      </c>
      <c r="J36" s="1">
        <v>640</v>
      </c>
      <c r="K36" s="1">
        <f t="shared" si="2"/>
        <v>213.33333333333334</v>
      </c>
      <c r="L36" s="1">
        <v>251</v>
      </c>
      <c r="M36" s="1">
        <f t="shared" si="3"/>
        <v>83.666666666666671</v>
      </c>
      <c r="N36" s="1">
        <v>17</v>
      </c>
      <c r="O36" s="1">
        <v>0</v>
      </c>
      <c r="P36">
        <f t="shared" si="4"/>
        <v>0</v>
      </c>
      <c r="Q36" s="1">
        <v>176225099</v>
      </c>
      <c r="R36">
        <f t="shared" si="5"/>
        <v>176.225099</v>
      </c>
      <c r="S36">
        <v>9437441</v>
      </c>
      <c r="T36">
        <f t="shared" si="6"/>
        <v>9.4374409999999997</v>
      </c>
      <c r="U36" s="1">
        <f t="shared" si="7"/>
        <v>185.66254000000001</v>
      </c>
    </row>
    <row r="37" spans="1:21" x14ac:dyDescent="0.25">
      <c r="A37" s="1">
        <v>34</v>
      </c>
      <c r="B37" s="1" t="s">
        <v>110</v>
      </c>
      <c r="C37" s="1">
        <v>950</v>
      </c>
      <c r="D37" s="1">
        <v>87643731</v>
      </c>
      <c r="E37">
        <f t="shared" si="0"/>
        <v>8.7643731000000002</v>
      </c>
      <c r="F37" s="1">
        <v>1797195427</v>
      </c>
      <c r="G37" s="1">
        <f t="shared" si="1"/>
        <v>179.71954270000001</v>
      </c>
      <c r="I37" s="1">
        <f>1852+183+47+142</f>
        <v>2224</v>
      </c>
      <c r="J37" s="1">
        <v>1271</v>
      </c>
      <c r="K37" s="1">
        <f t="shared" si="2"/>
        <v>423.66666666666669</v>
      </c>
      <c r="L37" s="1">
        <v>1685</v>
      </c>
      <c r="M37" s="1">
        <f t="shared" si="3"/>
        <v>561.66666666666663</v>
      </c>
      <c r="N37" s="1">
        <v>283</v>
      </c>
      <c r="O37" s="1">
        <v>7850000</v>
      </c>
      <c r="P37">
        <f t="shared" si="4"/>
        <v>78.5</v>
      </c>
      <c r="Q37" s="1">
        <v>82976525</v>
      </c>
      <c r="R37">
        <f t="shared" si="5"/>
        <v>82.976524999999995</v>
      </c>
      <c r="S37" s="1">
        <v>7741548</v>
      </c>
      <c r="T37">
        <f t="shared" si="6"/>
        <v>7.7415479999999999</v>
      </c>
      <c r="U37" s="1">
        <f t="shared" si="7"/>
        <v>90.71807299999999</v>
      </c>
    </row>
    <row r="38" spans="1:21" x14ac:dyDescent="0.25">
      <c r="A38" s="1">
        <v>35</v>
      </c>
      <c r="B38" t="s">
        <v>65</v>
      </c>
      <c r="C38" s="1">
        <v>217</v>
      </c>
      <c r="D38" s="1">
        <v>24241596</v>
      </c>
      <c r="E38">
        <f t="shared" si="0"/>
        <v>2.4241595999999999</v>
      </c>
      <c r="F38">
        <v>495511214</v>
      </c>
      <c r="G38" s="1">
        <f t="shared" si="1"/>
        <v>49.5511214</v>
      </c>
      <c r="I38" s="1">
        <f>118+394</f>
        <v>512</v>
      </c>
      <c r="J38" s="1">
        <v>805</v>
      </c>
      <c r="K38" s="1">
        <f t="shared" si="2"/>
        <v>268.33333333333331</v>
      </c>
      <c r="L38" s="1">
        <v>903</v>
      </c>
      <c r="M38" s="1">
        <f t="shared" si="3"/>
        <v>301</v>
      </c>
      <c r="N38" s="1">
        <v>2</v>
      </c>
      <c r="O38" s="1">
        <v>0</v>
      </c>
      <c r="P38">
        <f t="shared" si="4"/>
        <v>0</v>
      </c>
      <c r="Q38">
        <v>30875722</v>
      </c>
      <c r="R38">
        <f t="shared" si="5"/>
        <v>30.875722</v>
      </c>
      <c r="S38">
        <v>1490252</v>
      </c>
      <c r="T38">
        <f t="shared" si="6"/>
        <v>1.4902519999999999</v>
      </c>
      <c r="U38" s="1">
        <f t="shared" si="7"/>
        <v>32.365974000000001</v>
      </c>
    </row>
    <row r="39" spans="1:21" x14ac:dyDescent="0.25">
      <c r="A39" s="1">
        <v>36</v>
      </c>
      <c r="B39" s="1" t="s">
        <v>111</v>
      </c>
      <c r="C39" s="1">
        <v>273</v>
      </c>
      <c r="D39">
        <v>64003598</v>
      </c>
      <c r="E39">
        <f t="shared" si="0"/>
        <v>6.4003598000000004</v>
      </c>
      <c r="F39">
        <v>853478895</v>
      </c>
      <c r="G39" s="1">
        <f t="shared" si="1"/>
        <v>85.347889499999994</v>
      </c>
      <c r="I39" s="1">
        <f>835+196</f>
        <v>1031</v>
      </c>
      <c r="J39" s="1">
        <v>717</v>
      </c>
      <c r="K39" s="1">
        <f t="shared" si="2"/>
        <v>239</v>
      </c>
      <c r="L39" s="1">
        <v>852</v>
      </c>
      <c r="M39" s="1">
        <f t="shared" si="3"/>
        <v>284</v>
      </c>
      <c r="N39" s="1">
        <v>6</v>
      </c>
      <c r="O39" s="1">
        <v>0</v>
      </c>
      <c r="P39">
        <f t="shared" si="4"/>
        <v>0</v>
      </c>
      <c r="Q39" s="1">
        <v>32891748</v>
      </c>
      <c r="R39">
        <f t="shared" si="5"/>
        <v>32.891748</v>
      </c>
      <c r="S39">
        <v>9129872</v>
      </c>
      <c r="T39">
        <f t="shared" si="6"/>
        <v>9.1298720000000007</v>
      </c>
      <c r="U39" s="1">
        <f t="shared" si="7"/>
        <v>42.021619999999999</v>
      </c>
    </row>
    <row r="40" spans="1:21" x14ac:dyDescent="0.25">
      <c r="A40" s="1">
        <v>37</v>
      </c>
      <c r="B40" t="s">
        <v>112</v>
      </c>
      <c r="C40" s="1">
        <v>724</v>
      </c>
      <c r="D40">
        <v>382698000</v>
      </c>
      <c r="E40">
        <f t="shared" si="0"/>
        <v>38.269799999999996</v>
      </c>
      <c r="F40">
        <v>1009967000</v>
      </c>
      <c r="G40" s="1">
        <f t="shared" si="1"/>
        <v>100.9967</v>
      </c>
      <c r="I40" s="1">
        <f>1630+89</f>
        <v>1719</v>
      </c>
      <c r="J40" s="1">
        <v>879</v>
      </c>
      <c r="K40" s="1">
        <f t="shared" si="2"/>
        <v>293</v>
      </c>
      <c r="L40" s="1">
        <v>2413</v>
      </c>
      <c r="M40" s="1">
        <f t="shared" si="3"/>
        <v>804.33333333333337</v>
      </c>
      <c r="N40" s="1">
        <v>7</v>
      </c>
      <c r="O40">
        <v>2700000</v>
      </c>
      <c r="P40">
        <f t="shared" si="4"/>
        <v>27</v>
      </c>
      <c r="Q40" s="1">
        <v>148312956</v>
      </c>
      <c r="R40">
        <f t="shared" si="5"/>
        <v>148.31295600000001</v>
      </c>
      <c r="S40">
        <v>15132436</v>
      </c>
      <c r="T40">
        <f t="shared" si="6"/>
        <v>15.132436</v>
      </c>
      <c r="U40" s="1">
        <f t="shared" si="7"/>
        <v>163.44539200000003</v>
      </c>
    </row>
    <row r="41" spans="1:21" x14ac:dyDescent="0.25">
      <c r="A41" s="1">
        <v>38</v>
      </c>
      <c r="B41" s="1" t="s">
        <v>113</v>
      </c>
      <c r="C41" s="1">
        <v>85</v>
      </c>
      <c r="D41">
        <v>103664843</v>
      </c>
      <c r="E41">
        <f t="shared" si="0"/>
        <v>10.3664843</v>
      </c>
      <c r="F41">
        <v>401368792</v>
      </c>
      <c r="G41" s="1">
        <f t="shared" si="1"/>
        <v>40.136879200000003</v>
      </c>
      <c r="I41" s="1">
        <f>128+58+108</f>
        <v>294</v>
      </c>
      <c r="J41" s="1">
        <v>526</v>
      </c>
      <c r="K41" s="1">
        <f t="shared" si="2"/>
        <v>175.33333333333334</v>
      </c>
      <c r="L41" s="1">
        <v>631</v>
      </c>
      <c r="M41" s="1">
        <f t="shared" si="3"/>
        <v>210.33333333333334</v>
      </c>
      <c r="N41" s="1">
        <v>0</v>
      </c>
      <c r="O41" s="1">
        <v>0</v>
      </c>
      <c r="P41">
        <f t="shared" si="4"/>
        <v>0</v>
      </c>
      <c r="Q41">
        <v>87832936</v>
      </c>
      <c r="R41">
        <f t="shared" si="5"/>
        <v>87.832936000000004</v>
      </c>
      <c r="S41">
        <v>9006621</v>
      </c>
      <c r="T41">
        <f t="shared" si="6"/>
        <v>9.0066210000000009</v>
      </c>
      <c r="U41" s="1">
        <f t="shared" si="7"/>
        <v>96.839556999999999</v>
      </c>
    </row>
    <row r="42" spans="1:21" x14ac:dyDescent="0.25">
      <c r="A42" s="1">
        <v>39</v>
      </c>
      <c r="B42" s="8" t="s">
        <v>114</v>
      </c>
      <c r="C42" s="1">
        <v>664</v>
      </c>
      <c r="D42">
        <v>93149875</v>
      </c>
      <c r="E42">
        <f t="shared" si="0"/>
        <v>9.3149875000000009</v>
      </c>
      <c r="F42">
        <v>1557281224</v>
      </c>
      <c r="G42" s="1">
        <f t="shared" si="1"/>
        <v>155.72812239999999</v>
      </c>
      <c r="I42" s="1">
        <f>1597+413</f>
        <v>2010</v>
      </c>
      <c r="J42" s="1">
        <v>541</v>
      </c>
      <c r="K42" s="1">
        <f t="shared" si="2"/>
        <v>180.33333333333334</v>
      </c>
      <c r="L42" s="1">
        <v>554</v>
      </c>
      <c r="M42" s="1">
        <f t="shared" si="3"/>
        <v>184.66666666666666</v>
      </c>
      <c r="N42" s="1">
        <v>4</v>
      </c>
      <c r="O42">
        <v>296065</v>
      </c>
      <c r="P42">
        <f t="shared" si="4"/>
        <v>2.9606499999999998</v>
      </c>
      <c r="Q42">
        <v>32892690</v>
      </c>
      <c r="R42">
        <f t="shared" si="5"/>
        <v>32.892690000000002</v>
      </c>
      <c r="S42">
        <v>2774473</v>
      </c>
      <c r="T42">
        <f t="shared" si="6"/>
        <v>2.774473</v>
      </c>
      <c r="U42" s="1">
        <f t="shared" si="7"/>
        <v>35.667163000000002</v>
      </c>
    </row>
    <row r="43" spans="1:21" x14ac:dyDescent="0.25">
      <c r="A43" s="1">
        <v>40</v>
      </c>
      <c r="B43" t="s">
        <v>115</v>
      </c>
      <c r="C43" s="1">
        <v>297</v>
      </c>
      <c r="D43" s="1">
        <v>65804892</v>
      </c>
      <c r="E43">
        <f t="shared" si="0"/>
        <v>6.5804891999999997</v>
      </c>
      <c r="F43">
        <v>393704018</v>
      </c>
      <c r="G43" s="1">
        <f t="shared" si="1"/>
        <v>39.370401800000003</v>
      </c>
      <c r="I43" s="1">
        <f>214+723</f>
        <v>937</v>
      </c>
      <c r="J43" s="1">
        <v>500</v>
      </c>
      <c r="K43" s="1">
        <f t="shared" si="2"/>
        <v>166.66666666666666</v>
      </c>
      <c r="L43" s="1">
        <v>674</v>
      </c>
      <c r="M43" s="1">
        <f t="shared" si="3"/>
        <v>224.66666666666666</v>
      </c>
      <c r="N43" s="1">
        <v>9</v>
      </c>
      <c r="O43" s="1">
        <v>3134092</v>
      </c>
      <c r="P43">
        <f t="shared" si="4"/>
        <v>31.340920000000001</v>
      </c>
      <c r="Q43" s="1">
        <v>96327951</v>
      </c>
      <c r="R43">
        <f t="shared" si="5"/>
        <v>96.327950999999999</v>
      </c>
      <c r="S43">
        <v>4234788</v>
      </c>
      <c r="T43">
        <f t="shared" si="6"/>
        <v>4.234788</v>
      </c>
      <c r="U43" s="1">
        <f t="shared" si="7"/>
        <v>100.56273899999999</v>
      </c>
    </row>
    <row r="44" spans="1:21" x14ac:dyDescent="0.25">
      <c r="A44" s="1">
        <v>41</v>
      </c>
      <c r="B44" s="1" t="s">
        <v>67</v>
      </c>
      <c r="C44" s="1">
        <v>437</v>
      </c>
      <c r="D44">
        <v>275376625</v>
      </c>
      <c r="E44">
        <f t="shared" si="0"/>
        <v>27.5376625</v>
      </c>
      <c r="F44">
        <v>841892992</v>
      </c>
      <c r="G44" s="1">
        <f t="shared" si="1"/>
        <v>84.189299199999994</v>
      </c>
      <c r="I44" s="1">
        <f>1463+281</f>
        <v>1744</v>
      </c>
      <c r="J44">
        <v>998</v>
      </c>
      <c r="K44" s="1">
        <f t="shared" si="2"/>
        <v>332.66666666666669</v>
      </c>
      <c r="L44" s="1">
        <v>862</v>
      </c>
      <c r="M44" s="1">
        <f t="shared" si="3"/>
        <v>287.33333333333331</v>
      </c>
      <c r="N44" s="1">
        <v>1</v>
      </c>
      <c r="O44" s="1">
        <v>0</v>
      </c>
      <c r="P44">
        <f t="shared" si="4"/>
        <v>0</v>
      </c>
      <c r="Q44">
        <v>15037045</v>
      </c>
      <c r="R44">
        <f t="shared" si="5"/>
        <v>15.037045000000001</v>
      </c>
      <c r="S44">
        <v>30835203</v>
      </c>
      <c r="T44">
        <f t="shared" si="6"/>
        <v>30.835203</v>
      </c>
      <c r="U44" s="1">
        <f t="shared" si="7"/>
        <v>45.872247999999999</v>
      </c>
    </row>
    <row r="45" spans="1:21" x14ac:dyDescent="0.25">
      <c r="A45" s="1">
        <v>42</v>
      </c>
      <c r="B45" s="1" t="s">
        <v>68</v>
      </c>
      <c r="C45" s="1">
        <v>414</v>
      </c>
      <c r="D45">
        <v>1672172566</v>
      </c>
      <c r="E45">
        <f t="shared" si="0"/>
        <v>167.21725660000001</v>
      </c>
      <c r="F45">
        <v>1847209859</v>
      </c>
      <c r="G45" s="1">
        <f t="shared" si="1"/>
        <v>184.72098589999999</v>
      </c>
      <c r="I45" s="1">
        <f>1155+638</f>
        <v>1793</v>
      </c>
      <c r="J45" s="1">
        <v>1141</v>
      </c>
      <c r="K45" s="1">
        <f t="shared" si="2"/>
        <v>380.33333333333331</v>
      </c>
      <c r="L45" s="1">
        <v>706</v>
      </c>
      <c r="M45" s="1">
        <f t="shared" si="3"/>
        <v>235.33333333333334</v>
      </c>
      <c r="N45" s="1">
        <v>0</v>
      </c>
      <c r="O45" s="1">
        <v>0</v>
      </c>
      <c r="P45">
        <f t="shared" si="4"/>
        <v>0</v>
      </c>
      <c r="Q45">
        <v>133275466</v>
      </c>
      <c r="R45">
        <f t="shared" si="5"/>
        <v>133.27546599999999</v>
      </c>
      <c r="S45">
        <v>101598107</v>
      </c>
      <c r="T45">
        <f t="shared" si="6"/>
        <v>101.598107</v>
      </c>
      <c r="U45" s="1">
        <f t="shared" si="7"/>
        <v>234.87357299999999</v>
      </c>
    </row>
    <row r="46" spans="1:21" x14ac:dyDescent="0.25">
      <c r="A46" s="1">
        <v>43</v>
      </c>
      <c r="B46" s="1" t="s">
        <v>69</v>
      </c>
      <c r="C46" s="1">
        <v>282</v>
      </c>
      <c r="D46">
        <v>81564000</v>
      </c>
      <c r="E46">
        <f t="shared" si="0"/>
        <v>8.1563999999999997</v>
      </c>
      <c r="F46">
        <v>866934000</v>
      </c>
      <c r="G46" s="1">
        <f t="shared" si="1"/>
        <v>86.693399999999997</v>
      </c>
      <c r="I46" s="1">
        <f>625+320</f>
        <v>945</v>
      </c>
      <c r="J46" s="1">
        <v>1096</v>
      </c>
      <c r="K46" s="1">
        <f t="shared" si="2"/>
        <v>365.33333333333331</v>
      </c>
      <c r="L46" s="1">
        <v>1065</v>
      </c>
      <c r="M46" s="1">
        <f t="shared" si="3"/>
        <v>355</v>
      </c>
      <c r="N46" s="1">
        <v>2</v>
      </c>
      <c r="O46" s="1">
        <v>0</v>
      </c>
      <c r="P46">
        <f t="shared" si="4"/>
        <v>0</v>
      </c>
      <c r="Q46">
        <v>10980543</v>
      </c>
      <c r="R46">
        <f t="shared" si="5"/>
        <v>10.980543000000001</v>
      </c>
      <c r="S46">
        <v>58226755</v>
      </c>
      <c r="T46">
        <f t="shared" si="6"/>
        <v>58.226754999999997</v>
      </c>
      <c r="U46" s="1">
        <f t="shared" si="7"/>
        <v>69.207297999999994</v>
      </c>
    </row>
    <row r="47" spans="1:21" x14ac:dyDescent="0.25">
      <c r="A47" s="1">
        <v>44</v>
      </c>
      <c r="B47" s="1" t="s">
        <v>70</v>
      </c>
      <c r="C47" s="1">
        <v>59</v>
      </c>
      <c r="D47">
        <v>26994794</v>
      </c>
      <c r="E47">
        <f t="shared" si="0"/>
        <v>2.6994794</v>
      </c>
      <c r="F47">
        <v>358103513</v>
      </c>
      <c r="G47" s="1">
        <f t="shared" si="1"/>
        <v>35.810351300000001</v>
      </c>
      <c r="I47" s="1">
        <v>164</v>
      </c>
      <c r="J47" s="1">
        <v>44</v>
      </c>
      <c r="K47" s="1">
        <f t="shared" si="2"/>
        <v>14.666666666666666</v>
      </c>
      <c r="L47" s="1">
        <v>30</v>
      </c>
      <c r="M47" s="1">
        <f t="shared" si="3"/>
        <v>10</v>
      </c>
      <c r="N47" s="1">
        <v>0</v>
      </c>
      <c r="O47" s="1">
        <v>0</v>
      </c>
      <c r="P47">
        <f t="shared" si="4"/>
        <v>0</v>
      </c>
      <c r="Q47">
        <v>1360221</v>
      </c>
      <c r="R47">
        <f t="shared" si="5"/>
        <v>1.3602209999999999</v>
      </c>
      <c r="S47">
        <v>4955338</v>
      </c>
      <c r="T47">
        <f t="shared" si="6"/>
        <v>4.9553380000000002</v>
      </c>
      <c r="U47" s="1">
        <f t="shared" si="7"/>
        <v>6.3155590000000004</v>
      </c>
    </row>
    <row r="48" spans="1:21" x14ac:dyDescent="0.25">
      <c r="A48" s="1">
        <v>45</v>
      </c>
      <c r="B48" s="1" t="s">
        <v>71</v>
      </c>
      <c r="C48" s="1">
        <v>253</v>
      </c>
      <c r="D48">
        <v>190450049</v>
      </c>
      <c r="E48">
        <f t="shared" si="0"/>
        <v>19.045004899999999</v>
      </c>
      <c r="F48">
        <v>755217519</v>
      </c>
      <c r="G48" s="1">
        <f t="shared" si="1"/>
        <v>75.521751899999998</v>
      </c>
      <c r="I48" s="1">
        <f>752+373</f>
        <v>1125</v>
      </c>
      <c r="J48" s="1">
        <v>897</v>
      </c>
      <c r="K48" s="1">
        <f t="shared" si="2"/>
        <v>299</v>
      </c>
      <c r="L48" s="1">
        <v>514</v>
      </c>
      <c r="M48" s="1">
        <f t="shared" si="3"/>
        <v>171.33333333333334</v>
      </c>
      <c r="N48" s="1">
        <v>4</v>
      </c>
      <c r="O48" s="1">
        <v>0</v>
      </c>
      <c r="P48">
        <f t="shared" si="4"/>
        <v>0</v>
      </c>
      <c r="Q48">
        <v>46730000</v>
      </c>
      <c r="R48">
        <f t="shared" si="5"/>
        <v>46.73</v>
      </c>
      <c r="S48">
        <v>51274007</v>
      </c>
      <c r="T48">
        <f t="shared" si="6"/>
        <v>51.274006999999997</v>
      </c>
      <c r="U48" s="1">
        <f t="shared" si="7"/>
        <v>98.004007000000001</v>
      </c>
    </row>
    <row r="49" spans="1:21" x14ac:dyDescent="0.25">
      <c r="A49" s="1">
        <v>46</v>
      </c>
      <c r="B49" s="1" t="s">
        <v>72</v>
      </c>
      <c r="C49" s="1">
        <v>1472</v>
      </c>
      <c r="D49">
        <v>462647212</v>
      </c>
      <c r="E49">
        <f t="shared" si="0"/>
        <v>46.264721199999997</v>
      </c>
      <c r="F49">
        <v>2665680590</v>
      </c>
      <c r="G49" s="1">
        <f t="shared" si="1"/>
        <v>266.56805900000001</v>
      </c>
      <c r="I49" s="1">
        <f>3810+630</f>
        <v>4440</v>
      </c>
      <c r="J49" s="1">
        <v>2217</v>
      </c>
      <c r="K49" s="1">
        <f t="shared" si="2"/>
        <v>739</v>
      </c>
      <c r="L49" s="1">
        <v>886</v>
      </c>
      <c r="M49" s="1">
        <f t="shared" si="3"/>
        <v>295.33333333333331</v>
      </c>
      <c r="N49" s="1">
        <v>15</v>
      </c>
      <c r="O49" s="1">
        <v>0</v>
      </c>
      <c r="P49">
        <f t="shared" si="4"/>
        <v>0</v>
      </c>
      <c r="Q49">
        <v>102093829</v>
      </c>
      <c r="R49">
        <f t="shared" si="5"/>
        <v>102.093829</v>
      </c>
      <c r="S49">
        <v>8206405</v>
      </c>
      <c r="T49">
        <f t="shared" si="6"/>
        <v>8.2064050000000002</v>
      </c>
      <c r="U49" s="1">
        <f t="shared" si="7"/>
        <v>110.300234</v>
      </c>
    </row>
    <row r="50" spans="1:21" x14ac:dyDescent="0.25">
      <c r="A50" s="1">
        <v>47</v>
      </c>
      <c r="B50" s="1" t="s">
        <v>73</v>
      </c>
      <c r="C50" s="1">
        <v>179</v>
      </c>
      <c r="D50">
        <v>157406568</v>
      </c>
      <c r="E50">
        <f t="shared" si="0"/>
        <v>15.7406568</v>
      </c>
      <c r="F50">
        <v>924807316</v>
      </c>
      <c r="G50" s="1">
        <f t="shared" si="1"/>
        <v>92.480731599999999</v>
      </c>
      <c r="I50" s="1">
        <f>828+416+63</f>
        <v>1307</v>
      </c>
      <c r="J50" s="1">
        <v>1118</v>
      </c>
      <c r="K50" s="1">
        <f t="shared" si="2"/>
        <v>372.66666666666669</v>
      </c>
      <c r="L50" s="1">
        <v>1053</v>
      </c>
      <c r="M50" s="1">
        <f t="shared" si="3"/>
        <v>351</v>
      </c>
      <c r="N50" s="1">
        <v>0</v>
      </c>
      <c r="O50" s="1">
        <v>0</v>
      </c>
      <c r="P50">
        <f t="shared" si="4"/>
        <v>0</v>
      </c>
      <c r="Q50">
        <v>33426408</v>
      </c>
      <c r="R50">
        <f t="shared" si="5"/>
        <v>33.426408000000002</v>
      </c>
      <c r="S50">
        <v>5201743</v>
      </c>
      <c r="T50">
        <f t="shared" si="6"/>
        <v>5.2017429999999996</v>
      </c>
      <c r="U50" s="1">
        <f t="shared" si="7"/>
        <v>38.628151000000003</v>
      </c>
    </row>
    <row r="51" spans="1:21" x14ac:dyDescent="0.25">
      <c r="A51" s="1">
        <v>48</v>
      </c>
      <c r="B51" s="1" t="s">
        <v>74</v>
      </c>
      <c r="C51" s="1">
        <v>215</v>
      </c>
      <c r="D51">
        <v>26669992</v>
      </c>
      <c r="E51">
        <f t="shared" si="0"/>
        <v>2.6669991999999998</v>
      </c>
      <c r="F51">
        <v>941576422</v>
      </c>
      <c r="G51" s="1">
        <f t="shared" si="1"/>
        <v>94.157642199999998</v>
      </c>
      <c r="I51" s="1">
        <f>809+388+87</f>
        <v>1284</v>
      </c>
      <c r="J51" s="1">
        <v>799</v>
      </c>
      <c r="K51" s="1">
        <f t="shared" si="2"/>
        <v>266.33333333333331</v>
      </c>
      <c r="L51" s="1">
        <v>743</v>
      </c>
      <c r="M51" s="1">
        <f t="shared" si="3"/>
        <v>247.66666666666666</v>
      </c>
      <c r="N51">
        <v>8</v>
      </c>
      <c r="O51" s="1">
        <v>0</v>
      </c>
      <c r="P51">
        <f t="shared" si="4"/>
        <v>0</v>
      </c>
      <c r="Q51">
        <v>37071860</v>
      </c>
      <c r="R51">
        <f t="shared" si="5"/>
        <v>37.071860000000001</v>
      </c>
      <c r="S51">
        <v>19223641</v>
      </c>
      <c r="T51">
        <f t="shared" si="6"/>
        <v>19.223641000000001</v>
      </c>
      <c r="U51" s="1">
        <f t="shared" si="7"/>
        <v>56.295501000000002</v>
      </c>
    </row>
    <row r="52" spans="1:21" x14ac:dyDescent="0.25">
      <c r="A52" s="1">
        <v>49</v>
      </c>
      <c r="B52" s="1" t="s">
        <v>62</v>
      </c>
      <c r="C52" s="1">
        <v>1094</v>
      </c>
      <c r="D52">
        <v>360319339</v>
      </c>
      <c r="E52">
        <f t="shared" si="0"/>
        <v>36.031933899999999</v>
      </c>
      <c r="F52">
        <v>1161893427</v>
      </c>
      <c r="G52" s="1">
        <f t="shared" si="1"/>
        <v>116.1893427</v>
      </c>
      <c r="I52" s="1">
        <f>1867+151</f>
        <v>2018</v>
      </c>
      <c r="J52" s="1">
        <v>1137</v>
      </c>
      <c r="K52" s="1">
        <f t="shared" si="2"/>
        <v>379</v>
      </c>
      <c r="L52" s="1">
        <v>300</v>
      </c>
      <c r="M52" s="1">
        <f t="shared" si="3"/>
        <v>100</v>
      </c>
      <c r="N52" s="1">
        <v>7</v>
      </c>
      <c r="O52" s="1">
        <v>0</v>
      </c>
      <c r="P52">
        <f t="shared" si="4"/>
        <v>0</v>
      </c>
      <c r="Q52">
        <v>54712241</v>
      </c>
      <c r="R52">
        <f t="shared" si="5"/>
        <v>54.712240999999999</v>
      </c>
      <c r="S52">
        <v>17117134</v>
      </c>
      <c r="T52">
        <f t="shared" si="6"/>
        <v>17.117134</v>
      </c>
      <c r="U52" s="1">
        <f t="shared" si="7"/>
        <v>71.829374999999999</v>
      </c>
    </row>
    <row r="53" spans="1:21" x14ac:dyDescent="0.25">
      <c r="A53" s="1">
        <v>50</v>
      </c>
      <c r="B53" s="1" t="s">
        <v>75</v>
      </c>
      <c r="C53" s="1">
        <v>310</v>
      </c>
      <c r="D53">
        <v>177177986</v>
      </c>
      <c r="E53">
        <f t="shared" si="0"/>
        <v>17.717798599999998</v>
      </c>
      <c r="F53">
        <v>841454733</v>
      </c>
      <c r="G53" s="1">
        <f t="shared" si="1"/>
        <v>84.145473300000006</v>
      </c>
      <c r="I53" s="1">
        <f>802+331</f>
        <v>1133</v>
      </c>
      <c r="J53" s="1">
        <v>684</v>
      </c>
      <c r="K53" s="1">
        <f t="shared" si="2"/>
        <v>228</v>
      </c>
      <c r="L53" s="1">
        <v>742</v>
      </c>
      <c r="M53" s="1">
        <f t="shared" si="3"/>
        <v>247.33333333333334</v>
      </c>
      <c r="N53" s="1">
        <v>3</v>
      </c>
      <c r="O53" s="1">
        <v>0</v>
      </c>
      <c r="P53">
        <f t="shared" si="4"/>
        <v>0</v>
      </c>
      <c r="Q53">
        <v>27966398</v>
      </c>
      <c r="R53">
        <f t="shared" si="5"/>
        <v>27.966398000000002</v>
      </c>
      <c r="S53">
        <v>5969213</v>
      </c>
      <c r="T53">
        <f t="shared" si="6"/>
        <v>5.9692129999999999</v>
      </c>
      <c r="U53" s="1">
        <f t="shared" si="7"/>
        <v>33.935611000000002</v>
      </c>
    </row>
  </sheetData>
  <sheetProtection selectLockedCells="1" selectUnlockedCells="1"/>
  <mergeCells count="6">
    <mergeCell ref="B1:B3"/>
    <mergeCell ref="A1:A3"/>
    <mergeCell ref="C1:G1"/>
    <mergeCell ref="D2:G2"/>
    <mergeCell ref="J2:U2"/>
    <mergeCell ref="I1:U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54" workbookViewId="0">
      <selection activeCell="E24" sqref="E24:E73"/>
    </sheetView>
  </sheetViews>
  <sheetFormatPr defaultRowHeight="12.75" x14ac:dyDescent="0.2"/>
  <sheetData>
    <row r="1" spans="1:9" x14ac:dyDescent="0.2">
      <c r="A1" t="s">
        <v>126</v>
      </c>
    </row>
    <row r="2" spans="1:9" ht="13.5" thickBot="1" x14ac:dyDescent="0.25"/>
    <row r="3" spans="1:9" x14ac:dyDescent="0.2">
      <c r="A3" s="16" t="s">
        <v>127</v>
      </c>
      <c r="B3" s="16"/>
    </row>
    <row r="4" spans="1:9" x14ac:dyDescent="0.2">
      <c r="A4" s="13" t="s">
        <v>128</v>
      </c>
      <c r="B4" s="13">
        <v>0.60869393613226175</v>
      </c>
    </row>
    <row r="5" spans="1:9" x14ac:dyDescent="0.2">
      <c r="A5" s="13" t="s">
        <v>129</v>
      </c>
      <c r="B5" s="13">
        <v>0.37050830788418593</v>
      </c>
    </row>
    <row r="6" spans="1:9" x14ac:dyDescent="0.2">
      <c r="A6" s="13" t="s">
        <v>130</v>
      </c>
      <c r="B6" s="13">
        <v>0.35739389763177315</v>
      </c>
    </row>
    <row r="7" spans="1:9" x14ac:dyDescent="0.2">
      <c r="A7" s="13" t="s">
        <v>131</v>
      </c>
      <c r="B7" s="13">
        <v>968.79940186726947</v>
      </c>
    </row>
    <row r="8" spans="1:9" ht="13.5" thickBot="1" x14ac:dyDescent="0.25">
      <c r="A8" s="14" t="s">
        <v>132</v>
      </c>
      <c r="B8" s="14">
        <v>50</v>
      </c>
    </row>
    <row r="10" spans="1:9" ht="13.5" thickBot="1" x14ac:dyDescent="0.25">
      <c r="A10" t="s">
        <v>133</v>
      </c>
    </row>
    <row r="11" spans="1:9" x14ac:dyDescent="0.2">
      <c r="A11" s="15"/>
      <c r="B11" s="15" t="s">
        <v>137</v>
      </c>
      <c r="C11" s="15" t="s">
        <v>138</v>
      </c>
      <c r="D11" s="15" t="s">
        <v>139</v>
      </c>
      <c r="E11" s="15" t="s">
        <v>140</v>
      </c>
      <c r="F11" s="15" t="s">
        <v>141</v>
      </c>
    </row>
    <row r="12" spans="1:9" x14ac:dyDescent="0.2">
      <c r="A12" s="13" t="s">
        <v>134</v>
      </c>
      <c r="B12" s="13">
        <v>1</v>
      </c>
      <c r="C12" s="13">
        <v>26516543.328203544</v>
      </c>
      <c r="D12" s="13">
        <v>26516543.328203544</v>
      </c>
      <c r="E12" s="13">
        <v>28.251999194246626</v>
      </c>
      <c r="F12" s="13">
        <v>2.7334093189521214E-6</v>
      </c>
    </row>
    <row r="13" spans="1:9" x14ac:dyDescent="0.2">
      <c r="A13" s="13" t="s">
        <v>135</v>
      </c>
      <c r="B13" s="13">
        <v>48</v>
      </c>
      <c r="C13" s="13">
        <v>45051469.490802199</v>
      </c>
      <c r="D13" s="13">
        <v>938572.2810583791</v>
      </c>
      <c r="E13" s="13"/>
      <c r="F13" s="13"/>
    </row>
    <row r="14" spans="1:9" ht="13.5" thickBot="1" x14ac:dyDescent="0.25">
      <c r="A14" s="14" t="s">
        <v>7</v>
      </c>
      <c r="B14" s="14">
        <v>49</v>
      </c>
      <c r="C14" s="14">
        <v>71568012.819005743</v>
      </c>
      <c r="D14" s="14"/>
      <c r="E14" s="14"/>
      <c r="F14" s="14"/>
    </row>
    <row r="15" spans="1:9" ht="13.5" thickBot="1" x14ac:dyDescent="0.25"/>
    <row r="16" spans="1:9" x14ac:dyDescent="0.2">
      <c r="A16" s="15"/>
      <c r="B16" s="15" t="s">
        <v>142</v>
      </c>
      <c r="C16" s="15" t="s">
        <v>131</v>
      </c>
      <c r="D16" s="15" t="s">
        <v>143</v>
      </c>
      <c r="E16" s="15" t="s">
        <v>144</v>
      </c>
      <c r="F16" s="15" t="s">
        <v>145</v>
      </c>
      <c r="G16" s="15" t="s">
        <v>146</v>
      </c>
      <c r="H16" s="15" t="s">
        <v>147</v>
      </c>
      <c r="I16" s="15" t="s">
        <v>148</v>
      </c>
    </row>
    <row r="17" spans="1:9" x14ac:dyDescent="0.2">
      <c r="A17" s="13" t="s">
        <v>136</v>
      </c>
      <c r="B17" s="13">
        <v>511.08666654664103</v>
      </c>
      <c r="C17" s="13">
        <v>216.4813680647388</v>
      </c>
      <c r="D17" s="13">
        <v>2.3608806204227264</v>
      </c>
      <c r="E17" s="13">
        <v>2.2340590906586223E-2</v>
      </c>
      <c r="F17" s="13">
        <v>75.821703537633027</v>
      </c>
      <c r="G17" s="13">
        <v>946.3516295556492</v>
      </c>
      <c r="H17" s="13">
        <v>75.821703537633027</v>
      </c>
      <c r="I17" s="13">
        <v>946.3516295556492</v>
      </c>
    </row>
    <row r="18" spans="1:9" ht="13.5" thickBot="1" x14ac:dyDescent="0.25">
      <c r="A18" s="14" t="s">
        <v>160</v>
      </c>
      <c r="B18" s="14">
        <v>2.202217198184008</v>
      </c>
      <c r="C18" s="14">
        <v>0.41431967499382782</v>
      </c>
      <c r="D18" s="14">
        <v>5.3152609714149222</v>
      </c>
      <c r="E18" s="14">
        <v>2.7334093189520469E-6</v>
      </c>
      <c r="F18" s="14">
        <v>1.3691716588738427</v>
      </c>
      <c r="G18" s="14">
        <v>3.0352627374941732</v>
      </c>
      <c r="H18" s="14">
        <v>1.3691716588738427</v>
      </c>
      <c r="I18" s="14">
        <v>3.0352627374941732</v>
      </c>
    </row>
    <row r="21" spans="1:9" x14ac:dyDescent="0.2">
      <c r="A21" t="s">
        <v>149</v>
      </c>
    </row>
    <row r="22" spans="1:9" ht="13.5" thickBot="1" x14ac:dyDescent="0.25"/>
    <row r="23" spans="1:9" x14ac:dyDescent="0.2">
      <c r="A23" s="15" t="s">
        <v>150</v>
      </c>
      <c r="B23" s="15" t="s">
        <v>152</v>
      </c>
      <c r="E23" s="17" t="s">
        <v>161</v>
      </c>
      <c r="G23" s="17" t="s">
        <v>155</v>
      </c>
    </row>
    <row r="24" spans="1:9" x14ac:dyDescent="0.2">
      <c r="A24">
        <v>1</v>
      </c>
      <c r="B24">
        <v>3959.4502651556663</v>
      </c>
      <c r="E24">
        <v>4470.5369317023069</v>
      </c>
      <c r="G24">
        <v>4470.5370519999997</v>
      </c>
    </row>
    <row r="25" spans="1:9" x14ac:dyDescent="0.2">
      <c r="A25">
        <v>2</v>
      </c>
      <c r="B25">
        <v>2549.216487812203</v>
      </c>
      <c r="E25">
        <v>3060.303154358844</v>
      </c>
      <c r="G25">
        <v>3060.3032590000003</v>
      </c>
    </row>
    <row r="26" spans="1:9" x14ac:dyDescent="0.2">
      <c r="A26">
        <v>3</v>
      </c>
      <c r="B26">
        <v>2022.9528611268511</v>
      </c>
      <c r="E26">
        <v>2534.0395276734921</v>
      </c>
      <c r="G26">
        <v>2534.0396229999997</v>
      </c>
    </row>
    <row r="27" spans="1:9" x14ac:dyDescent="0.2">
      <c r="A27">
        <v>4</v>
      </c>
      <c r="B27">
        <v>1653.3214498228579</v>
      </c>
      <c r="E27">
        <v>2164.4081163694991</v>
      </c>
      <c r="G27">
        <v>2164.4082440000002</v>
      </c>
    </row>
    <row r="28" spans="1:9" x14ac:dyDescent="0.2">
      <c r="A28">
        <v>5</v>
      </c>
      <c r="B28">
        <v>260.28654461244378</v>
      </c>
      <c r="E28">
        <v>771.3732111590848</v>
      </c>
      <c r="G28">
        <v>771.3732940000001</v>
      </c>
    </row>
    <row r="29" spans="1:9" x14ac:dyDescent="0.2">
      <c r="A29">
        <v>6</v>
      </c>
      <c r="B29">
        <v>118.43195862152356</v>
      </c>
      <c r="E29">
        <v>629.51862516816459</v>
      </c>
      <c r="G29">
        <v>629.51870899999983</v>
      </c>
    </row>
    <row r="30" spans="1:9" x14ac:dyDescent="0.2">
      <c r="A30">
        <v>7</v>
      </c>
      <c r="B30">
        <v>404.33897098157183</v>
      </c>
      <c r="E30">
        <v>915.42563752821286</v>
      </c>
      <c r="G30">
        <v>915.42571700000008</v>
      </c>
    </row>
    <row r="31" spans="1:9" x14ac:dyDescent="0.2">
      <c r="A31">
        <v>8</v>
      </c>
      <c r="B31">
        <v>-630.33415750680024</v>
      </c>
      <c r="E31">
        <v>-119.24749096015921</v>
      </c>
      <c r="G31">
        <v>-119.24731200000019</v>
      </c>
    </row>
    <row r="32" spans="1:9" x14ac:dyDescent="0.2">
      <c r="A32">
        <v>9</v>
      </c>
      <c r="B32">
        <v>-80.171877814314541</v>
      </c>
      <c r="E32">
        <v>430.91478873232649</v>
      </c>
      <c r="G32">
        <v>430.91482499999995</v>
      </c>
    </row>
    <row r="33" spans="1:7" x14ac:dyDescent="0.2">
      <c r="A33">
        <v>10</v>
      </c>
      <c r="B33">
        <v>-358.05309053598592</v>
      </c>
      <c r="E33">
        <v>153.03357601065511</v>
      </c>
      <c r="G33">
        <v>153.03359899999998</v>
      </c>
    </row>
    <row r="34" spans="1:7" x14ac:dyDescent="0.2">
      <c r="A34">
        <v>11</v>
      </c>
      <c r="B34">
        <v>-10.68569611830776</v>
      </c>
      <c r="E34">
        <v>500.40097042833327</v>
      </c>
      <c r="G34">
        <v>500.40103899999997</v>
      </c>
    </row>
    <row r="35" spans="1:7" x14ac:dyDescent="0.2">
      <c r="A35">
        <v>12</v>
      </c>
      <c r="B35">
        <v>-328.52276856007563</v>
      </c>
      <c r="E35">
        <v>182.56389798656539</v>
      </c>
      <c r="G35">
        <v>182.56396199999995</v>
      </c>
    </row>
    <row r="36" spans="1:7" x14ac:dyDescent="0.2">
      <c r="A36">
        <v>13</v>
      </c>
      <c r="B36">
        <v>739.58135107079625</v>
      </c>
      <c r="E36">
        <v>1250.6680176174373</v>
      </c>
      <c r="G36">
        <v>1250.668085</v>
      </c>
    </row>
    <row r="37" spans="1:7" x14ac:dyDescent="0.2">
      <c r="A37">
        <v>14</v>
      </c>
      <c r="B37">
        <v>-159.67278653598592</v>
      </c>
      <c r="E37">
        <v>351.41388001065513</v>
      </c>
      <c r="G37">
        <v>351.413903</v>
      </c>
    </row>
    <row r="38" spans="1:7" x14ac:dyDescent="0.2">
      <c r="A38">
        <v>15</v>
      </c>
      <c r="B38">
        <v>184.06715819634053</v>
      </c>
      <c r="E38">
        <v>695.15382474298156</v>
      </c>
      <c r="G38">
        <v>695.15388399999995</v>
      </c>
    </row>
    <row r="39" spans="1:7" x14ac:dyDescent="0.2">
      <c r="A39">
        <v>16</v>
      </c>
      <c r="B39">
        <v>684.42099544974553</v>
      </c>
      <c r="E39">
        <v>1195.5076619963866</v>
      </c>
      <c r="G39">
        <v>1195.5079889999997</v>
      </c>
    </row>
    <row r="40" spans="1:7" x14ac:dyDescent="0.2">
      <c r="A40">
        <v>17</v>
      </c>
      <c r="B40">
        <v>1578.9897377486432</v>
      </c>
      <c r="E40">
        <v>2090.0764042952842</v>
      </c>
      <c r="G40">
        <v>2090.0765019999999</v>
      </c>
    </row>
    <row r="41" spans="1:7" x14ac:dyDescent="0.2">
      <c r="A41">
        <v>18</v>
      </c>
      <c r="B41">
        <v>-271.16223711237808</v>
      </c>
      <c r="E41">
        <v>239.92442943426295</v>
      </c>
      <c r="G41">
        <v>239.92445499999997</v>
      </c>
    </row>
    <row r="42" spans="1:7" x14ac:dyDescent="0.2">
      <c r="A42">
        <v>19</v>
      </c>
      <c r="B42">
        <v>563.56959982721241</v>
      </c>
      <c r="E42">
        <v>1074.6562663738534</v>
      </c>
      <c r="G42">
        <v>1074.6563289999999</v>
      </c>
    </row>
    <row r="43" spans="1:7" x14ac:dyDescent="0.2">
      <c r="A43">
        <v>20</v>
      </c>
      <c r="B43">
        <v>-258.60110254034055</v>
      </c>
      <c r="E43">
        <v>252.48556400630048</v>
      </c>
      <c r="G43">
        <v>252.48565199999996</v>
      </c>
    </row>
    <row r="44" spans="1:7" x14ac:dyDescent="0.2">
      <c r="A44">
        <v>21</v>
      </c>
      <c r="B44">
        <v>-298.86126039821147</v>
      </c>
      <c r="E44">
        <v>212.22540614842956</v>
      </c>
      <c r="G44">
        <v>212.22546599999998</v>
      </c>
    </row>
    <row r="45" spans="1:7" x14ac:dyDescent="0.2">
      <c r="A45">
        <v>22</v>
      </c>
      <c r="B45">
        <v>-459.85791733780195</v>
      </c>
      <c r="E45">
        <v>51.228749208839076</v>
      </c>
      <c r="G45">
        <v>51.228771999999964</v>
      </c>
    </row>
    <row r="46" spans="1:7" x14ac:dyDescent="0.2">
      <c r="A46">
        <v>23</v>
      </c>
      <c r="B46">
        <v>-118.64688856322587</v>
      </c>
      <c r="E46">
        <v>392.43977798341518</v>
      </c>
      <c r="G46">
        <v>392.43979799999994</v>
      </c>
    </row>
    <row r="47" spans="1:7" x14ac:dyDescent="0.2">
      <c r="A47">
        <v>24</v>
      </c>
      <c r="B47">
        <v>-387.65995534688187</v>
      </c>
      <c r="E47">
        <v>123.42671119975915</v>
      </c>
      <c r="G47">
        <v>123.42673300000001</v>
      </c>
    </row>
    <row r="48" spans="1:7" x14ac:dyDescent="0.2">
      <c r="A48">
        <v>25</v>
      </c>
      <c r="B48">
        <v>392.04766421450051</v>
      </c>
      <c r="E48">
        <v>903.13433076114154</v>
      </c>
      <c r="G48">
        <v>903.13439200000005</v>
      </c>
    </row>
    <row r="49" spans="1:7" x14ac:dyDescent="0.2">
      <c r="A49">
        <v>26</v>
      </c>
      <c r="B49">
        <v>-294.1659026327153</v>
      </c>
      <c r="E49">
        <v>216.92076391392573</v>
      </c>
      <c r="G49">
        <v>216.92081999999994</v>
      </c>
    </row>
    <row r="50" spans="1:7" x14ac:dyDescent="0.2">
      <c r="A50">
        <v>27</v>
      </c>
      <c r="B50">
        <v>52.937998373214441</v>
      </c>
      <c r="E50">
        <v>564.02466491985547</v>
      </c>
      <c r="G50">
        <v>564.02467799999999</v>
      </c>
    </row>
    <row r="51" spans="1:7" x14ac:dyDescent="0.2">
      <c r="A51">
        <v>28</v>
      </c>
      <c r="B51">
        <v>-387.56448255414591</v>
      </c>
      <c r="E51">
        <v>123.52218399249512</v>
      </c>
      <c r="G51">
        <v>123.52220499999999</v>
      </c>
    </row>
    <row r="52" spans="1:7" x14ac:dyDescent="0.2">
      <c r="A52">
        <v>29</v>
      </c>
      <c r="B52">
        <v>-825.31469559324512</v>
      </c>
      <c r="E52">
        <v>-314.22802904660409</v>
      </c>
      <c r="G52">
        <v>-314.22792500000003</v>
      </c>
    </row>
    <row r="53" spans="1:7" x14ac:dyDescent="0.2">
      <c r="A53">
        <v>30</v>
      </c>
      <c r="B53">
        <v>-144.29144388537895</v>
      </c>
      <c r="E53">
        <v>366.79522266126207</v>
      </c>
      <c r="G53">
        <v>366.79527300000007</v>
      </c>
    </row>
    <row r="54" spans="1:7" x14ac:dyDescent="0.2">
      <c r="A54">
        <v>31</v>
      </c>
      <c r="B54">
        <v>-214.69949092169884</v>
      </c>
      <c r="E54">
        <v>296.38717562494219</v>
      </c>
      <c r="G54">
        <v>296.38722199999995</v>
      </c>
    </row>
    <row r="55" spans="1:7" x14ac:dyDescent="0.2">
      <c r="A55">
        <v>32</v>
      </c>
      <c r="B55">
        <v>-478.42402876140983</v>
      </c>
      <c r="E55">
        <v>32.662637785231198</v>
      </c>
      <c r="G55">
        <v>32.662657999999993</v>
      </c>
    </row>
    <row r="56" spans="1:7" x14ac:dyDescent="0.2">
      <c r="A56">
        <v>33</v>
      </c>
      <c r="B56">
        <v>-1029.1555743934859</v>
      </c>
      <c r="E56">
        <v>-518.06890784684492</v>
      </c>
      <c r="G56">
        <v>-518.06878200000006</v>
      </c>
    </row>
    <row r="57" spans="1:7" x14ac:dyDescent="0.2">
      <c r="A57">
        <v>34</v>
      </c>
      <c r="B57">
        <v>-805.99757782144843</v>
      </c>
      <c r="E57">
        <v>-294.9109112748074</v>
      </c>
      <c r="G57">
        <v>-294.91072299999996</v>
      </c>
    </row>
    <row r="58" spans="1:7" x14ac:dyDescent="0.2">
      <c r="A58">
        <v>35</v>
      </c>
      <c r="B58">
        <v>-493.45658455257075</v>
      </c>
      <c r="E58">
        <v>17.630081994070281</v>
      </c>
      <c r="G58">
        <v>17.630124999999964</v>
      </c>
    </row>
    <row r="59" spans="1:7" x14ac:dyDescent="0.2">
      <c r="A59">
        <v>36</v>
      </c>
      <c r="B59">
        <v>-258.81306665087527</v>
      </c>
      <c r="E59">
        <v>252.27359989576576</v>
      </c>
      <c r="G59">
        <v>252.27365399999996</v>
      </c>
    </row>
    <row r="60" spans="1:7" x14ac:dyDescent="0.2">
      <c r="A60">
        <v>37</v>
      </c>
      <c r="B60">
        <v>-1095.5249180318629</v>
      </c>
      <c r="E60">
        <v>-584.43825148522183</v>
      </c>
      <c r="G60">
        <v>-584.43810800000017</v>
      </c>
    </row>
    <row r="61" spans="1:7" x14ac:dyDescent="0.2">
      <c r="A61">
        <v>38</v>
      </c>
      <c r="B61">
        <v>-296.90633639228173</v>
      </c>
      <c r="E61">
        <v>214.1803301543593</v>
      </c>
      <c r="G61">
        <v>214.18034699999998</v>
      </c>
    </row>
    <row r="62" spans="1:7" x14ac:dyDescent="0.2">
      <c r="A62">
        <v>39</v>
      </c>
      <c r="B62">
        <v>-416.07766214082221</v>
      </c>
      <c r="E62">
        <v>95.009004405818814</v>
      </c>
      <c r="G62">
        <v>95.009135999999899</v>
      </c>
    </row>
    <row r="63" spans="1:7" x14ac:dyDescent="0.2">
      <c r="A63">
        <v>40</v>
      </c>
      <c r="B63">
        <v>-771.44115640729137</v>
      </c>
      <c r="E63">
        <v>-260.35448986065035</v>
      </c>
      <c r="G63">
        <v>-260.35443099999998</v>
      </c>
    </row>
    <row r="64" spans="1:7" x14ac:dyDescent="0.2">
      <c r="A64">
        <v>41</v>
      </c>
      <c r="B64">
        <v>-631.5625901530525</v>
      </c>
      <c r="E64">
        <v>-120.47592360641147</v>
      </c>
      <c r="G64">
        <v>-120.47583699999996</v>
      </c>
    </row>
    <row r="65" spans="1:7" x14ac:dyDescent="0.2">
      <c r="A65">
        <v>42</v>
      </c>
      <c r="B65">
        <v>424.40527240517974</v>
      </c>
      <c r="E65">
        <v>935.49193895182077</v>
      </c>
      <c r="G65">
        <v>935.49202100000002</v>
      </c>
    </row>
    <row r="66" spans="1:7" x14ac:dyDescent="0.2">
      <c r="A66">
        <v>43</v>
      </c>
      <c r="B66">
        <v>-265.17791643453131</v>
      </c>
      <c r="E66">
        <v>245.90875011210971</v>
      </c>
      <c r="G66">
        <v>245.90880599999991</v>
      </c>
    </row>
    <row r="67" spans="1:7" x14ac:dyDescent="0.2">
      <c r="A67">
        <v>44</v>
      </c>
      <c r="B67">
        <v>-282.91396823949748</v>
      </c>
      <c r="E67">
        <v>228.17269830714355</v>
      </c>
      <c r="G67">
        <v>228.17271000000002</v>
      </c>
    </row>
    <row r="68" spans="1:7" x14ac:dyDescent="0.2">
      <c r="A68">
        <v>45</v>
      </c>
      <c r="B68">
        <v>-313.03009868719505</v>
      </c>
      <c r="E68">
        <v>198.05656785944598</v>
      </c>
      <c r="G68">
        <v>198.05661800000007</v>
      </c>
    </row>
    <row r="69" spans="1:7" x14ac:dyDescent="0.2">
      <c r="A69">
        <v>46</v>
      </c>
      <c r="B69">
        <v>-1087.0697922735008</v>
      </c>
      <c r="E69">
        <v>-575.98312572685973</v>
      </c>
      <c r="G69">
        <v>-575.98283400000037</v>
      </c>
    </row>
    <row r="70" spans="1:7" x14ac:dyDescent="0.2">
      <c r="A70">
        <v>47</v>
      </c>
      <c r="B70">
        <v>19.523770978421567</v>
      </c>
      <c r="E70">
        <v>530.61043752506259</v>
      </c>
      <c r="G70">
        <v>530.61047299999996</v>
      </c>
    </row>
    <row r="71" spans="1:7" x14ac:dyDescent="0.2">
      <c r="A71">
        <v>48</v>
      </c>
      <c r="B71">
        <v>-42.986942156202758</v>
      </c>
      <c r="E71">
        <v>468.09972439043827</v>
      </c>
      <c r="G71">
        <v>468.09976699999999</v>
      </c>
    </row>
    <row r="72" spans="1:7" x14ac:dyDescent="0.2">
      <c r="A72">
        <v>49</v>
      </c>
      <c r="B72">
        <v>-1758.4188543599457</v>
      </c>
      <c r="E72">
        <v>-1247.3321878133047</v>
      </c>
      <c r="G72">
        <v>-1247.3319710000001</v>
      </c>
    </row>
    <row r="73" spans="1:7" x14ac:dyDescent="0.2">
      <c r="A73">
        <v>50</v>
      </c>
      <c r="B73">
        <v>-352.31926498368341</v>
      </c>
      <c r="E73">
        <v>158.76740156295762</v>
      </c>
      <c r="G73">
        <v>158.76746300000002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pane ySplit="3" topLeftCell="A4" activePane="bottomLeft" state="frozen"/>
      <selection activeCell="C1" sqref="C1"/>
      <selection pane="bottomLeft" activeCell="M14" sqref="M14"/>
    </sheetView>
  </sheetViews>
  <sheetFormatPr defaultColWidth="11.5703125" defaultRowHeight="12.75" x14ac:dyDescent="0.2"/>
  <cols>
    <col min="2" max="2" width="32.28515625" bestFit="1" customWidth="1"/>
    <col min="3" max="3" width="14.7109375" customWidth="1"/>
    <col min="5" max="5" width="19.42578125" bestFit="1" customWidth="1"/>
    <col min="6" max="6" width="12.5703125" customWidth="1"/>
    <col min="7" max="7" width="24" bestFit="1" customWidth="1"/>
    <col min="9" max="11" width="20.28515625" customWidth="1"/>
    <col min="12" max="13" width="18.85546875" customWidth="1"/>
    <col min="14" max="14" width="19.28515625" customWidth="1"/>
    <col min="15" max="15" width="29.42578125" bestFit="1" customWidth="1"/>
    <col min="16" max="16" width="12.140625" customWidth="1"/>
    <col min="17" max="17" width="22.140625" bestFit="1" customWidth="1"/>
    <col min="18" max="18" width="24.42578125" bestFit="1" customWidth="1"/>
  </cols>
  <sheetData>
    <row r="1" spans="1:18" ht="15" x14ac:dyDescent="0.25">
      <c r="A1" s="23" t="s">
        <v>76</v>
      </c>
      <c r="B1" s="18" t="s">
        <v>0</v>
      </c>
      <c r="C1" s="20" t="s">
        <v>1</v>
      </c>
      <c r="D1" s="20"/>
      <c r="E1" s="20"/>
      <c r="F1" s="20"/>
      <c r="G1" s="9"/>
      <c r="H1" s="2"/>
      <c r="I1" s="20" t="s">
        <v>2</v>
      </c>
      <c r="J1" s="20"/>
      <c r="K1" s="20"/>
      <c r="L1" s="20"/>
      <c r="M1" s="20"/>
      <c r="N1" s="20"/>
      <c r="O1" s="20"/>
      <c r="P1" s="20"/>
      <c r="Q1" s="20"/>
      <c r="R1" s="20"/>
    </row>
    <row r="2" spans="1:18" ht="15" x14ac:dyDescent="0.25">
      <c r="A2" s="23"/>
      <c r="B2" s="18"/>
      <c r="C2" s="3" t="s">
        <v>3</v>
      </c>
      <c r="D2" s="21" t="s">
        <v>4</v>
      </c>
      <c r="E2" s="21"/>
      <c r="F2" s="21"/>
      <c r="G2" s="10"/>
      <c r="H2" s="2"/>
      <c r="I2" s="3" t="s">
        <v>5</v>
      </c>
      <c r="J2" s="22" t="s">
        <v>6</v>
      </c>
      <c r="K2" s="22"/>
      <c r="L2" s="22"/>
      <c r="M2" s="22"/>
      <c r="N2" s="22"/>
      <c r="O2" s="22"/>
      <c r="P2" s="22"/>
      <c r="Q2" s="22"/>
      <c r="R2" s="22"/>
    </row>
    <row r="3" spans="1:18" ht="15" x14ac:dyDescent="0.25">
      <c r="A3" s="23"/>
      <c r="B3" s="18"/>
      <c r="C3" s="4" t="s">
        <v>7</v>
      </c>
      <c r="D3" s="5" t="s">
        <v>8</v>
      </c>
      <c r="E3" s="5" t="s">
        <v>122</v>
      </c>
      <c r="F3" s="5" t="s">
        <v>9</v>
      </c>
      <c r="G3" s="5" t="s">
        <v>123</v>
      </c>
      <c r="H3" s="1"/>
      <c r="I3" s="4" t="s">
        <v>15</v>
      </c>
      <c r="J3" s="5" t="s">
        <v>10</v>
      </c>
      <c r="K3" s="5" t="s">
        <v>156</v>
      </c>
      <c r="L3" s="5" t="s">
        <v>16</v>
      </c>
      <c r="M3" s="5" t="s">
        <v>157</v>
      </c>
      <c r="N3" s="5" t="s">
        <v>13</v>
      </c>
      <c r="O3" s="5" t="s">
        <v>125</v>
      </c>
      <c r="P3" s="5" t="s">
        <v>14</v>
      </c>
      <c r="Q3" s="5" t="s">
        <v>121</v>
      </c>
      <c r="R3" s="5" t="s">
        <v>124</v>
      </c>
    </row>
    <row r="4" spans="1:18" x14ac:dyDescent="0.2">
      <c r="A4">
        <v>1</v>
      </c>
      <c r="B4" t="s">
        <v>17</v>
      </c>
      <c r="C4">
        <v>128</v>
      </c>
      <c r="D4">
        <v>40759031</v>
      </c>
      <c r="E4">
        <f>D4/1000000</f>
        <v>40.759031</v>
      </c>
      <c r="F4">
        <v>2318403134</v>
      </c>
      <c r="G4">
        <f>F4/1000000</f>
        <v>2318.4031340000001</v>
      </c>
      <c r="I4" s="6">
        <v>436</v>
      </c>
      <c r="J4">
        <v>149</v>
      </c>
      <c r="K4">
        <f>J4/3</f>
        <v>49.666666666666664</v>
      </c>
      <c r="L4">
        <v>68</v>
      </c>
      <c r="M4">
        <f>L4/3</f>
        <v>22.666666666666668</v>
      </c>
      <c r="N4">
        <v>19480859</v>
      </c>
      <c r="O4">
        <f>N4/1000000</f>
        <v>19.480858999999999</v>
      </c>
      <c r="P4">
        <v>476137252</v>
      </c>
      <c r="Q4">
        <f>P4/1000000</f>
        <v>476.13725199999999</v>
      </c>
      <c r="R4">
        <f>Q4+O4</f>
        <v>495.618111</v>
      </c>
    </row>
    <row r="5" spans="1:18" x14ac:dyDescent="0.2">
      <c r="A5">
        <v>2</v>
      </c>
      <c r="B5" t="s">
        <v>18</v>
      </c>
      <c r="C5">
        <v>113</v>
      </c>
      <c r="D5">
        <v>151083137</v>
      </c>
      <c r="E5">
        <f t="shared" ref="E5:E53" si="0">D5/1000000</f>
        <v>151.08313699999999</v>
      </c>
      <c r="F5">
        <v>734842874</v>
      </c>
      <c r="G5">
        <f t="shared" ref="G5:G53" si="1">F5/1000000</f>
        <v>734.84287400000005</v>
      </c>
      <c r="I5">
        <v>402</v>
      </c>
      <c r="J5">
        <v>146</v>
      </c>
      <c r="K5">
        <f t="shared" ref="K5:K53" si="2">J5/3</f>
        <v>48.666666666666664</v>
      </c>
      <c r="L5">
        <v>66</v>
      </c>
      <c r="M5">
        <f t="shared" ref="M5:M53" si="3">L5/3</f>
        <v>22</v>
      </c>
      <c r="N5">
        <v>27354440</v>
      </c>
      <c r="O5">
        <f t="shared" ref="O5:O53" si="4">N5/1000000</f>
        <v>27.35444</v>
      </c>
      <c r="P5">
        <v>30385276</v>
      </c>
      <c r="Q5">
        <f t="shared" ref="Q5:Q53" si="5">P5/1000000</f>
        <v>30.385276000000001</v>
      </c>
      <c r="R5">
        <f>Q5+O5</f>
        <v>57.739716000000001</v>
      </c>
    </row>
    <row r="6" spans="1:18" x14ac:dyDescent="0.2">
      <c r="A6">
        <v>3</v>
      </c>
      <c r="B6" t="s">
        <v>19</v>
      </c>
      <c r="C6">
        <v>95</v>
      </c>
      <c r="D6">
        <v>196760113</v>
      </c>
      <c r="E6">
        <f t="shared" si="0"/>
        <v>196.76011299999999</v>
      </c>
      <c r="F6">
        <v>1536700000</v>
      </c>
      <c r="G6">
        <f t="shared" si="1"/>
        <v>1536.7</v>
      </c>
      <c r="I6">
        <v>484</v>
      </c>
      <c r="J6">
        <v>132</v>
      </c>
      <c r="K6">
        <f t="shared" si="2"/>
        <v>44</v>
      </c>
      <c r="L6">
        <v>75</v>
      </c>
      <c r="M6">
        <f t="shared" si="3"/>
        <v>25</v>
      </c>
      <c r="N6">
        <v>6620250</v>
      </c>
      <c r="O6">
        <f t="shared" si="4"/>
        <v>6.6202500000000004</v>
      </c>
      <c r="P6">
        <v>157888000</v>
      </c>
      <c r="Q6">
        <f t="shared" si="5"/>
        <v>157.88800000000001</v>
      </c>
      <c r="R6">
        <f t="shared" ref="R6:R53" si="6">Q6+O6</f>
        <v>164.50825</v>
      </c>
    </row>
    <row r="7" spans="1:18" x14ac:dyDescent="0.2">
      <c r="A7">
        <v>4</v>
      </c>
      <c r="B7" t="s">
        <v>20</v>
      </c>
      <c r="C7">
        <v>87</v>
      </c>
      <c r="D7">
        <v>110954352</v>
      </c>
      <c r="E7">
        <f t="shared" si="0"/>
        <v>110.954352</v>
      </c>
      <c r="F7">
        <v>1063043200</v>
      </c>
      <c r="G7">
        <f t="shared" si="1"/>
        <v>1063.0432000000001</v>
      </c>
      <c r="I7">
        <v>442</v>
      </c>
      <c r="J7">
        <v>88</v>
      </c>
      <c r="K7">
        <f t="shared" si="2"/>
        <v>29.333333333333332</v>
      </c>
      <c r="L7">
        <v>38</v>
      </c>
      <c r="M7">
        <f t="shared" si="3"/>
        <v>12.666666666666666</v>
      </c>
      <c r="N7">
        <v>42730</v>
      </c>
      <c r="O7">
        <f t="shared" si="4"/>
        <v>4.2729999999999997E-2</v>
      </c>
      <c r="P7">
        <v>4651657</v>
      </c>
      <c r="Q7">
        <f t="shared" si="5"/>
        <v>4.6516570000000002</v>
      </c>
      <c r="R7">
        <f t="shared" si="6"/>
        <v>4.6943869999999999</v>
      </c>
    </row>
    <row r="8" spans="1:18" x14ac:dyDescent="0.2">
      <c r="A8">
        <v>5</v>
      </c>
      <c r="B8" t="s">
        <v>21</v>
      </c>
      <c r="C8">
        <v>22</v>
      </c>
      <c r="D8">
        <v>7227870</v>
      </c>
      <c r="E8">
        <f t="shared" si="0"/>
        <v>7.2278700000000002</v>
      </c>
      <c r="F8">
        <v>37803541</v>
      </c>
      <c r="G8">
        <f t="shared" si="1"/>
        <v>37.803541000000003</v>
      </c>
      <c r="I8">
        <v>115</v>
      </c>
      <c r="J8">
        <v>149</v>
      </c>
      <c r="K8">
        <f t="shared" si="2"/>
        <v>49.666666666666664</v>
      </c>
      <c r="L8">
        <v>76</v>
      </c>
      <c r="M8">
        <f t="shared" si="3"/>
        <v>25.333333333333332</v>
      </c>
      <c r="N8">
        <v>3429581438</v>
      </c>
      <c r="O8">
        <f t="shared" si="4"/>
        <v>3429.5814380000002</v>
      </c>
      <c r="P8">
        <v>471400000</v>
      </c>
      <c r="Q8">
        <f t="shared" si="5"/>
        <v>471.4</v>
      </c>
      <c r="R8">
        <f t="shared" si="6"/>
        <v>3900.9814380000003</v>
      </c>
    </row>
    <row r="9" spans="1:18" x14ac:dyDescent="0.2">
      <c r="A9">
        <v>6</v>
      </c>
      <c r="B9" t="s">
        <v>22</v>
      </c>
      <c r="C9">
        <v>75</v>
      </c>
      <c r="D9">
        <v>49222720</v>
      </c>
      <c r="E9">
        <f t="shared" si="0"/>
        <v>49.222720000000002</v>
      </c>
      <c r="F9">
        <v>337862527</v>
      </c>
      <c r="G9">
        <f t="shared" si="1"/>
        <v>337.862527</v>
      </c>
      <c r="I9">
        <v>347</v>
      </c>
      <c r="J9">
        <v>68</v>
      </c>
      <c r="K9">
        <f t="shared" si="2"/>
        <v>22.666666666666668</v>
      </c>
      <c r="L9">
        <v>29</v>
      </c>
      <c r="M9">
        <f t="shared" si="3"/>
        <v>9.6666666666666661</v>
      </c>
      <c r="N9">
        <v>620000</v>
      </c>
      <c r="O9">
        <f t="shared" si="4"/>
        <v>0.62</v>
      </c>
      <c r="P9">
        <v>71362424</v>
      </c>
      <c r="Q9">
        <f t="shared" si="5"/>
        <v>71.362424000000004</v>
      </c>
      <c r="R9">
        <f t="shared" si="6"/>
        <v>71.982424000000009</v>
      </c>
    </row>
    <row r="10" spans="1:18" x14ac:dyDescent="0.2">
      <c r="A10">
        <v>7</v>
      </c>
      <c r="B10" t="s">
        <v>23</v>
      </c>
      <c r="C10">
        <v>20</v>
      </c>
      <c r="D10">
        <v>18674535</v>
      </c>
      <c r="E10">
        <f t="shared" si="0"/>
        <v>18.674534999999999</v>
      </c>
      <c r="F10">
        <v>109112355</v>
      </c>
      <c r="G10">
        <f t="shared" si="1"/>
        <v>109.11235499999999</v>
      </c>
      <c r="I10">
        <v>81</v>
      </c>
      <c r="J10">
        <v>168</v>
      </c>
      <c r="K10">
        <f t="shared" si="2"/>
        <v>56</v>
      </c>
      <c r="L10">
        <v>121</v>
      </c>
      <c r="M10">
        <f t="shared" si="3"/>
        <v>40.333333333333336</v>
      </c>
      <c r="N10">
        <v>0</v>
      </c>
      <c r="O10">
        <f t="shared" si="4"/>
        <v>0</v>
      </c>
      <c r="P10">
        <v>0</v>
      </c>
      <c r="Q10">
        <f t="shared" si="5"/>
        <v>0</v>
      </c>
      <c r="R10">
        <f t="shared" si="6"/>
        <v>0</v>
      </c>
    </row>
    <row r="11" spans="1:18" x14ac:dyDescent="0.2">
      <c r="A11">
        <v>8</v>
      </c>
      <c r="B11" t="s">
        <v>24</v>
      </c>
      <c r="C11">
        <v>27</v>
      </c>
      <c r="D11">
        <v>11854236</v>
      </c>
      <c r="E11">
        <f t="shared" si="0"/>
        <v>11.854236</v>
      </c>
      <c r="F11">
        <v>38495210</v>
      </c>
      <c r="G11">
        <f t="shared" si="1"/>
        <v>38.49521</v>
      </c>
      <c r="I11">
        <v>46</v>
      </c>
      <c r="J11">
        <v>206</v>
      </c>
      <c r="K11">
        <f t="shared" si="2"/>
        <v>68.666666666666671</v>
      </c>
      <c r="L11">
        <v>121</v>
      </c>
      <c r="M11">
        <f t="shared" si="3"/>
        <v>40.333333333333336</v>
      </c>
      <c r="N11">
        <v>8058524</v>
      </c>
      <c r="O11">
        <f t="shared" si="4"/>
        <v>8.0585240000000002</v>
      </c>
      <c r="P11">
        <v>1121370</v>
      </c>
      <c r="Q11">
        <f t="shared" si="5"/>
        <v>1.12137</v>
      </c>
      <c r="R11">
        <f t="shared" si="6"/>
        <v>9.1798940000000009</v>
      </c>
    </row>
    <row r="12" spans="1:18" x14ac:dyDescent="0.2">
      <c r="A12">
        <v>9</v>
      </c>
      <c r="B12" t="s">
        <v>25</v>
      </c>
      <c r="C12">
        <v>15</v>
      </c>
      <c r="D12">
        <v>17917822</v>
      </c>
      <c r="E12">
        <f t="shared" si="0"/>
        <v>17.917822000000001</v>
      </c>
      <c r="F12">
        <v>48429247</v>
      </c>
      <c r="G12">
        <f t="shared" si="1"/>
        <v>48.429246999999997</v>
      </c>
      <c r="I12">
        <v>57</v>
      </c>
      <c r="J12">
        <v>196</v>
      </c>
      <c r="K12">
        <f t="shared" si="2"/>
        <v>65.333333333333329</v>
      </c>
      <c r="L12">
        <v>109</v>
      </c>
      <c r="M12">
        <f t="shared" si="3"/>
        <v>36.333333333333336</v>
      </c>
      <c r="N12">
        <v>1186390</v>
      </c>
      <c r="O12">
        <f t="shared" si="4"/>
        <v>1.1863900000000001</v>
      </c>
      <c r="P12">
        <v>143750</v>
      </c>
      <c r="Q12">
        <f t="shared" si="5"/>
        <v>0.14374999999999999</v>
      </c>
      <c r="R12">
        <f t="shared" si="6"/>
        <v>1.3301400000000001</v>
      </c>
    </row>
    <row r="13" spans="1:18" x14ac:dyDescent="0.2">
      <c r="A13">
        <v>10</v>
      </c>
      <c r="B13" t="s">
        <v>27</v>
      </c>
      <c r="C13">
        <v>82</v>
      </c>
      <c r="D13">
        <v>56965000</v>
      </c>
      <c r="E13">
        <f t="shared" si="0"/>
        <v>56.965000000000003</v>
      </c>
      <c r="F13">
        <v>936895000</v>
      </c>
      <c r="G13">
        <f t="shared" si="1"/>
        <v>936.89499999999998</v>
      </c>
      <c r="I13">
        <v>358</v>
      </c>
      <c r="J13">
        <v>48</v>
      </c>
      <c r="K13">
        <f t="shared" si="2"/>
        <v>16</v>
      </c>
      <c r="L13">
        <v>21</v>
      </c>
      <c r="M13">
        <f t="shared" si="3"/>
        <v>7</v>
      </c>
      <c r="N13">
        <v>4688000</v>
      </c>
      <c r="O13">
        <f t="shared" si="4"/>
        <v>4.6879999999999997</v>
      </c>
      <c r="P13">
        <v>71900000</v>
      </c>
      <c r="Q13">
        <f t="shared" si="5"/>
        <v>71.900000000000006</v>
      </c>
      <c r="R13">
        <f t="shared" si="6"/>
        <v>76.588000000000008</v>
      </c>
    </row>
    <row r="14" spans="1:18" x14ac:dyDescent="0.2">
      <c r="A14">
        <v>11</v>
      </c>
      <c r="B14" t="s">
        <v>26</v>
      </c>
      <c r="C14">
        <v>100</v>
      </c>
      <c r="D14">
        <v>166817677</v>
      </c>
      <c r="E14">
        <f t="shared" si="0"/>
        <v>166.817677</v>
      </c>
      <c r="F14">
        <v>531192900</v>
      </c>
      <c r="G14">
        <f t="shared" si="1"/>
        <v>531.19290000000001</v>
      </c>
      <c r="I14">
        <v>611</v>
      </c>
      <c r="J14">
        <v>102</v>
      </c>
      <c r="K14">
        <f t="shared" si="2"/>
        <v>34</v>
      </c>
      <c r="L14">
        <v>39</v>
      </c>
      <c r="M14">
        <f t="shared" si="3"/>
        <v>13</v>
      </c>
      <c r="N14">
        <v>4011988</v>
      </c>
      <c r="O14">
        <f t="shared" si="4"/>
        <v>4.0119879999999997</v>
      </c>
      <c r="P14">
        <v>165400697</v>
      </c>
      <c r="Q14">
        <f t="shared" si="5"/>
        <v>165.40069700000001</v>
      </c>
      <c r="R14">
        <f t="shared" si="6"/>
        <v>169.41268500000001</v>
      </c>
    </row>
    <row r="15" spans="1:18" x14ac:dyDescent="0.2">
      <c r="A15">
        <v>12</v>
      </c>
      <c r="B15" t="s">
        <v>28</v>
      </c>
      <c r="C15">
        <v>85</v>
      </c>
      <c r="D15">
        <v>75659004</v>
      </c>
      <c r="E15">
        <f t="shared" si="0"/>
        <v>75.659003999999996</v>
      </c>
      <c r="F15">
        <v>397422407</v>
      </c>
      <c r="G15">
        <f t="shared" si="1"/>
        <v>397.42240700000002</v>
      </c>
      <c r="I15">
        <v>343</v>
      </c>
      <c r="J15">
        <v>73</v>
      </c>
      <c r="K15">
        <f t="shared" si="2"/>
        <v>24.333333333333332</v>
      </c>
      <c r="L15">
        <v>28</v>
      </c>
      <c r="M15">
        <f t="shared" si="3"/>
        <v>9.3333333333333339</v>
      </c>
      <c r="N15">
        <v>5796000</v>
      </c>
      <c r="O15">
        <f t="shared" si="4"/>
        <v>5.7960000000000003</v>
      </c>
      <c r="P15">
        <v>33459352</v>
      </c>
      <c r="Q15">
        <f t="shared" si="5"/>
        <v>33.459352000000003</v>
      </c>
      <c r="R15">
        <f t="shared" si="6"/>
        <v>39.255352000000002</v>
      </c>
    </row>
    <row r="16" spans="1:18" x14ac:dyDescent="0.2">
      <c r="A16">
        <v>13</v>
      </c>
      <c r="B16" t="s">
        <v>29</v>
      </c>
      <c r="C16">
        <v>27</v>
      </c>
      <c r="D16">
        <v>169251271</v>
      </c>
      <c r="E16">
        <f t="shared" si="0"/>
        <v>169.251271</v>
      </c>
      <c r="F16">
        <v>279758964</v>
      </c>
      <c r="G16">
        <f t="shared" si="1"/>
        <v>279.75896399999999</v>
      </c>
      <c r="I16">
        <v>145</v>
      </c>
      <c r="J16">
        <v>46</v>
      </c>
      <c r="K16">
        <f t="shared" si="2"/>
        <v>15.333333333333334</v>
      </c>
      <c r="L16">
        <v>21</v>
      </c>
      <c r="M16">
        <f t="shared" si="3"/>
        <v>7</v>
      </c>
      <c r="N16">
        <v>263456</v>
      </c>
      <c r="O16">
        <f t="shared" si="4"/>
        <v>0.26345600000000002</v>
      </c>
      <c r="P16">
        <v>5807247</v>
      </c>
      <c r="Q16">
        <f t="shared" si="5"/>
        <v>5.8072470000000003</v>
      </c>
      <c r="R16">
        <f t="shared" si="6"/>
        <v>6.070703</v>
      </c>
    </row>
    <row r="17" spans="1:18" x14ac:dyDescent="0.2">
      <c r="A17">
        <v>14</v>
      </c>
      <c r="B17" t="s">
        <v>30</v>
      </c>
      <c r="C17">
        <v>59</v>
      </c>
      <c r="D17">
        <v>26994794</v>
      </c>
      <c r="E17">
        <f t="shared" si="0"/>
        <v>26.994793999999999</v>
      </c>
      <c r="F17">
        <v>358103513</v>
      </c>
      <c r="G17">
        <f t="shared" si="1"/>
        <v>358.10351300000002</v>
      </c>
      <c r="I17">
        <v>262</v>
      </c>
      <c r="J17">
        <v>88</v>
      </c>
      <c r="K17">
        <f t="shared" si="2"/>
        <v>29.333333333333332</v>
      </c>
      <c r="L17">
        <v>28</v>
      </c>
      <c r="M17">
        <f t="shared" si="3"/>
        <v>9.3333333333333339</v>
      </c>
      <c r="N17">
        <v>1360221</v>
      </c>
      <c r="O17">
        <f t="shared" si="4"/>
        <v>1.3602209999999999</v>
      </c>
      <c r="P17">
        <v>4955338</v>
      </c>
      <c r="Q17">
        <f t="shared" si="5"/>
        <v>4.9553380000000002</v>
      </c>
      <c r="R17">
        <f t="shared" si="6"/>
        <v>6.3155590000000004</v>
      </c>
    </row>
    <row r="18" spans="1:18" x14ac:dyDescent="0.2">
      <c r="A18">
        <v>15</v>
      </c>
      <c r="B18" t="s">
        <v>31</v>
      </c>
      <c r="C18">
        <v>52</v>
      </c>
      <c r="D18">
        <v>31381735</v>
      </c>
      <c r="E18">
        <f t="shared" si="0"/>
        <v>31.381734999999999</v>
      </c>
      <c r="F18">
        <v>174404706</v>
      </c>
      <c r="G18">
        <f t="shared" si="1"/>
        <v>174.404706</v>
      </c>
      <c r="I18">
        <v>107</v>
      </c>
      <c r="J18">
        <v>18</v>
      </c>
      <c r="K18">
        <f t="shared" si="2"/>
        <v>6</v>
      </c>
      <c r="L18">
        <v>6</v>
      </c>
      <c r="M18">
        <f t="shared" si="3"/>
        <v>2</v>
      </c>
      <c r="N18">
        <v>2504187</v>
      </c>
      <c r="O18">
        <f t="shared" si="4"/>
        <v>2.5041869999999999</v>
      </c>
      <c r="P18">
        <v>4399017</v>
      </c>
      <c r="Q18">
        <f t="shared" si="5"/>
        <v>4.3990169999999997</v>
      </c>
      <c r="R18">
        <f t="shared" si="6"/>
        <v>6.9032039999999997</v>
      </c>
    </row>
    <row r="19" spans="1:18" x14ac:dyDescent="0.2">
      <c r="A19">
        <v>16</v>
      </c>
      <c r="B19" t="s">
        <v>32</v>
      </c>
      <c r="C19">
        <v>25</v>
      </c>
      <c r="D19">
        <v>131319900</v>
      </c>
      <c r="E19">
        <f t="shared" si="0"/>
        <v>131.31989999999999</v>
      </c>
      <c r="F19">
        <v>392622290</v>
      </c>
      <c r="G19">
        <f t="shared" si="1"/>
        <v>392.62229000000002</v>
      </c>
      <c r="I19">
        <v>119</v>
      </c>
      <c r="J19">
        <v>15</v>
      </c>
      <c r="K19">
        <f t="shared" si="2"/>
        <v>5</v>
      </c>
      <c r="L19">
        <v>1</v>
      </c>
      <c r="M19">
        <f t="shared" si="3"/>
        <v>0.33333333333333331</v>
      </c>
      <c r="N19">
        <v>26454299</v>
      </c>
      <c r="O19">
        <f t="shared" si="4"/>
        <v>26.454298999999999</v>
      </c>
      <c r="P19">
        <v>433445</v>
      </c>
      <c r="Q19">
        <f t="shared" si="5"/>
        <v>0.43344500000000002</v>
      </c>
      <c r="R19">
        <f t="shared" si="6"/>
        <v>26.887743999999998</v>
      </c>
    </row>
    <row r="20" spans="1:18" x14ac:dyDescent="0.2">
      <c r="A20">
        <v>17</v>
      </c>
      <c r="B20" t="s">
        <v>33</v>
      </c>
      <c r="C20">
        <v>18</v>
      </c>
      <c r="D20">
        <v>15510000</v>
      </c>
      <c r="E20">
        <f t="shared" si="0"/>
        <v>15.51</v>
      </c>
      <c r="F20">
        <v>35300000</v>
      </c>
      <c r="G20">
        <f t="shared" si="1"/>
        <v>35.299999999999997</v>
      </c>
      <c r="I20">
        <v>45</v>
      </c>
      <c r="J20">
        <v>65</v>
      </c>
      <c r="K20">
        <f t="shared" si="2"/>
        <v>21.666666666666668</v>
      </c>
      <c r="L20">
        <v>37</v>
      </c>
      <c r="M20">
        <f t="shared" si="3"/>
        <v>12.333333333333334</v>
      </c>
      <c r="N20">
        <v>9376873</v>
      </c>
      <c r="O20">
        <f t="shared" si="4"/>
        <v>9.3768729999999998</v>
      </c>
      <c r="P20">
        <v>5122664</v>
      </c>
      <c r="Q20">
        <f t="shared" si="5"/>
        <v>5.1226640000000003</v>
      </c>
      <c r="R20">
        <f t="shared" si="6"/>
        <v>14.499537</v>
      </c>
    </row>
    <row r="21" spans="1:18" x14ac:dyDescent="0.2">
      <c r="A21">
        <v>18</v>
      </c>
      <c r="B21" t="s">
        <v>34</v>
      </c>
      <c r="C21">
        <v>60</v>
      </c>
      <c r="D21">
        <v>32319184</v>
      </c>
      <c r="E21">
        <f t="shared" si="0"/>
        <v>32.319184</v>
      </c>
      <c r="F21">
        <v>336730524</v>
      </c>
      <c r="G21">
        <f t="shared" si="1"/>
        <v>336.730524</v>
      </c>
      <c r="I21">
        <v>180</v>
      </c>
      <c r="J21">
        <v>24</v>
      </c>
      <c r="K21">
        <f t="shared" si="2"/>
        <v>8</v>
      </c>
      <c r="L21">
        <v>2</v>
      </c>
      <c r="M21">
        <f t="shared" si="3"/>
        <v>0.66666666666666663</v>
      </c>
      <c r="N21">
        <v>642500</v>
      </c>
      <c r="O21">
        <f t="shared" si="4"/>
        <v>0.64249999999999996</v>
      </c>
      <c r="P21">
        <v>16020714</v>
      </c>
      <c r="Q21">
        <f t="shared" si="5"/>
        <v>16.020714000000002</v>
      </c>
      <c r="R21">
        <f t="shared" si="6"/>
        <v>16.663214</v>
      </c>
    </row>
    <row r="22" spans="1:18" x14ac:dyDescent="0.2">
      <c r="A22">
        <v>19</v>
      </c>
      <c r="B22" t="s">
        <v>35</v>
      </c>
      <c r="C22">
        <v>77</v>
      </c>
      <c r="D22">
        <v>63161609</v>
      </c>
      <c r="E22">
        <f t="shared" si="0"/>
        <v>63.161608999999999</v>
      </c>
      <c r="F22">
        <v>308844969</v>
      </c>
      <c r="G22">
        <f t="shared" si="1"/>
        <v>308.84496899999999</v>
      </c>
      <c r="I22">
        <v>227</v>
      </c>
      <c r="J22">
        <v>14</v>
      </c>
      <c r="K22">
        <f t="shared" si="2"/>
        <v>4.666666666666667</v>
      </c>
      <c r="L22">
        <v>4</v>
      </c>
      <c r="M22">
        <f t="shared" si="3"/>
        <v>1.3333333333333333</v>
      </c>
      <c r="N22">
        <v>4483999</v>
      </c>
      <c r="O22">
        <f t="shared" si="4"/>
        <v>4.4839989999999998</v>
      </c>
      <c r="P22">
        <v>15501108</v>
      </c>
      <c r="Q22">
        <f t="shared" si="5"/>
        <v>15.501108</v>
      </c>
      <c r="R22">
        <f t="shared" si="6"/>
        <v>19.985106999999999</v>
      </c>
    </row>
    <row r="23" spans="1:18" x14ac:dyDescent="0.2">
      <c r="A23">
        <v>20</v>
      </c>
      <c r="B23" t="s">
        <v>36</v>
      </c>
      <c r="C23">
        <v>33</v>
      </c>
      <c r="D23">
        <v>7426000</v>
      </c>
      <c r="E23">
        <f t="shared" si="0"/>
        <v>7.4260000000000002</v>
      </c>
      <c r="F23">
        <v>258225105</v>
      </c>
      <c r="G23">
        <f t="shared" si="1"/>
        <v>258.22510499999999</v>
      </c>
      <c r="I23">
        <v>115</v>
      </c>
      <c r="J23">
        <v>25</v>
      </c>
      <c r="K23">
        <f t="shared" si="2"/>
        <v>8.3333333333333339</v>
      </c>
      <c r="L23">
        <v>11</v>
      </c>
      <c r="M23">
        <f t="shared" si="3"/>
        <v>3.6666666666666665</v>
      </c>
      <c r="N23">
        <v>8203011</v>
      </c>
      <c r="O23">
        <f t="shared" si="4"/>
        <v>8.2030110000000001</v>
      </c>
      <c r="P23">
        <v>5943952</v>
      </c>
      <c r="Q23">
        <f t="shared" si="5"/>
        <v>5.9439520000000003</v>
      </c>
      <c r="R23">
        <f t="shared" si="6"/>
        <v>14.146963</v>
      </c>
    </row>
    <row r="24" spans="1:18" x14ac:dyDescent="0.2">
      <c r="A24">
        <v>21</v>
      </c>
      <c r="B24" t="s">
        <v>37</v>
      </c>
      <c r="C24">
        <v>46</v>
      </c>
      <c r="D24">
        <v>15442623</v>
      </c>
      <c r="E24">
        <f t="shared" si="0"/>
        <v>15.442622999999999</v>
      </c>
      <c r="F24">
        <v>170089722</v>
      </c>
      <c r="G24">
        <f t="shared" si="1"/>
        <v>170.08972199999999</v>
      </c>
      <c r="I24">
        <v>141</v>
      </c>
      <c r="J24">
        <v>32</v>
      </c>
      <c r="K24">
        <f t="shared" si="2"/>
        <v>10.666666666666666</v>
      </c>
      <c r="L24">
        <v>20</v>
      </c>
      <c r="M24">
        <f t="shared" si="3"/>
        <v>6.666666666666667</v>
      </c>
      <c r="N24">
        <v>2700000</v>
      </c>
      <c r="O24">
        <f t="shared" si="4"/>
        <v>2.7</v>
      </c>
      <c r="P24">
        <v>0</v>
      </c>
      <c r="Q24">
        <f t="shared" si="5"/>
        <v>0</v>
      </c>
      <c r="R24">
        <f t="shared" si="6"/>
        <v>2.7</v>
      </c>
    </row>
    <row r="25" spans="1:18" x14ac:dyDescent="0.2">
      <c r="A25">
        <v>22</v>
      </c>
      <c r="B25" t="s">
        <v>38</v>
      </c>
      <c r="C25">
        <v>177</v>
      </c>
      <c r="D25">
        <v>52851696</v>
      </c>
      <c r="E25">
        <f t="shared" si="0"/>
        <v>52.851695999999997</v>
      </c>
      <c r="F25">
        <v>783573309</v>
      </c>
      <c r="G25">
        <f t="shared" si="1"/>
        <v>783.57330899999999</v>
      </c>
      <c r="I25">
        <v>1067</v>
      </c>
      <c r="J25">
        <v>94</v>
      </c>
      <c r="K25">
        <f t="shared" si="2"/>
        <v>31.333333333333332</v>
      </c>
      <c r="L25">
        <v>20</v>
      </c>
      <c r="M25">
        <f t="shared" si="3"/>
        <v>6.666666666666667</v>
      </c>
      <c r="N25">
        <v>80000</v>
      </c>
      <c r="O25">
        <f t="shared" si="4"/>
        <v>0.08</v>
      </c>
      <c r="P25">
        <v>12430000</v>
      </c>
      <c r="Q25">
        <f t="shared" si="5"/>
        <v>12.43</v>
      </c>
      <c r="R25">
        <f t="shared" si="6"/>
        <v>12.51</v>
      </c>
    </row>
    <row r="26" spans="1:18" x14ac:dyDescent="0.2">
      <c r="A26">
        <v>23</v>
      </c>
      <c r="B26" t="s">
        <v>39</v>
      </c>
      <c r="C26">
        <v>43</v>
      </c>
      <c r="D26">
        <v>23457819</v>
      </c>
      <c r="E26">
        <f t="shared" si="0"/>
        <v>23.457819000000001</v>
      </c>
      <c r="F26">
        <v>423629994</v>
      </c>
      <c r="G26">
        <f t="shared" si="1"/>
        <v>423.62999400000001</v>
      </c>
      <c r="I26">
        <v>260</v>
      </c>
      <c r="J26">
        <v>41</v>
      </c>
      <c r="K26">
        <f t="shared" si="2"/>
        <v>13.666666666666666</v>
      </c>
      <c r="L26">
        <v>5</v>
      </c>
      <c r="M26">
        <f t="shared" si="3"/>
        <v>1.6666666666666667</v>
      </c>
      <c r="N26">
        <v>15622000</v>
      </c>
      <c r="O26">
        <f t="shared" si="4"/>
        <v>15.622</v>
      </c>
      <c r="P26">
        <v>114335000</v>
      </c>
      <c r="Q26">
        <f t="shared" si="5"/>
        <v>114.33499999999999</v>
      </c>
      <c r="R26">
        <f t="shared" si="6"/>
        <v>129.95699999999999</v>
      </c>
    </row>
    <row r="27" spans="1:18" x14ac:dyDescent="0.2">
      <c r="A27">
        <v>24</v>
      </c>
      <c r="B27" t="s">
        <v>40</v>
      </c>
      <c r="C27">
        <v>124</v>
      </c>
      <c r="D27">
        <v>31236710</v>
      </c>
      <c r="E27">
        <f t="shared" si="0"/>
        <v>31.236709999999999</v>
      </c>
      <c r="F27">
        <v>398425706</v>
      </c>
      <c r="G27">
        <f t="shared" si="1"/>
        <v>398.42570599999999</v>
      </c>
      <c r="I27">
        <v>581</v>
      </c>
      <c r="J27">
        <v>45</v>
      </c>
      <c r="K27">
        <f t="shared" si="2"/>
        <v>15</v>
      </c>
      <c r="L27">
        <v>16</v>
      </c>
      <c r="M27">
        <f t="shared" si="3"/>
        <v>5.333333333333333</v>
      </c>
      <c r="N27">
        <v>300000</v>
      </c>
      <c r="O27">
        <f t="shared" si="4"/>
        <v>0.3</v>
      </c>
      <c r="P27">
        <v>75588710</v>
      </c>
      <c r="Q27">
        <f t="shared" si="5"/>
        <v>75.588710000000006</v>
      </c>
      <c r="R27">
        <f t="shared" si="6"/>
        <v>75.888710000000003</v>
      </c>
    </row>
    <row r="28" spans="1:18" x14ac:dyDescent="0.2">
      <c r="A28">
        <v>25</v>
      </c>
      <c r="B28" t="s">
        <v>41</v>
      </c>
      <c r="C28">
        <v>52</v>
      </c>
      <c r="D28">
        <v>24632937</v>
      </c>
      <c r="E28">
        <f t="shared" si="0"/>
        <v>24.632936999999998</v>
      </c>
      <c r="F28">
        <v>350200000</v>
      </c>
      <c r="G28">
        <f t="shared" si="1"/>
        <v>350.2</v>
      </c>
      <c r="I28">
        <v>254</v>
      </c>
      <c r="J28">
        <v>67</v>
      </c>
      <c r="K28">
        <f t="shared" si="2"/>
        <v>22.333333333333332</v>
      </c>
      <c r="L28">
        <v>9</v>
      </c>
      <c r="M28">
        <f t="shared" si="3"/>
        <v>3</v>
      </c>
      <c r="N28">
        <v>2224000</v>
      </c>
      <c r="O28">
        <f t="shared" si="4"/>
        <v>2.2240000000000002</v>
      </c>
      <c r="P28">
        <v>25411093</v>
      </c>
      <c r="Q28">
        <f t="shared" si="5"/>
        <v>25.411093000000001</v>
      </c>
      <c r="R28">
        <f t="shared" si="6"/>
        <v>27.635093000000001</v>
      </c>
    </row>
    <row r="29" spans="1:18" x14ac:dyDescent="0.2">
      <c r="A29">
        <v>26</v>
      </c>
      <c r="B29" t="s">
        <v>42</v>
      </c>
      <c r="C29">
        <v>28</v>
      </c>
      <c r="D29">
        <v>27803335</v>
      </c>
      <c r="E29">
        <f t="shared" si="0"/>
        <v>27.803335000000001</v>
      </c>
      <c r="F29">
        <v>213195410</v>
      </c>
      <c r="G29">
        <f t="shared" si="1"/>
        <v>213.19541000000001</v>
      </c>
      <c r="I29">
        <v>155</v>
      </c>
      <c r="J29">
        <v>12</v>
      </c>
      <c r="K29">
        <f t="shared" si="2"/>
        <v>4</v>
      </c>
      <c r="L29">
        <v>5</v>
      </c>
      <c r="M29">
        <f t="shared" si="3"/>
        <v>1.6666666666666667</v>
      </c>
      <c r="N29">
        <v>3325016</v>
      </c>
      <c r="O29">
        <f t="shared" si="4"/>
        <v>3.3250160000000002</v>
      </c>
      <c r="P29">
        <v>402679</v>
      </c>
      <c r="Q29">
        <f t="shared" si="5"/>
        <v>0.40267900000000001</v>
      </c>
      <c r="R29">
        <f t="shared" si="6"/>
        <v>3.7276950000000002</v>
      </c>
    </row>
    <row r="30" spans="1:18" x14ac:dyDescent="0.2">
      <c r="A30">
        <v>27</v>
      </c>
      <c r="B30" t="s">
        <v>43</v>
      </c>
      <c r="C30">
        <v>34</v>
      </c>
      <c r="D30">
        <v>12424037</v>
      </c>
      <c r="E30">
        <f t="shared" si="0"/>
        <v>12.424037</v>
      </c>
      <c r="F30">
        <v>200667151</v>
      </c>
      <c r="G30">
        <f t="shared" si="1"/>
        <v>200.66715099999999</v>
      </c>
      <c r="I30">
        <v>160</v>
      </c>
      <c r="J30">
        <v>59</v>
      </c>
      <c r="K30">
        <f t="shared" si="2"/>
        <v>19.666666666666668</v>
      </c>
      <c r="L30">
        <v>10</v>
      </c>
      <c r="M30">
        <f t="shared" si="3"/>
        <v>3.3333333333333335</v>
      </c>
      <c r="N30">
        <v>0</v>
      </c>
      <c r="O30">
        <f t="shared" si="4"/>
        <v>0</v>
      </c>
      <c r="P30">
        <v>6016285</v>
      </c>
      <c r="Q30">
        <f t="shared" si="5"/>
        <v>6.0162849999999999</v>
      </c>
      <c r="R30">
        <f t="shared" si="6"/>
        <v>6.0162849999999999</v>
      </c>
    </row>
    <row r="31" spans="1:18" x14ac:dyDescent="0.2">
      <c r="A31">
        <v>28</v>
      </c>
      <c r="B31" t="s">
        <v>45</v>
      </c>
      <c r="C31">
        <v>18</v>
      </c>
      <c r="D31">
        <v>1963712</v>
      </c>
      <c r="E31">
        <f t="shared" si="0"/>
        <v>1.9637119999999999</v>
      </c>
      <c r="F31">
        <v>22496596</v>
      </c>
      <c r="G31">
        <f t="shared" si="1"/>
        <v>22.496596</v>
      </c>
      <c r="I31">
        <v>103</v>
      </c>
      <c r="J31">
        <v>133</v>
      </c>
      <c r="K31">
        <f t="shared" si="2"/>
        <v>44.333333333333336</v>
      </c>
      <c r="L31">
        <v>39</v>
      </c>
      <c r="M31">
        <f t="shared" si="3"/>
        <v>13</v>
      </c>
      <c r="N31">
        <v>1450000</v>
      </c>
      <c r="O31">
        <f t="shared" si="4"/>
        <v>1.45</v>
      </c>
      <c r="P31">
        <v>0</v>
      </c>
      <c r="Q31">
        <f t="shared" si="5"/>
        <v>0</v>
      </c>
      <c r="R31">
        <f t="shared" si="6"/>
        <v>1.45</v>
      </c>
    </row>
    <row r="32" spans="1:18" x14ac:dyDescent="0.2">
      <c r="A32">
        <v>29</v>
      </c>
      <c r="B32" t="s">
        <v>44</v>
      </c>
      <c r="C32">
        <v>42</v>
      </c>
      <c r="D32">
        <v>7501080</v>
      </c>
      <c r="E32">
        <f t="shared" si="0"/>
        <v>7.50108</v>
      </c>
      <c r="F32">
        <v>74482237</v>
      </c>
      <c r="G32">
        <f t="shared" si="1"/>
        <v>74.482236999999998</v>
      </c>
      <c r="I32">
        <v>149</v>
      </c>
      <c r="J32">
        <v>191</v>
      </c>
      <c r="K32">
        <f t="shared" si="2"/>
        <v>63.666666666666664</v>
      </c>
      <c r="L32">
        <v>18</v>
      </c>
      <c r="M32">
        <f t="shared" si="3"/>
        <v>6</v>
      </c>
      <c r="N32">
        <v>582221</v>
      </c>
      <c r="O32">
        <f t="shared" si="4"/>
        <v>0.58222099999999999</v>
      </c>
      <c r="P32">
        <v>83750</v>
      </c>
      <c r="Q32">
        <f t="shared" si="5"/>
        <v>8.3750000000000005E-2</v>
      </c>
      <c r="R32">
        <f t="shared" si="6"/>
        <v>0.66597099999999998</v>
      </c>
    </row>
    <row r="33" spans="1:18" x14ac:dyDescent="0.2">
      <c r="A33">
        <v>30</v>
      </c>
      <c r="B33" t="s">
        <v>46</v>
      </c>
      <c r="C33">
        <v>72</v>
      </c>
      <c r="D33">
        <v>49777893</v>
      </c>
      <c r="E33">
        <f t="shared" si="0"/>
        <v>49.777892999999999</v>
      </c>
      <c r="F33">
        <v>188529441</v>
      </c>
      <c r="G33">
        <f t="shared" si="1"/>
        <v>188.52944099999999</v>
      </c>
      <c r="I33">
        <v>239</v>
      </c>
      <c r="J33">
        <v>36</v>
      </c>
      <c r="K33">
        <f t="shared" si="2"/>
        <v>12</v>
      </c>
      <c r="L33">
        <v>11</v>
      </c>
      <c r="M33">
        <f t="shared" si="3"/>
        <v>3.6666666666666665</v>
      </c>
      <c r="N33">
        <v>205846000</v>
      </c>
      <c r="O33">
        <f t="shared" si="4"/>
        <v>205.846</v>
      </c>
      <c r="P33">
        <v>295964500</v>
      </c>
      <c r="Q33">
        <f t="shared" si="5"/>
        <v>295.96449999999999</v>
      </c>
      <c r="R33">
        <f t="shared" si="6"/>
        <v>501.81049999999999</v>
      </c>
    </row>
    <row r="34" spans="1:18" x14ac:dyDescent="0.2">
      <c r="A34">
        <v>31</v>
      </c>
      <c r="B34" t="s">
        <v>47</v>
      </c>
      <c r="C34">
        <v>126</v>
      </c>
      <c r="D34">
        <v>45279888</v>
      </c>
      <c r="E34">
        <f t="shared" si="0"/>
        <v>45.279888</v>
      </c>
      <c r="F34">
        <v>631129071</v>
      </c>
      <c r="G34">
        <f t="shared" si="1"/>
        <v>631.12907099999995</v>
      </c>
      <c r="I34">
        <v>528</v>
      </c>
      <c r="J34">
        <v>91</v>
      </c>
      <c r="K34">
        <f t="shared" si="2"/>
        <v>30.333333333333332</v>
      </c>
      <c r="L34">
        <v>21</v>
      </c>
      <c r="M34">
        <f t="shared" si="3"/>
        <v>7</v>
      </c>
      <c r="N34">
        <v>0</v>
      </c>
      <c r="O34">
        <f t="shared" si="4"/>
        <v>0</v>
      </c>
      <c r="P34">
        <v>5016600</v>
      </c>
      <c r="Q34">
        <f t="shared" si="5"/>
        <v>5.0166000000000004</v>
      </c>
      <c r="R34">
        <f t="shared" si="6"/>
        <v>5.0166000000000004</v>
      </c>
    </row>
    <row r="35" spans="1:18" x14ac:dyDescent="0.2">
      <c r="A35">
        <v>32</v>
      </c>
      <c r="B35" t="s">
        <v>48</v>
      </c>
      <c r="C35">
        <v>21</v>
      </c>
      <c r="D35">
        <v>9469489</v>
      </c>
      <c r="E35">
        <f t="shared" si="0"/>
        <v>9.4694889999999994</v>
      </c>
      <c r="F35">
        <v>116013526</v>
      </c>
      <c r="G35">
        <f t="shared" si="1"/>
        <v>116.013526</v>
      </c>
      <c r="I35">
        <v>120</v>
      </c>
      <c r="J35">
        <v>3</v>
      </c>
      <c r="K35">
        <f t="shared" si="2"/>
        <v>1</v>
      </c>
      <c r="L35">
        <v>0</v>
      </c>
      <c r="M35">
        <f t="shared" si="3"/>
        <v>0</v>
      </c>
      <c r="N35">
        <v>1308000</v>
      </c>
      <c r="O35">
        <f t="shared" si="4"/>
        <v>1.3080000000000001</v>
      </c>
      <c r="P35">
        <v>1274000</v>
      </c>
      <c r="Q35">
        <f t="shared" si="5"/>
        <v>1.274</v>
      </c>
      <c r="R35">
        <f t="shared" si="6"/>
        <v>2.5819999999999999</v>
      </c>
    </row>
    <row r="36" spans="1:18" x14ac:dyDescent="0.2">
      <c r="A36">
        <v>33</v>
      </c>
      <c r="B36" t="s">
        <v>49</v>
      </c>
      <c r="C36">
        <v>34</v>
      </c>
      <c r="D36">
        <v>235000</v>
      </c>
      <c r="E36">
        <f t="shared" si="0"/>
        <v>0.23499999999999999</v>
      </c>
      <c r="F36">
        <v>9119230</v>
      </c>
      <c r="G36">
        <f t="shared" si="1"/>
        <v>9.1192299999999999</v>
      </c>
      <c r="I36">
        <v>210</v>
      </c>
      <c r="J36">
        <v>59</v>
      </c>
      <c r="K36">
        <f t="shared" si="2"/>
        <v>19.666666666666668</v>
      </c>
      <c r="L36">
        <v>15</v>
      </c>
      <c r="M36">
        <f t="shared" si="3"/>
        <v>5</v>
      </c>
      <c r="N36">
        <v>235000</v>
      </c>
      <c r="O36">
        <f t="shared" si="4"/>
        <v>0.23499999999999999</v>
      </c>
      <c r="P36">
        <v>9119230</v>
      </c>
      <c r="Q36">
        <f t="shared" si="5"/>
        <v>9.1192299999999999</v>
      </c>
      <c r="R36">
        <f t="shared" si="6"/>
        <v>9.3542299999999994</v>
      </c>
    </row>
    <row r="37" spans="1:18" x14ac:dyDescent="0.2">
      <c r="A37">
        <v>34</v>
      </c>
      <c r="B37" t="s">
        <v>50</v>
      </c>
      <c r="C37">
        <v>14</v>
      </c>
      <c r="D37">
        <v>1675246</v>
      </c>
      <c r="E37">
        <f t="shared" si="0"/>
        <v>1.675246</v>
      </c>
      <c r="F37">
        <v>33178321</v>
      </c>
      <c r="G37">
        <f t="shared" si="1"/>
        <v>33.178320999999997</v>
      </c>
      <c r="I37">
        <v>54</v>
      </c>
      <c r="J37">
        <v>29</v>
      </c>
      <c r="K37">
        <f t="shared" si="2"/>
        <v>9.6666666666666661</v>
      </c>
      <c r="L37">
        <v>8</v>
      </c>
      <c r="M37">
        <f t="shared" si="3"/>
        <v>2.6666666666666665</v>
      </c>
      <c r="N37">
        <v>600000</v>
      </c>
      <c r="O37">
        <f t="shared" si="4"/>
        <v>0.6</v>
      </c>
      <c r="P37">
        <v>0</v>
      </c>
      <c r="Q37">
        <f t="shared" si="5"/>
        <v>0</v>
      </c>
      <c r="R37">
        <f t="shared" si="6"/>
        <v>0.6</v>
      </c>
    </row>
    <row r="38" spans="1:18" x14ac:dyDescent="0.2">
      <c r="A38">
        <v>35</v>
      </c>
      <c r="B38" t="s">
        <v>51</v>
      </c>
      <c r="C38">
        <v>32</v>
      </c>
      <c r="D38">
        <v>50953072</v>
      </c>
      <c r="E38">
        <f t="shared" si="0"/>
        <v>50.953071999999999</v>
      </c>
      <c r="F38">
        <v>252608946</v>
      </c>
      <c r="G38">
        <f t="shared" si="1"/>
        <v>252.608946</v>
      </c>
      <c r="I38">
        <v>179</v>
      </c>
      <c r="J38">
        <v>9</v>
      </c>
      <c r="K38">
        <f t="shared" si="2"/>
        <v>3</v>
      </c>
      <c r="L38">
        <v>5</v>
      </c>
      <c r="M38">
        <f t="shared" si="3"/>
        <v>1.6666666666666667</v>
      </c>
      <c r="N38">
        <v>5600000</v>
      </c>
      <c r="O38">
        <f t="shared" si="4"/>
        <v>5.6</v>
      </c>
      <c r="P38">
        <v>0</v>
      </c>
      <c r="Q38">
        <f t="shared" si="5"/>
        <v>0</v>
      </c>
      <c r="R38">
        <f t="shared" si="6"/>
        <v>5.6</v>
      </c>
    </row>
    <row r="39" spans="1:18" x14ac:dyDescent="0.2">
      <c r="A39">
        <v>36</v>
      </c>
      <c r="B39" t="s">
        <v>52</v>
      </c>
      <c r="C39">
        <v>59</v>
      </c>
      <c r="D39">
        <v>150045434</v>
      </c>
      <c r="E39">
        <f t="shared" si="0"/>
        <v>150.045434</v>
      </c>
      <c r="F39">
        <v>875157739</v>
      </c>
      <c r="G39">
        <f t="shared" si="1"/>
        <v>875.15773899999999</v>
      </c>
      <c r="I39">
        <v>575</v>
      </c>
      <c r="J39">
        <v>38</v>
      </c>
      <c r="K39">
        <f t="shared" si="2"/>
        <v>12.666666666666666</v>
      </c>
      <c r="L39">
        <v>27</v>
      </c>
      <c r="M39">
        <f t="shared" si="3"/>
        <v>9</v>
      </c>
      <c r="N39">
        <v>1850184</v>
      </c>
      <c r="O39">
        <f t="shared" si="4"/>
        <v>1.8501840000000001</v>
      </c>
      <c r="P39">
        <v>11895191</v>
      </c>
      <c r="Q39">
        <f t="shared" si="5"/>
        <v>11.895191000000001</v>
      </c>
      <c r="R39">
        <f t="shared" si="6"/>
        <v>13.745375000000001</v>
      </c>
    </row>
    <row r="40" spans="1:18" x14ac:dyDescent="0.2">
      <c r="A40">
        <v>37</v>
      </c>
      <c r="B40" t="s">
        <v>53</v>
      </c>
      <c r="C40">
        <v>38</v>
      </c>
      <c r="D40">
        <v>5519594</v>
      </c>
      <c r="E40">
        <f t="shared" si="0"/>
        <v>5.5195939999999997</v>
      </c>
      <c r="F40">
        <v>281352071</v>
      </c>
      <c r="G40">
        <f t="shared" si="1"/>
        <v>281.35207100000002</v>
      </c>
      <c r="I40">
        <v>189</v>
      </c>
      <c r="J40">
        <v>16</v>
      </c>
      <c r="K40">
        <f t="shared" si="2"/>
        <v>5.333333333333333</v>
      </c>
      <c r="L40">
        <v>3</v>
      </c>
      <c r="M40">
        <f t="shared" si="3"/>
        <v>1</v>
      </c>
      <c r="N40">
        <v>2760000</v>
      </c>
      <c r="O40">
        <f t="shared" si="4"/>
        <v>2.76</v>
      </c>
      <c r="P40">
        <v>300000</v>
      </c>
      <c r="Q40">
        <f t="shared" si="5"/>
        <v>0.3</v>
      </c>
      <c r="R40">
        <f t="shared" si="6"/>
        <v>3.0599999999999996</v>
      </c>
    </row>
    <row r="41" spans="1:18" x14ac:dyDescent="0.2">
      <c r="A41">
        <v>38</v>
      </c>
      <c r="B41" t="s">
        <v>54</v>
      </c>
      <c r="C41">
        <v>81</v>
      </c>
      <c r="D41">
        <v>34297775</v>
      </c>
      <c r="E41">
        <f t="shared" si="0"/>
        <v>34.297775000000001</v>
      </c>
      <c r="F41">
        <v>135828324</v>
      </c>
      <c r="G41">
        <f t="shared" si="1"/>
        <v>135.82832400000001</v>
      </c>
      <c r="I41">
        <v>435</v>
      </c>
      <c r="J41">
        <v>106</v>
      </c>
      <c r="K41">
        <f t="shared" si="2"/>
        <v>35.333333333333336</v>
      </c>
      <c r="L41">
        <v>5</v>
      </c>
      <c r="M41">
        <f t="shared" si="3"/>
        <v>1.6666666666666667</v>
      </c>
      <c r="N41">
        <v>448000</v>
      </c>
      <c r="O41">
        <f t="shared" si="4"/>
        <v>0.44800000000000001</v>
      </c>
      <c r="P41">
        <v>17752108</v>
      </c>
      <c r="Q41">
        <f t="shared" si="5"/>
        <v>17.752108</v>
      </c>
      <c r="R41">
        <f t="shared" si="6"/>
        <v>18.200108</v>
      </c>
    </row>
    <row r="42" spans="1:18" x14ac:dyDescent="0.2">
      <c r="A42">
        <v>39</v>
      </c>
      <c r="B42" t="s">
        <v>55</v>
      </c>
      <c r="C42">
        <v>28</v>
      </c>
      <c r="D42">
        <v>279999</v>
      </c>
      <c r="E42">
        <f t="shared" si="0"/>
        <v>0.279999</v>
      </c>
      <c r="F42">
        <v>52513047</v>
      </c>
      <c r="G42">
        <f t="shared" si="1"/>
        <v>52.513047</v>
      </c>
      <c r="I42">
        <v>135</v>
      </c>
      <c r="J42">
        <v>23</v>
      </c>
      <c r="K42">
        <f t="shared" si="2"/>
        <v>7.666666666666667</v>
      </c>
      <c r="L42">
        <v>17</v>
      </c>
      <c r="M42">
        <f t="shared" si="3"/>
        <v>5.666666666666667</v>
      </c>
      <c r="N42">
        <v>0</v>
      </c>
      <c r="O42">
        <f t="shared" si="4"/>
        <v>0</v>
      </c>
      <c r="P42">
        <v>500000</v>
      </c>
      <c r="Q42">
        <f t="shared" si="5"/>
        <v>0.5</v>
      </c>
      <c r="R42">
        <f t="shared" si="6"/>
        <v>0.5</v>
      </c>
    </row>
    <row r="43" spans="1:18" x14ac:dyDescent="0.2">
      <c r="A43">
        <v>40</v>
      </c>
      <c r="B43" t="s">
        <v>56</v>
      </c>
      <c r="C43">
        <v>40</v>
      </c>
      <c r="D43">
        <v>5001884</v>
      </c>
      <c r="E43">
        <f t="shared" si="0"/>
        <v>5.0018840000000004</v>
      </c>
      <c r="F43">
        <v>218584996</v>
      </c>
      <c r="G43">
        <f t="shared" si="1"/>
        <v>218.58499599999999</v>
      </c>
      <c r="I43">
        <v>165</v>
      </c>
      <c r="J43">
        <v>9</v>
      </c>
      <c r="K43">
        <f t="shared" si="2"/>
        <v>3</v>
      </c>
      <c r="L43">
        <v>4</v>
      </c>
      <c r="M43">
        <f t="shared" si="3"/>
        <v>1.3333333333333333</v>
      </c>
      <c r="N43">
        <v>0</v>
      </c>
      <c r="O43">
        <f t="shared" si="4"/>
        <v>0</v>
      </c>
      <c r="P43">
        <v>4802936</v>
      </c>
      <c r="Q43">
        <f t="shared" si="5"/>
        <v>4.8029359999999999</v>
      </c>
      <c r="R43">
        <f t="shared" si="6"/>
        <v>4.8029359999999999</v>
      </c>
    </row>
    <row r="44" spans="1:18" x14ac:dyDescent="0.2">
      <c r="A44">
        <v>41</v>
      </c>
      <c r="B44" t="s">
        <v>58</v>
      </c>
      <c r="C44">
        <v>32</v>
      </c>
      <c r="D44">
        <v>13719000</v>
      </c>
      <c r="E44">
        <f t="shared" si="0"/>
        <v>13.718999999999999</v>
      </c>
      <c r="F44">
        <v>176572604</v>
      </c>
      <c r="G44">
        <f t="shared" si="1"/>
        <v>176.57260400000001</v>
      </c>
      <c r="I44">
        <v>79</v>
      </c>
      <c r="J44">
        <v>4</v>
      </c>
      <c r="K44">
        <f t="shared" si="2"/>
        <v>1.3333333333333333</v>
      </c>
      <c r="L44">
        <v>2</v>
      </c>
      <c r="M44">
        <f t="shared" si="3"/>
        <v>0.66666666666666663</v>
      </c>
      <c r="N44">
        <v>21179452</v>
      </c>
      <c r="O44">
        <f t="shared" si="4"/>
        <v>21.179452000000001</v>
      </c>
      <c r="P44">
        <v>28615471</v>
      </c>
      <c r="Q44">
        <f t="shared" si="5"/>
        <v>28.615470999999999</v>
      </c>
      <c r="R44">
        <f t="shared" si="6"/>
        <v>49.794922999999997</v>
      </c>
    </row>
    <row r="45" spans="1:18" x14ac:dyDescent="0.2">
      <c r="A45">
        <v>42</v>
      </c>
      <c r="B45" t="s">
        <v>57</v>
      </c>
      <c r="C45">
        <v>25</v>
      </c>
      <c r="D45">
        <v>569270</v>
      </c>
      <c r="E45">
        <f t="shared" si="0"/>
        <v>0.56927000000000005</v>
      </c>
      <c r="F45">
        <v>64898000</v>
      </c>
      <c r="G45">
        <f t="shared" si="1"/>
        <v>64.897999999999996</v>
      </c>
      <c r="I45">
        <v>181</v>
      </c>
      <c r="J45">
        <v>38</v>
      </c>
      <c r="K45">
        <f t="shared" si="2"/>
        <v>12.666666666666666</v>
      </c>
      <c r="L45">
        <v>8</v>
      </c>
      <c r="M45">
        <f t="shared" si="3"/>
        <v>2.6666666666666665</v>
      </c>
      <c r="N45">
        <v>961600</v>
      </c>
      <c r="O45">
        <f t="shared" si="4"/>
        <v>0.96160000000000001</v>
      </c>
      <c r="P45">
        <v>0</v>
      </c>
      <c r="Q45">
        <f t="shared" si="5"/>
        <v>0</v>
      </c>
      <c r="R45">
        <f t="shared" si="6"/>
        <v>0.96160000000000001</v>
      </c>
    </row>
    <row r="46" spans="1:18" x14ac:dyDescent="0.2">
      <c r="A46">
        <v>43</v>
      </c>
      <c r="B46" t="s">
        <v>59</v>
      </c>
      <c r="C46">
        <v>33</v>
      </c>
      <c r="D46">
        <v>31327857</v>
      </c>
      <c r="E46">
        <f t="shared" si="0"/>
        <v>31.327857000000002</v>
      </c>
      <c r="F46">
        <v>262628309</v>
      </c>
      <c r="G46">
        <f t="shared" si="1"/>
        <v>262.628309</v>
      </c>
      <c r="I46">
        <v>167</v>
      </c>
      <c r="J46">
        <v>8</v>
      </c>
      <c r="K46">
        <f t="shared" si="2"/>
        <v>2.6666666666666665</v>
      </c>
      <c r="L46">
        <v>1</v>
      </c>
      <c r="M46">
        <f t="shared" si="3"/>
        <v>0.33333333333333331</v>
      </c>
      <c r="N46">
        <v>20816672</v>
      </c>
      <c r="O46">
        <f t="shared" si="4"/>
        <v>20.816672000000001</v>
      </c>
      <c r="P46">
        <v>22661361</v>
      </c>
      <c r="Q46">
        <f t="shared" si="5"/>
        <v>22.661360999999999</v>
      </c>
      <c r="R46">
        <f t="shared" si="6"/>
        <v>43.478032999999996</v>
      </c>
    </row>
    <row r="47" spans="1:18" x14ac:dyDescent="0.2">
      <c r="A47">
        <v>44</v>
      </c>
      <c r="B47" t="s">
        <v>60</v>
      </c>
      <c r="C47">
        <v>19</v>
      </c>
      <c r="D47">
        <v>9101149</v>
      </c>
      <c r="E47">
        <f t="shared" si="0"/>
        <v>9.1011489999999995</v>
      </c>
      <c r="F47">
        <v>41593946</v>
      </c>
      <c r="G47">
        <f t="shared" si="1"/>
        <v>41.593946000000003</v>
      </c>
      <c r="I47">
        <v>54</v>
      </c>
      <c r="J47">
        <v>51</v>
      </c>
      <c r="K47">
        <f t="shared" si="2"/>
        <v>17</v>
      </c>
      <c r="L47">
        <v>12</v>
      </c>
      <c r="M47">
        <f t="shared" si="3"/>
        <v>4</v>
      </c>
      <c r="N47">
        <v>0</v>
      </c>
      <c r="O47">
        <f t="shared" si="4"/>
        <v>0</v>
      </c>
      <c r="P47">
        <v>0</v>
      </c>
      <c r="Q47">
        <f t="shared" si="5"/>
        <v>0</v>
      </c>
      <c r="R47">
        <f t="shared" si="6"/>
        <v>0</v>
      </c>
    </row>
    <row r="48" spans="1:18" x14ac:dyDescent="0.2">
      <c r="A48">
        <v>45</v>
      </c>
      <c r="B48" t="s">
        <v>61</v>
      </c>
      <c r="C48">
        <v>62</v>
      </c>
      <c r="D48">
        <v>26415327</v>
      </c>
      <c r="E48">
        <f t="shared" si="0"/>
        <v>26.415327000000001</v>
      </c>
      <c r="F48">
        <v>333381738</v>
      </c>
      <c r="G48">
        <f t="shared" si="1"/>
        <v>333.38173799999998</v>
      </c>
      <c r="I48">
        <v>246</v>
      </c>
      <c r="J48">
        <v>19</v>
      </c>
      <c r="K48">
        <f t="shared" si="2"/>
        <v>6.333333333333333</v>
      </c>
      <c r="L48">
        <v>4</v>
      </c>
      <c r="M48">
        <f t="shared" si="3"/>
        <v>1.3333333333333333</v>
      </c>
      <c r="N48">
        <v>0</v>
      </c>
      <c r="O48">
        <f t="shared" si="4"/>
        <v>0</v>
      </c>
      <c r="P48">
        <v>8403825</v>
      </c>
      <c r="Q48">
        <f t="shared" si="5"/>
        <v>8.4038249999999994</v>
      </c>
      <c r="R48">
        <f t="shared" si="6"/>
        <v>8.4038249999999994</v>
      </c>
    </row>
    <row r="49" spans="1:18" x14ac:dyDescent="0.2">
      <c r="A49">
        <v>46</v>
      </c>
      <c r="B49" t="s">
        <v>62</v>
      </c>
      <c r="C49">
        <v>35</v>
      </c>
      <c r="D49">
        <v>29606835</v>
      </c>
      <c r="E49">
        <f t="shared" si="0"/>
        <v>29.606835</v>
      </c>
      <c r="F49">
        <v>87449524</v>
      </c>
      <c r="G49">
        <f t="shared" si="1"/>
        <v>87.449523999999997</v>
      </c>
      <c r="I49">
        <v>144</v>
      </c>
      <c r="J49">
        <v>34</v>
      </c>
      <c r="K49">
        <f t="shared" si="2"/>
        <v>11.333333333333334</v>
      </c>
      <c r="L49">
        <v>2</v>
      </c>
      <c r="M49">
        <f t="shared" si="3"/>
        <v>0.66666666666666663</v>
      </c>
      <c r="N49">
        <v>0</v>
      </c>
      <c r="O49">
        <f t="shared" si="4"/>
        <v>0</v>
      </c>
      <c r="P49">
        <v>350000</v>
      </c>
      <c r="Q49">
        <f t="shared" si="5"/>
        <v>0.35</v>
      </c>
      <c r="R49">
        <f t="shared" si="6"/>
        <v>0.35</v>
      </c>
    </row>
    <row r="50" spans="1:18" x14ac:dyDescent="0.2">
      <c r="A50">
        <v>47</v>
      </c>
      <c r="B50" t="s">
        <v>63</v>
      </c>
      <c r="C50">
        <v>61</v>
      </c>
      <c r="D50">
        <v>13295570</v>
      </c>
      <c r="E50">
        <f t="shared" si="0"/>
        <v>13.29557</v>
      </c>
      <c r="F50">
        <v>164662200</v>
      </c>
      <c r="G50">
        <f t="shared" si="1"/>
        <v>164.66220000000001</v>
      </c>
      <c r="I50">
        <v>240</v>
      </c>
      <c r="J50">
        <v>7</v>
      </c>
      <c r="K50">
        <f t="shared" si="2"/>
        <v>2.3333333333333335</v>
      </c>
      <c r="L50">
        <v>1</v>
      </c>
      <c r="M50">
        <f t="shared" si="3"/>
        <v>0.33333333333333331</v>
      </c>
      <c r="N50">
        <v>4028700</v>
      </c>
      <c r="O50">
        <f t="shared" si="4"/>
        <v>4.0286999999999997</v>
      </c>
      <c r="P50">
        <v>650000</v>
      </c>
      <c r="Q50">
        <f t="shared" si="5"/>
        <v>0.65</v>
      </c>
      <c r="R50">
        <f t="shared" si="6"/>
        <v>4.6787000000000001</v>
      </c>
    </row>
    <row r="51" spans="1:18" x14ac:dyDescent="0.2">
      <c r="A51">
        <v>48</v>
      </c>
      <c r="B51" t="s">
        <v>64</v>
      </c>
      <c r="C51">
        <v>301</v>
      </c>
      <c r="D51">
        <v>14914556</v>
      </c>
      <c r="E51">
        <f t="shared" si="0"/>
        <v>14.914555999999999</v>
      </c>
      <c r="F51">
        <v>938761991</v>
      </c>
      <c r="G51">
        <f t="shared" si="1"/>
        <v>938.76199099999997</v>
      </c>
      <c r="I51">
        <v>301</v>
      </c>
      <c r="J51">
        <v>98</v>
      </c>
      <c r="K51">
        <f t="shared" si="2"/>
        <v>32.666666666666664</v>
      </c>
      <c r="L51">
        <v>8</v>
      </c>
      <c r="M51">
        <f t="shared" si="3"/>
        <v>2.6666666666666665</v>
      </c>
      <c r="N51">
        <v>1752004</v>
      </c>
      <c r="O51">
        <f t="shared" si="4"/>
        <v>1.7520039999999999</v>
      </c>
      <c r="P51">
        <v>76468420</v>
      </c>
      <c r="Q51">
        <f t="shared" si="5"/>
        <v>76.468419999999995</v>
      </c>
      <c r="R51">
        <f t="shared" si="6"/>
        <v>78.220423999999994</v>
      </c>
    </row>
    <row r="52" spans="1:18" x14ac:dyDescent="0.2">
      <c r="A52">
        <v>49</v>
      </c>
      <c r="B52" t="s">
        <v>65</v>
      </c>
      <c r="C52">
        <v>17</v>
      </c>
      <c r="D52">
        <v>0</v>
      </c>
      <c r="E52">
        <f t="shared" si="0"/>
        <v>0</v>
      </c>
      <c r="F52">
        <v>36839596</v>
      </c>
      <c r="G52">
        <f t="shared" si="1"/>
        <v>36.839596</v>
      </c>
      <c r="I52">
        <v>66</v>
      </c>
      <c r="J52">
        <v>35</v>
      </c>
      <c r="K52">
        <f t="shared" si="2"/>
        <v>11.666666666666666</v>
      </c>
      <c r="L52">
        <v>16</v>
      </c>
      <c r="M52">
        <f t="shared" si="3"/>
        <v>5.333333333333333</v>
      </c>
      <c r="N52">
        <v>0</v>
      </c>
      <c r="O52">
        <f t="shared" si="4"/>
        <v>0</v>
      </c>
      <c r="P52">
        <v>0</v>
      </c>
      <c r="Q52">
        <f t="shared" si="5"/>
        <v>0</v>
      </c>
      <c r="R52">
        <f t="shared" si="6"/>
        <v>0</v>
      </c>
    </row>
    <row r="53" spans="1:18" x14ac:dyDescent="0.2">
      <c r="A53">
        <v>50</v>
      </c>
      <c r="B53" t="s">
        <v>66</v>
      </c>
      <c r="C53">
        <v>48</v>
      </c>
      <c r="D53">
        <v>15443710</v>
      </c>
      <c r="E53">
        <f t="shared" si="0"/>
        <v>15.443709999999999</v>
      </c>
      <c r="F53">
        <v>74261172</v>
      </c>
      <c r="G53">
        <f t="shared" si="1"/>
        <v>74.261172000000002</v>
      </c>
      <c r="I53">
        <v>212</v>
      </c>
      <c r="J53">
        <v>0</v>
      </c>
      <c r="K53">
        <f t="shared" si="2"/>
        <v>0</v>
      </c>
      <c r="L53">
        <v>0</v>
      </c>
      <c r="M53">
        <f t="shared" si="3"/>
        <v>0</v>
      </c>
      <c r="N53">
        <v>35250</v>
      </c>
      <c r="O53">
        <f t="shared" si="4"/>
        <v>3.5249999999999997E-2</v>
      </c>
      <c r="P53">
        <v>721000</v>
      </c>
      <c r="Q53">
        <f t="shared" si="5"/>
        <v>0.72099999999999997</v>
      </c>
      <c r="R53">
        <f t="shared" si="6"/>
        <v>0.75624999999999998</v>
      </c>
    </row>
  </sheetData>
  <sheetProtection selectLockedCells="1" selectUnlockedCells="1"/>
  <mergeCells count="6">
    <mergeCell ref="B1:B3"/>
    <mergeCell ref="C1:F1"/>
    <mergeCell ref="D2:F2"/>
    <mergeCell ref="A1:A3"/>
    <mergeCell ref="I1:R1"/>
    <mergeCell ref="J2:R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60" workbookViewId="0">
      <selection activeCell="G25" sqref="G25:G85"/>
    </sheetView>
  </sheetViews>
  <sheetFormatPr defaultRowHeight="12.75" x14ac:dyDescent="0.2"/>
  <cols>
    <col min="1" max="1" width="18.7109375" bestFit="1" customWidth="1"/>
    <col min="7" max="7" width="13.140625" bestFit="1" customWidth="1"/>
    <col min="8" max="8" width="15.42578125" bestFit="1" customWidth="1"/>
  </cols>
  <sheetData>
    <row r="1" spans="1:9" x14ac:dyDescent="0.2">
      <c r="A1" t="s">
        <v>126</v>
      </c>
    </row>
    <row r="2" spans="1:9" ht="13.5" thickBot="1" x14ac:dyDescent="0.25"/>
    <row r="3" spans="1:9" x14ac:dyDescent="0.2">
      <c r="A3" s="16" t="s">
        <v>127</v>
      </c>
      <c r="B3" s="16"/>
    </row>
    <row r="4" spans="1:9" x14ac:dyDescent="0.2">
      <c r="A4" s="13" t="s">
        <v>128</v>
      </c>
      <c r="B4" s="13">
        <v>0.60850571180566948</v>
      </c>
    </row>
    <row r="5" spans="1:9" x14ac:dyDescent="0.2">
      <c r="A5" s="13" t="s">
        <v>129</v>
      </c>
      <c r="B5" s="13">
        <v>0.37027920130012443</v>
      </c>
    </row>
    <row r="6" spans="1:9" x14ac:dyDescent="0.2">
      <c r="A6" s="13" t="s">
        <v>130</v>
      </c>
      <c r="B6" s="13">
        <v>0.35716001799387703</v>
      </c>
    </row>
    <row r="7" spans="1:9" x14ac:dyDescent="0.2">
      <c r="A7" s="13" t="s">
        <v>131</v>
      </c>
      <c r="B7" s="13">
        <v>342.00786601031302</v>
      </c>
    </row>
    <row r="8" spans="1:9" ht="13.5" thickBot="1" x14ac:dyDescent="0.25">
      <c r="A8" s="14" t="s">
        <v>132</v>
      </c>
      <c r="B8" s="14">
        <v>50</v>
      </c>
    </row>
    <row r="10" spans="1:9" ht="13.5" thickBot="1" x14ac:dyDescent="0.25">
      <c r="A10" t="s">
        <v>133</v>
      </c>
    </row>
    <row r="11" spans="1:9" x14ac:dyDescent="0.2">
      <c r="A11" s="15"/>
      <c r="B11" s="15" t="s">
        <v>137</v>
      </c>
      <c r="C11" s="15" t="s">
        <v>138</v>
      </c>
      <c r="D11" s="15" t="s">
        <v>139</v>
      </c>
      <c r="E11" s="15" t="s">
        <v>140</v>
      </c>
      <c r="F11" s="15" t="s">
        <v>141</v>
      </c>
    </row>
    <row r="12" spans="1:9" x14ac:dyDescent="0.2">
      <c r="A12" s="13" t="s">
        <v>134</v>
      </c>
      <c r="B12" s="13">
        <v>1</v>
      </c>
      <c r="C12" s="13">
        <v>3301373.8542127432</v>
      </c>
      <c r="D12" s="13">
        <v>3301373.8542127432</v>
      </c>
      <c r="E12" s="13">
        <v>28.224257002628814</v>
      </c>
      <c r="F12" s="13">
        <v>2.7581586566256944E-6</v>
      </c>
    </row>
    <row r="13" spans="1:9" x14ac:dyDescent="0.2">
      <c r="A13" s="13" t="s">
        <v>135</v>
      </c>
      <c r="B13" s="13">
        <v>48</v>
      </c>
      <c r="C13" s="13">
        <v>5614530.2598205553</v>
      </c>
      <c r="D13" s="13">
        <v>116969.38041292824</v>
      </c>
      <c r="E13" s="13"/>
      <c r="F13" s="13"/>
    </row>
    <row r="14" spans="1:9" ht="13.5" thickBot="1" x14ac:dyDescent="0.25">
      <c r="A14" s="14" t="s">
        <v>7</v>
      </c>
      <c r="B14" s="14">
        <v>49</v>
      </c>
      <c r="C14" s="14">
        <v>8915904.1140332986</v>
      </c>
      <c r="D14" s="14"/>
      <c r="E14" s="14"/>
      <c r="F14" s="14"/>
    </row>
    <row r="15" spans="1:9" ht="13.5" thickBot="1" x14ac:dyDescent="0.25"/>
    <row r="16" spans="1:9" x14ac:dyDescent="0.2">
      <c r="A16" s="15"/>
      <c r="B16" s="15" t="s">
        <v>142</v>
      </c>
      <c r="C16" s="15" t="s">
        <v>131</v>
      </c>
      <c r="D16" s="15" t="s">
        <v>143</v>
      </c>
      <c r="E16" s="15" t="s">
        <v>144</v>
      </c>
      <c r="F16" s="15" t="s">
        <v>145</v>
      </c>
      <c r="G16" s="15" t="s">
        <v>146</v>
      </c>
      <c r="H16" s="15" t="s">
        <v>147</v>
      </c>
      <c r="I16" s="15" t="s">
        <v>148</v>
      </c>
    </row>
    <row r="17" spans="1:9" x14ac:dyDescent="0.2">
      <c r="A17" s="13" t="s">
        <v>136</v>
      </c>
      <c r="B17" s="13">
        <v>51.791508035921879</v>
      </c>
      <c r="C17" s="13">
        <v>75.087256650179043</v>
      </c>
      <c r="D17" s="13">
        <v>0.68975096902542632</v>
      </c>
      <c r="E17" s="13">
        <v>0.49367218569017335</v>
      </c>
      <c r="F17" s="13">
        <v>-99.181540039579318</v>
      </c>
      <c r="G17" s="13">
        <v>202.76455611142308</v>
      </c>
      <c r="H17" s="13">
        <v>-99.181540039579318</v>
      </c>
      <c r="I17" s="13">
        <v>202.76455611142308</v>
      </c>
    </row>
    <row r="18" spans="1:9" ht="13.5" thickBot="1" x14ac:dyDescent="0.25">
      <c r="A18" s="14" t="s">
        <v>7</v>
      </c>
      <c r="B18" s="14">
        <v>5.1857379269897699</v>
      </c>
      <c r="C18" s="14">
        <v>0.97611122241224813</v>
      </c>
      <c r="D18" s="14">
        <v>5.3126506569347072</v>
      </c>
      <c r="E18" s="14">
        <v>2.7581586566257351E-6</v>
      </c>
      <c r="F18" s="14">
        <v>3.2231347759006272</v>
      </c>
      <c r="G18" s="14">
        <v>7.1483410780789125</v>
      </c>
      <c r="H18" s="14">
        <v>3.2231347759006272</v>
      </c>
      <c r="I18" s="14">
        <v>7.1483410780789125</v>
      </c>
    </row>
    <row r="22" spans="1:9" x14ac:dyDescent="0.2">
      <c r="A22" t="s">
        <v>149</v>
      </c>
    </row>
    <row r="23" spans="1:9" ht="13.5" thickBot="1" x14ac:dyDescent="0.25">
      <c r="G23" s="24" t="s">
        <v>153</v>
      </c>
      <c r="H23" s="24"/>
    </row>
    <row r="24" spans="1:9" x14ac:dyDescent="0.2">
      <c r="A24" s="15" t="s">
        <v>150</v>
      </c>
      <c r="B24" s="15" t="s">
        <v>151</v>
      </c>
      <c r="C24" s="15" t="s">
        <v>152</v>
      </c>
      <c r="G24" t="s">
        <v>154</v>
      </c>
      <c r="H24" t="s">
        <v>155</v>
      </c>
    </row>
    <row r="25" spans="1:9" x14ac:dyDescent="0.2">
      <c r="A25" s="13">
        <v>1</v>
      </c>
      <c r="B25" s="13">
        <v>715.56596269061242</v>
      </c>
      <c r="C25" s="13">
        <v>1602.8371713093877</v>
      </c>
      <c r="G25">
        <f>$B$17+C25</f>
        <v>1654.6286793453096</v>
      </c>
      <c r="H25">
        <f>(Management!G4-'Mgmt Opex Lbr Reg'!$B$18*Management!C4)</f>
        <v>1654.6286793453096</v>
      </c>
    </row>
    <row r="26" spans="1:9" x14ac:dyDescent="0.2">
      <c r="A26" s="13">
        <v>2</v>
      </c>
      <c r="B26" s="13">
        <v>637.77989378576592</v>
      </c>
      <c r="C26" s="13">
        <v>97.06298021423413</v>
      </c>
      <c r="G26">
        <f>$B$17+C26</f>
        <v>148.85448825015601</v>
      </c>
      <c r="H26">
        <f>(Management!G5-'Mgmt Opex Lbr Reg'!$B$18*Management!C5)</f>
        <v>148.85448825015601</v>
      </c>
    </row>
    <row r="27" spans="1:9" x14ac:dyDescent="0.2">
      <c r="A27" s="13">
        <v>3</v>
      </c>
      <c r="B27" s="13">
        <v>544.43661109995003</v>
      </c>
      <c r="C27" s="13">
        <v>992.26338890005002</v>
      </c>
      <c r="G27">
        <f t="shared" ref="G27:G74" si="0">$B$17+C27</f>
        <v>1044.054896935972</v>
      </c>
      <c r="H27">
        <f>(Management!G6-'Mgmt Opex Lbr Reg'!$B$18*Management!C6)</f>
        <v>1044.054896935972</v>
      </c>
    </row>
    <row r="28" spans="1:9" x14ac:dyDescent="0.2">
      <c r="A28" s="13">
        <v>4</v>
      </c>
      <c r="B28" s="13">
        <v>502.95070768403184</v>
      </c>
      <c r="C28" s="13">
        <v>560.09249231596823</v>
      </c>
      <c r="G28">
        <f t="shared" si="0"/>
        <v>611.88400035189011</v>
      </c>
      <c r="H28">
        <f>(Management!G7-'Mgmt Opex Lbr Reg'!$B$18*Management!C7)</f>
        <v>611.88400035189011</v>
      </c>
    </row>
    <row r="29" spans="1:9" x14ac:dyDescent="0.2">
      <c r="A29" s="13">
        <v>5</v>
      </c>
      <c r="B29" s="13">
        <v>165.87774242969681</v>
      </c>
      <c r="C29" s="13">
        <v>-128.07420142969681</v>
      </c>
      <c r="G29">
        <f t="shared" si="0"/>
        <v>-76.282693393774935</v>
      </c>
      <c r="H29">
        <f>(Management!G8-'Mgmt Opex Lbr Reg'!$B$18*Management!C8)</f>
        <v>-76.282693393774935</v>
      </c>
    </row>
    <row r="30" spans="1:9" x14ac:dyDescent="0.2">
      <c r="A30" s="13">
        <v>6</v>
      </c>
      <c r="B30" s="13">
        <v>440.72185256015462</v>
      </c>
      <c r="C30" s="13">
        <v>-102.85932556015462</v>
      </c>
      <c r="G30">
        <f t="shared" si="0"/>
        <v>-51.067817524232737</v>
      </c>
      <c r="H30">
        <f>(Management!G9-'Mgmt Opex Lbr Reg'!$B$18*Management!C9)</f>
        <v>-51.067817524232737</v>
      </c>
    </row>
    <row r="31" spans="1:9" x14ac:dyDescent="0.2">
      <c r="A31" s="13">
        <v>7</v>
      </c>
      <c r="B31" s="13">
        <v>155.50626657571729</v>
      </c>
      <c r="C31" s="13">
        <v>-46.393911575717297</v>
      </c>
      <c r="G31">
        <f t="shared" si="0"/>
        <v>5.3975964602045821</v>
      </c>
      <c r="H31">
        <f>(Management!G10-'Mgmt Opex Lbr Reg'!$B$18*Management!C10)</f>
        <v>5.3975964602045963</v>
      </c>
    </row>
    <row r="32" spans="1:9" x14ac:dyDescent="0.2">
      <c r="A32" s="13">
        <v>8</v>
      </c>
      <c r="B32" s="13">
        <v>191.80643206464566</v>
      </c>
      <c r="C32" s="13">
        <v>-153.31122206464568</v>
      </c>
      <c r="G32">
        <f t="shared" si="0"/>
        <v>-101.5197140287238</v>
      </c>
      <c r="H32">
        <f>(Management!G11-'Mgmt Opex Lbr Reg'!$B$18*Management!C11)</f>
        <v>-101.51971402872378</v>
      </c>
    </row>
    <row r="33" spans="1:8" x14ac:dyDescent="0.2">
      <c r="A33" s="13">
        <v>9</v>
      </c>
      <c r="B33" s="13">
        <v>129.57757694076844</v>
      </c>
      <c r="C33" s="13">
        <v>-81.148329940768434</v>
      </c>
      <c r="G33">
        <f t="shared" si="0"/>
        <v>-29.356821904846555</v>
      </c>
      <c r="H33">
        <f>(Management!G12-'Mgmt Opex Lbr Reg'!$B$18*Management!C12)</f>
        <v>-29.356821904846548</v>
      </c>
    </row>
    <row r="34" spans="1:8" x14ac:dyDescent="0.2">
      <c r="A34" s="13">
        <v>10</v>
      </c>
      <c r="B34" s="13">
        <v>477.02201804908299</v>
      </c>
      <c r="C34" s="13">
        <v>459.87298195091699</v>
      </c>
      <c r="G34">
        <f t="shared" si="0"/>
        <v>511.66448998683887</v>
      </c>
      <c r="H34">
        <f>(Management!G13-'Mgmt Opex Lbr Reg'!$B$18*Management!C13)</f>
        <v>511.66448998683887</v>
      </c>
    </row>
    <row r="35" spans="1:8" x14ac:dyDescent="0.2">
      <c r="A35" s="13">
        <v>11</v>
      </c>
      <c r="B35" s="13">
        <v>570.36530073489882</v>
      </c>
      <c r="C35" s="13">
        <v>-39.172400734898815</v>
      </c>
      <c r="G35">
        <f t="shared" si="0"/>
        <v>12.619107301023064</v>
      </c>
      <c r="H35">
        <f>(Management!G14-'Mgmt Opex Lbr Reg'!$B$18*Management!C14)</f>
        <v>12.619107301023064</v>
      </c>
    </row>
    <row r="36" spans="1:8" x14ac:dyDescent="0.2">
      <c r="A36" s="13">
        <v>12</v>
      </c>
      <c r="B36" s="13">
        <v>492.57923183005232</v>
      </c>
      <c r="C36" s="13">
        <v>-95.156824830052301</v>
      </c>
      <c r="G36">
        <f t="shared" si="0"/>
        <v>-43.365316794130422</v>
      </c>
      <c r="H36">
        <f>(Management!G15-'Mgmt Opex Lbr Reg'!$B$18*Management!C15)</f>
        <v>-43.365316794130422</v>
      </c>
    </row>
    <row r="37" spans="1:8" x14ac:dyDescent="0.2">
      <c r="A37" s="13">
        <v>13</v>
      </c>
      <c r="B37" s="13">
        <v>191.80643206464566</v>
      </c>
      <c r="C37" s="13">
        <v>87.95253193535433</v>
      </c>
      <c r="G37">
        <f t="shared" si="0"/>
        <v>139.74403997127621</v>
      </c>
      <c r="H37">
        <f>(Management!G16-'Mgmt Opex Lbr Reg'!$B$18*Management!C16)</f>
        <v>139.74403997127621</v>
      </c>
    </row>
    <row r="38" spans="1:8" x14ac:dyDescent="0.2">
      <c r="A38" s="13">
        <v>14</v>
      </c>
      <c r="B38" s="13">
        <v>357.7500457283183</v>
      </c>
      <c r="C38" s="13">
        <v>0.35346727168172265</v>
      </c>
      <c r="G38">
        <f t="shared" si="0"/>
        <v>52.144975307603602</v>
      </c>
      <c r="H38">
        <f>(Management!G17-'Mgmt Opex Lbr Reg'!$B$18*Management!C17)</f>
        <v>52.144975307603602</v>
      </c>
    </row>
    <row r="39" spans="1:8" x14ac:dyDescent="0.2">
      <c r="A39" s="13">
        <v>15</v>
      </c>
      <c r="B39" s="13">
        <v>321.44988023938993</v>
      </c>
      <c r="C39" s="13">
        <v>-147.04517423938992</v>
      </c>
      <c r="G39">
        <f t="shared" si="0"/>
        <v>-95.253666203468043</v>
      </c>
      <c r="H39">
        <f>(Management!G18-'Mgmt Opex Lbr Reg'!$B$18*Management!C18)</f>
        <v>-95.253666203468043</v>
      </c>
    </row>
    <row r="40" spans="1:8" x14ac:dyDescent="0.2">
      <c r="A40" s="13">
        <v>16</v>
      </c>
      <c r="B40" s="13">
        <v>181.43495621066612</v>
      </c>
      <c r="C40" s="13">
        <v>211.18733378933391</v>
      </c>
      <c r="G40">
        <f t="shared" si="0"/>
        <v>262.97884182525581</v>
      </c>
      <c r="H40">
        <f>(Management!G19-'Mgmt Opex Lbr Reg'!$B$18*Management!C19)</f>
        <v>262.97884182525581</v>
      </c>
    </row>
    <row r="41" spans="1:8" x14ac:dyDescent="0.2">
      <c r="A41" s="13">
        <v>17</v>
      </c>
      <c r="B41" s="13">
        <v>145.13479072173774</v>
      </c>
      <c r="C41" s="13">
        <v>-109.83479072173775</v>
      </c>
      <c r="G41">
        <f t="shared" si="0"/>
        <v>-58.043282685815868</v>
      </c>
      <c r="H41">
        <f>(Management!G20-'Mgmt Opex Lbr Reg'!$B$18*Management!C20)</f>
        <v>-58.043282685815868</v>
      </c>
    </row>
    <row r="42" spans="1:8" x14ac:dyDescent="0.2">
      <c r="A42" s="13">
        <v>18</v>
      </c>
      <c r="B42" s="13">
        <v>362.93578365530806</v>
      </c>
      <c r="C42" s="13">
        <v>-26.205259655308055</v>
      </c>
      <c r="G42">
        <f t="shared" si="0"/>
        <v>25.586248380613824</v>
      </c>
      <c r="H42">
        <f>(Management!G21-'Mgmt Opex Lbr Reg'!$B$18*Management!C21)</f>
        <v>25.586248380613824</v>
      </c>
    </row>
    <row r="43" spans="1:8" x14ac:dyDescent="0.2">
      <c r="A43" s="13">
        <v>19</v>
      </c>
      <c r="B43" s="13">
        <v>451.09332841413413</v>
      </c>
      <c r="C43" s="13">
        <v>-142.24835941413414</v>
      </c>
      <c r="G43">
        <f t="shared" si="0"/>
        <v>-90.456851378212264</v>
      </c>
      <c r="H43">
        <f>(Management!G22-'Mgmt Opex Lbr Reg'!$B$18*Management!C22)</f>
        <v>-90.456851378212264</v>
      </c>
    </row>
    <row r="44" spans="1:8" x14ac:dyDescent="0.2">
      <c r="A44" s="13">
        <v>20</v>
      </c>
      <c r="B44" s="13">
        <v>222.92085962658427</v>
      </c>
      <c r="C44" s="13">
        <v>35.304245373415711</v>
      </c>
      <c r="G44">
        <f t="shared" si="0"/>
        <v>87.09575340933759</v>
      </c>
      <c r="H44">
        <f>(Management!G23-'Mgmt Opex Lbr Reg'!$B$18*Management!C23)</f>
        <v>87.09575340933759</v>
      </c>
    </row>
    <row r="45" spans="1:8" x14ac:dyDescent="0.2">
      <c r="A45" s="13">
        <v>21</v>
      </c>
      <c r="B45" s="13">
        <v>290.33545267745126</v>
      </c>
      <c r="C45" s="13">
        <v>-120.24573067745126</v>
      </c>
      <c r="G45">
        <f t="shared" si="0"/>
        <v>-68.454222641529384</v>
      </c>
      <c r="H45">
        <f>(Management!G24-'Mgmt Opex Lbr Reg'!$B$18*Management!C24)</f>
        <v>-68.454222641529412</v>
      </c>
    </row>
    <row r="46" spans="1:8" x14ac:dyDescent="0.2">
      <c r="A46" s="13">
        <v>22</v>
      </c>
      <c r="B46" s="13">
        <v>969.66712111311119</v>
      </c>
      <c r="C46" s="13">
        <v>-186.0938121131112</v>
      </c>
      <c r="G46">
        <f t="shared" si="0"/>
        <v>-134.30230407718932</v>
      </c>
      <c r="H46">
        <f>(Management!G25-'Mgmt Opex Lbr Reg'!$B$18*Management!C25)</f>
        <v>-134.30230407718932</v>
      </c>
    </row>
    <row r="47" spans="1:8" x14ac:dyDescent="0.2">
      <c r="A47" s="13">
        <v>23</v>
      </c>
      <c r="B47" s="13">
        <v>274.77823889648198</v>
      </c>
      <c r="C47" s="13">
        <v>148.85175510351803</v>
      </c>
      <c r="G47">
        <f t="shared" si="0"/>
        <v>200.64326313943991</v>
      </c>
      <c r="H47">
        <f>(Management!G26-'Mgmt Opex Lbr Reg'!$B$18*Management!C26)</f>
        <v>200.64326313943991</v>
      </c>
    </row>
    <row r="48" spans="1:8" x14ac:dyDescent="0.2">
      <c r="A48" s="13">
        <v>24</v>
      </c>
      <c r="B48" s="13">
        <v>694.82301098265339</v>
      </c>
      <c r="C48" s="13">
        <v>-296.3973049826534</v>
      </c>
      <c r="G48">
        <f t="shared" si="0"/>
        <v>-244.60579694673152</v>
      </c>
      <c r="H48">
        <f>(Management!G27-'Mgmt Opex Lbr Reg'!$B$18*Management!C27)</f>
        <v>-244.60579694673152</v>
      </c>
    </row>
    <row r="49" spans="1:8" x14ac:dyDescent="0.2">
      <c r="A49" s="13">
        <v>25</v>
      </c>
      <c r="B49" s="13">
        <v>321.44988023938993</v>
      </c>
      <c r="C49" s="13">
        <v>28.750119760610062</v>
      </c>
      <c r="G49">
        <f t="shared" si="0"/>
        <v>80.541627796531941</v>
      </c>
      <c r="H49">
        <f>(Management!G28-'Mgmt Opex Lbr Reg'!$B$18*Management!C28)</f>
        <v>80.541627796531941</v>
      </c>
    </row>
    <row r="50" spans="1:8" x14ac:dyDescent="0.2">
      <c r="A50" s="13">
        <v>26</v>
      </c>
      <c r="B50" s="13">
        <v>196.99216999163542</v>
      </c>
      <c r="C50" s="13">
        <v>16.203240008364588</v>
      </c>
      <c r="G50">
        <f t="shared" si="0"/>
        <v>67.994748044286467</v>
      </c>
      <c r="H50">
        <f>(Management!G29-'Mgmt Opex Lbr Reg'!$B$18*Management!C29)</f>
        <v>67.994748044286467</v>
      </c>
    </row>
    <row r="51" spans="1:8" x14ac:dyDescent="0.2">
      <c r="A51" s="13">
        <v>27</v>
      </c>
      <c r="B51" s="13">
        <v>228.10659755357406</v>
      </c>
      <c r="C51" s="13">
        <v>-27.439446553574072</v>
      </c>
      <c r="G51">
        <f t="shared" si="0"/>
        <v>24.352061482347807</v>
      </c>
      <c r="H51">
        <f>(Management!G30-'Mgmt Opex Lbr Reg'!$B$18*Management!C30)</f>
        <v>24.352061482347807</v>
      </c>
    </row>
    <row r="52" spans="1:8" x14ac:dyDescent="0.2">
      <c r="A52" s="13">
        <v>28</v>
      </c>
      <c r="B52" s="13">
        <v>145.13479072173774</v>
      </c>
      <c r="C52" s="13">
        <v>-122.63819472173775</v>
      </c>
      <c r="G52">
        <f t="shared" si="0"/>
        <v>-70.846686685815868</v>
      </c>
      <c r="H52">
        <f>(Management!G31-'Mgmt Opex Lbr Reg'!$B$18*Management!C31)</f>
        <v>-70.846686685815868</v>
      </c>
    </row>
    <row r="53" spans="1:8" x14ac:dyDescent="0.2">
      <c r="A53" s="13">
        <v>29</v>
      </c>
      <c r="B53" s="13">
        <v>269.59250096949222</v>
      </c>
      <c r="C53" s="13">
        <v>-195.11026396949222</v>
      </c>
      <c r="G53">
        <f t="shared" si="0"/>
        <v>-143.31875593357034</v>
      </c>
      <c r="H53">
        <f>(Management!G32-'Mgmt Opex Lbr Reg'!$B$18*Management!C32)</f>
        <v>-143.31875593357034</v>
      </c>
    </row>
    <row r="54" spans="1:8" x14ac:dyDescent="0.2">
      <c r="A54" s="13">
        <v>30</v>
      </c>
      <c r="B54" s="13">
        <v>425.16463877918534</v>
      </c>
      <c r="C54" s="13">
        <v>-236.63519777918535</v>
      </c>
      <c r="G54">
        <f t="shared" si="0"/>
        <v>-184.84368974326347</v>
      </c>
      <c r="H54">
        <f>(Management!G33-'Mgmt Opex Lbr Reg'!$B$18*Management!C33)</f>
        <v>-184.84368974326347</v>
      </c>
    </row>
    <row r="55" spans="1:8" x14ac:dyDescent="0.2">
      <c r="A55" s="13">
        <v>31</v>
      </c>
      <c r="B55" s="13">
        <v>705.1944868366329</v>
      </c>
      <c r="C55" s="13">
        <v>-74.065415836632951</v>
      </c>
      <c r="G55">
        <f t="shared" si="0"/>
        <v>-22.273907800711072</v>
      </c>
      <c r="H55">
        <f>(Management!G34-'Mgmt Opex Lbr Reg'!$B$18*Management!C34)</f>
        <v>-22.273907800711072</v>
      </c>
    </row>
    <row r="56" spans="1:8" x14ac:dyDescent="0.2">
      <c r="A56" s="13">
        <v>32</v>
      </c>
      <c r="B56" s="13">
        <v>160.69200450270705</v>
      </c>
      <c r="C56" s="13">
        <v>-44.678478502707051</v>
      </c>
      <c r="G56">
        <f t="shared" si="0"/>
        <v>7.1130295332148279</v>
      </c>
      <c r="H56">
        <f>(Management!G35-'Mgmt Opex Lbr Reg'!$B$18*Management!C35)</f>
        <v>7.1130295332148279</v>
      </c>
    </row>
    <row r="57" spans="1:8" x14ac:dyDescent="0.2">
      <c r="A57" s="13">
        <v>33</v>
      </c>
      <c r="B57" s="13">
        <v>228.10659755357406</v>
      </c>
      <c r="C57" s="13">
        <v>-218.98736755357407</v>
      </c>
      <c r="G57">
        <f t="shared" si="0"/>
        <v>-167.1958595176522</v>
      </c>
      <c r="H57">
        <f>(Management!G36-'Mgmt Opex Lbr Reg'!$B$18*Management!C36)</f>
        <v>-167.1958595176522</v>
      </c>
    </row>
    <row r="58" spans="1:8" x14ac:dyDescent="0.2">
      <c r="A58" s="13">
        <v>34</v>
      </c>
      <c r="B58" s="13">
        <v>124.39183901377865</v>
      </c>
      <c r="C58" s="13">
        <v>-91.213518013778653</v>
      </c>
      <c r="G58">
        <f t="shared" si="0"/>
        <v>-39.422009977856774</v>
      </c>
      <c r="H58">
        <f>(Management!G37-'Mgmt Opex Lbr Reg'!$B$18*Management!C37)</f>
        <v>-39.422009977856774</v>
      </c>
    </row>
    <row r="59" spans="1:8" x14ac:dyDescent="0.2">
      <c r="A59" s="13">
        <v>35</v>
      </c>
      <c r="B59" s="13">
        <v>217.73512169959452</v>
      </c>
      <c r="C59" s="13">
        <v>34.873824300405488</v>
      </c>
      <c r="G59">
        <f t="shared" si="0"/>
        <v>86.665332336327367</v>
      </c>
      <c r="H59">
        <f>(Management!G38-'Mgmt Opex Lbr Reg'!$B$18*Management!C38)</f>
        <v>86.665332336327367</v>
      </c>
    </row>
    <row r="60" spans="1:8" x14ac:dyDescent="0.2">
      <c r="A60" s="13">
        <v>36</v>
      </c>
      <c r="B60" s="13">
        <v>357.7500457283183</v>
      </c>
      <c r="C60" s="13">
        <v>517.40769327168164</v>
      </c>
      <c r="G60">
        <f t="shared" si="0"/>
        <v>569.19920130760352</v>
      </c>
      <c r="H60">
        <f>(Management!G39-'Mgmt Opex Lbr Reg'!$B$18*Management!C39)</f>
        <v>569.19920130760352</v>
      </c>
    </row>
    <row r="61" spans="1:8" x14ac:dyDescent="0.2">
      <c r="A61" s="13">
        <v>37</v>
      </c>
      <c r="B61" s="13">
        <v>248.84954926153313</v>
      </c>
      <c r="C61" s="13">
        <v>32.502521738466896</v>
      </c>
      <c r="G61">
        <f t="shared" si="0"/>
        <v>84.294029774388775</v>
      </c>
      <c r="H61">
        <f>(Management!G40-'Mgmt Opex Lbr Reg'!$B$18*Management!C40)</f>
        <v>84.294029774388775</v>
      </c>
    </row>
    <row r="62" spans="1:8" x14ac:dyDescent="0.2">
      <c r="A62" s="13">
        <v>38</v>
      </c>
      <c r="B62" s="13">
        <v>471.83628012209323</v>
      </c>
      <c r="C62" s="13">
        <v>-336.00795612209322</v>
      </c>
      <c r="G62">
        <f t="shared" si="0"/>
        <v>-284.21644808617134</v>
      </c>
      <c r="H62">
        <f>(Management!G41-'Mgmt Opex Lbr Reg'!$B$18*Management!C41)</f>
        <v>-284.21644808617134</v>
      </c>
    </row>
    <row r="63" spans="1:8" x14ac:dyDescent="0.2">
      <c r="A63" s="13">
        <v>39</v>
      </c>
      <c r="B63" s="13">
        <v>196.99216999163542</v>
      </c>
      <c r="C63" s="13">
        <v>-144.47912299163542</v>
      </c>
      <c r="G63">
        <f t="shared" si="0"/>
        <v>-92.687614955713542</v>
      </c>
      <c r="H63">
        <f>(Management!G42-'Mgmt Opex Lbr Reg'!$B$18*Management!C42)</f>
        <v>-92.687614955713542</v>
      </c>
    </row>
    <row r="64" spans="1:8" x14ac:dyDescent="0.2">
      <c r="A64" s="13">
        <v>40</v>
      </c>
      <c r="B64" s="13">
        <v>259.2210251155127</v>
      </c>
      <c r="C64" s="13">
        <v>-40.636029115512713</v>
      </c>
      <c r="G64">
        <f t="shared" si="0"/>
        <v>11.155478920409166</v>
      </c>
      <c r="H64">
        <f>(Management!G43-'Mgmt Opex Lbr Reg'!$B$18*Management!C43)</f>
        <v>11.155478920409195</v>
      </c>
    </row>
    <row r="65" spans="1:8" x14ac:dyDescent="0.2">
      <c r="A65" s="13">
        <v>41</v>
      </c>
      <c r="B65" s="13">
        <v>217.73512169959452</v>
      </c>
      <c r="C65" s="13">
        <v>-41.162517699594503</v>
      </c>
      <c r="G65">
        <f t="shared" si="0"/>
        <v>10.628990336327377</v>
      </c>
      <c r="H65">
        <f>(Management!G44-'Mgmt Opex Lbr Reg'!$B$18*Management!C44)</f>
        <v>10.628990336327377</v>
      </c>
    </row>
    <row r="66" spans="1:8" x14ac:dyDescent="0.2">
      <c r="A66" s="13">
        <v>42</v>
      </c>
      <c r="B66" s="13">
        <v>181.43495621066612</v>
      </c>
      <c r="C66" s="13">
        <v>-116.53695621066612</v>
      </c>
      <c r="G66">
        <f t="shared" si="0"/>
        <v>-64.74544817474424</v>
      </c>
      <c r="H66">
        <f>(Management!G45-'Mgmt Opex Lbr Reg'!$B$18*Management!C45)</f>
        <v>-64.74544817474424</v>
      </c>
    </row>
    <row r="67" spans="1:8" x14ac:dyDescent="0.2">
      <c r="A67" s="13">
        <v>43</v>
      </c>
      <c r="B67" s="13">
        <v>222.92085962658427</v>
      </c>
      <c r="C67" s="13">
        <v>39.707449373415727</v>
      </c>
      <c r="G67">
        <f t="shared" si="0"/>
        <v>91.498957409337606</v>
      </c>
      <c r="H67">
        <f>(Management!G46-'Mgmt Opex Lbr Reg'!$B$18*Management!C46)</f>
        <v>91.498957409337606</v>
      </c>
    </row>
    <row r="68" spans="1:8" x14ac:dyDescent="0.2">
      <c r="A68" s="13">
        <v>44</v>
      </c>
      <c r="B68" s="13">
        <v>150.3205286487275</v>
      </c>
      <c r="C68" s="13">
        <v>-108.7265826487275</v>
      </c>
      <c r="G68">
        <f t="shared" si="0"/>
        <v>-56.935074612805622</v>
      </c>
      <c r="H68">
        <f>(Management!G47-'Mgmt Opex Lbr Reg'!$B$18*Management!C47)</f>
        <v>-56.935074612805622</v>
      </c>
    </row>
    <row r="69" spans="1:8" x14ac:dyDescent="0.2">
      <c r="A69" s="13">
        <v>45</v>
      </c>
      <c r="B69" s="13">
        <v>373.30725950928763</v>
      </c>
      <c r="C69" s="13">
        <v>-39.925521509287648</v>
      </c>
      <c r="G69">
        <f t="shared" si="0"/>
        <v>11.865986526634231</v>
      </c>
      <c r="H69">
        <f>(Management!G48-'Mgmt Opex Lbr Reg'!$B$18*Management!C48)</f>
        <v>11.865986526634231</v>
      </c>
    </row>
    <row r="70" spans="1:8" x14ac:dyDescent="0.2">
      <c r="A70" s="13">
        <v>46</v>
      </c>
      <c r="B70" s="13">
        <v>233.29233548056382</v>
      </c>
      <c r="C70" s="13">
        <v>-145.84281148056382</v>
      </c>
      <c r="G70">
        <f t="shared" si="0"/>
        <v>-94.051303444641945</v>
      </c>
      <c r="H70">
        <f>(Management!G49-'Mgmt Opex Lbr Reg'!$B$18*Management!C49)</f>
        <v>-94.051303444641945</v>
      </c>
    </row>
    <row r="71" spans="1:8" x14ac:dyDescent="0.2">
      <c r="A71" s="13">
        <v>47</v>
      </c>
      <c r="B71" s="13">
        <v>368.12152158229782</v>
      </c>
      <c r="C71" s="13">
        <v>-203.4593215822978</v>
      </c>
      <c r="G71">
        <f t="shared" si="0"/>
        <v>-151.66781354637592</v>
      </c>
      <c r="H71">
        <f>(Management!G50-'Mgmt Opex Lbr Reg'!$B$18*Management!C50)</f>
        <v>-151.66781354637592</v>
      </c>
    </row>
    <row r="72" spans="1:8" x14ac:dyDescent="0.2">
      <c r="A72" s="13">
        <v>48</v>
      </c>
      <c r="B72" s="13">
        <v>1612.6986240598426</v>
      </c>
      <c r="C72" s="13">
        <v>-673.93663305984262</v>
      </c>
      <c r="G72">
        <f t="shared" si="0"/>
        <v>-622.14512502392074</v>
      </c>
      <c r="H72">
        <f>(Management!G51-'Mgmt Opex Lbr Reg'!$B$18*Management!C51)</f>
        <v>-622.14512502392074</v>
      </c>
    </row>
    <row r="73" spans="1:8" x14ac:dyDescent="0.2">
      <c r="A73" s="13">
        <v>49</v>
      </c>
      <c r="B73" s="13">
        <v>139.94905279474796</v>
      </c>
      <c r="C73" s="13">
        <v>-103.10945679474796</v>
      </c>
      <c r="G73">
        <f t="shared" si="0"/>
        <v>-51.317948758826077</v>
      </c>
      <c r="H73">
        <f>(Management!G52-'Mgmt Opex Lbr Reg'!$B$18*Management!C52)</f>
        <v>-51.317948758826091</v>
      </c>
    </row>
    <row r="74" spans="1:8" ht="13.5" thickBot="1" x14ac:dyDescent="0.25">
      <c r="A74" s="14">
        <v>50</v>
      </c>
      <c r="B74" s="14">
        <v>300.70692853143083</v>
      </c>
      <c r="C74" s="14">
        <v>-226.44575653143085</v>
      </c>
      <c r="G74">
        <f t="shared" si="0"/>
        <v>-174.65424849550897</v>
      </c>
      <c r="H74">
        <f>(Management!G53-'Mgmt Opex Lbr Reg'!$B$18*Management!C53)</f>
        <v>-174.65424849550897</v>
      </c>
    </row>
  </sheetData>
  <mergeCells count="1">
    <mergeCell ref="G23:H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 lab exp</vt:lpstr>
      <vt:lpstr>Engineering</vt:lpstr>
      <vt:lpstr>Engg Opex Lbr Reg</vt:lpstr>
      <vt:lpstr>Management</vt:lpstr>
      <vt:lpstr>Mgmt Opex Lbr 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Harshvardhan .</cp:lastModifiedBy>
  <dcterms:created xsi:type="dcterms:W3CDTF">2018-08-02T06:54:44Z</dcterms:created>
  <dcterms:modified xsi:type="dcterms:W3CDTF">2018-08-02T06:58:10Z</dcterms:modified>
</cp:coreProperties>
</file>