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Shruti.Maheshwari\Desktop\New folder (2)\"/>
    </mc:Choice>
  </mc:AlternateContent>
  <xr:revisionPtr revIDLastSave="0" documentId="12_ncr:500000_{2E5C0A12-1CD5-421B-A937-FBBADC1E4842}" xr6:coauthVersionLast="31" xr6:coauthVersionMax="31" xr10:uidLastSave="{00000000-0000-0000-0000-000000000000}"/>
  <bookViews>
    <workbookView xWindow="0" yWindow="0" windowWidth="10110" windowHeight="7560" tabRatio="751" xr2:uid="{00000000-000D-0000-FFFF-FFFF00000000}"/>
  </bookViews>
  <sheets>
    <sheet name="BasicInfo" sheetId="3" r:id="rId1"/>
    <sheet name="User_Financial_Input" sheetId="18" r:id="rId2"/>
    <sheet name="User_Operation_Input" sheetId="13" r:id="rId3"/>
    <sheet name="Reference" sheetId="20" r:id="rId4"/>
    <sheet name="Unit_Map" sheetId="14" r:id="rId5"/>
    <sheet name="CrossCheck" sheetId="12" r:id="rId6"/>
    <sheet name="Charts" sheetId="35" r:id="rId7"/>
    <sheet name="Financial_Standard" sheetId="2" r:id="rId8"/>
    <sheet name="Operation_Standard" sheetId="21" r:id="rId9"/>
    <sheet name="Summary" sheetId="31" r:id="rId10"/>
    <sheet name="MetaDataSheet" sheetId="15" r:id="rId11"/>
  </sheets>
  <externalReferences>
    <externalReference r:id="rId12"/>
  </externalReferences>
  <definedNames>
    <definedName name="_xlnm._FilterDatabase" localSheetId="8" hidden="1">Operation_Standard!$A$129:$Q$266</definedName>
    <definedName name="Area" localSheetId="8">Operation_Standard!#REF!</definedName>
    <definedName name="Area" localSheetId="3">Reference!#REF!</definedName>
    <definedName name="Area" localSheetId="1">User_Operation_Input!#REF!</definedName>
    <definedName name="Area">User_Operation_Input!#REF!</definedName>
    <definedName name="Volume">[1]Unit_Map!$B$2:$B$7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9" i="13" l="1"/>
  <c r="O24" i="2" l="1"/>
  <c r="O111" i="18"/>
  <c r="O108" i="18"/>
  <c r="O29" i="18"/>
  <c r="O24" i="18"/>
  <c r="O14" i="18"/>
  <c r="E4" i="31" l="1"/>
  <c r="D4" i="31"/>
  <c r="G65" i="35"/>
  <c r="H65" i="35"/>
  <c r="G64" i="35"/>
  <c r="H64" i="35"/>
  <c r="G63" i="35"/>
  <c r="H63" i="35"/>
  <c r="G62" i="35"/>
  <c r="H62" i="35"/>
  <c r="G61" i="35"/>
  <c r="H61" i="35"/>
  <c r="G60" i="35"/>
  <c r="H60" i="35"/>
  <c r="G59" i="35"/>
  <c r="H59" i="35"/>
  <c r="G58" i="35"/>
  <c r="H58" i="35"/>
  <c r="G57" i="35"/>
  <c r="H57" i="35"/>
  <c r="G56" i="35"/>
  <c r="H56" i="35"/>
  <c r="G55" i="35"/>
  <c r="H55" i="35"/>
  <c r="G54" i="35"/>
  <c r="H54" i="35"/>
  <c r="G53" i="35"/>
  <c r="H53" i="35"/>
  <c r="G52" i="35"/>
  <c r="H52" i="35"/>
  <c r="G51" i="35"/>
  <c r="H51" i="35"/>
  <c r="G50" i="35"/>
  <c r="H50" i="35"/>
  <c r="G49" i="35"/>
  <c r="H49" i="35"/>
  <c r="G48" i="35"/>
  <c r="H48" i="35"/>
  <c r="G47" i="35"/>
  <c r="H47" i="35"/>
  <c r="G46" i="35"/>
  <c r="H46" i="35"/>
  <c r="G45" i="35"/>
  <c r="H45" i="35"/>
  <c r="G44" i="35"/>
  <c r="H44" i="35"/>
  <c r="G43" i="35"/>
  <c r="H43" i="35"/>
  <c r="G42" i="35"/>
  <c r="H42" i="35"/>
  <c r="G41" i="35"/>
  <c r="H41" i="35"/>
  <c r="G40" i="35"/>
  <c r="H40" i="35"/>
  <c r="G39" i="35"/>
  <c r="H39" i="35"/>
  <c r="G38" i="35"/>
  <c r="H38" i="35"/>
  <c r="G37" i="35"/>
  <c r="H37" i="35"/>
  <c r="G36" i="35"/>
  <c r="H36" i="35"/>
  <c r="G35" i="35"/>
  <c r="H35" i="35"/>
  <c r="G34" i="35"/>
  <c r="H34" i="35"/>
  <c r="G33" i="35"/>
  <c r="H33" i="35"/>
  <c r="G32" i="35"/>
  <c r="H32" i="35"/>
  <c r="G31" i="35"/>
  <c r="H31" i="35"/>
  <c r="G30" i="35"/>
  <c r="H30" i="35"/>
  <c r="G29" i="35"/>
  <c r="H29" i="35"/>
  <c r="G28" i="35"/>
  <c r="H28" i="35"/>
  <c r="G27" i="35"/>
  <c r="H27" i="35"/>
  <c r="G26" i="35"/>
  <c r="H26" i="35"/>
  <c r="G25" i="35"/>
  <c r="H25" i="35"/>
  <c r="G24" i="35"/>
  <c r="H24" i="35"/>
  <c r="G23" i="35"/>
  <c r="H23" i="35"/>
  <c r="G22" i="35"/>
  <c r="H22" i="35"/>
  <c r="G21" i="35"/>
  <c r="H21" i="35"/>
  <c r="G20" i="35"/>
  <c r="H20" i="35"/>
  <c r="G19" i="35"/>
  <c r="H19" i="35"/>
  <c r="G18" i="35"/>
  <c r="H18" i="35"/>
  <c r="G17" i="35"/>
  <c r="H17" i="35"/>
  <c r="G16" i="35"/>
  <c r="H16" i="35"/>
  <c r="G15" i="35"/>
  <c r="H15" i="35"/>
  <c r="G14" i="35"/>
  <c r="H14" i="35"/>
  <c r="G13" i="35"/>
  <c r="H13" i="35"/>
  <c r="G12" i="35"/>
  <c r="H12" i="35"/>
  <c r="G11" i="35"/>
  <c r="H11" i="35"/>
  <c r="G10" i="35"/>
  <c r="H10" i="35"/>
  <c r="G9" i="35"/>
  <c r="H9" i="35"/>
  <c r="G8" i="35"/>
  <c r="H8" i="35"/>
  <c r="G7" i="35"/>
  <c r="H7" i="35"/>
  <c r="G6" i="35"/>
  <c r="H6" i="35"/>
  <c r="G5" i="35"/>
  <c r="H5" i="35"/>
  <c r="G4" i="35"/>
  <c r="H4" i="35"/>
  <c r="G3" i="35"/>
  <c r="H3" i="35"/>
  <c r="E44" i="12" l="1"/>
  <c r="P239" i="2" l="1"/>
  <c r="P237" i="2"/>
  <c r="P225" i="2"/>
  <c r="P215" i="2"/>
  <c r="P213" i="2"/>
  <c r="P212" i="2"/>
  <c r="P210" i="2"/>
  <c r="P209" i="2"/>
  <c r="P201" i="2"/>
  <c r="P199" i="2"/>
  <c r="P198" i="2"/>
  <c r="P197" i="2"/>
  <c r="P191" i="2"/>
  <c r="P190" i="2"/>
  <c r="P189" i="2"/>
  <c r="P188" i="2"/>
  <c r="P187" i="2"/>
  <c r="P184" i="2"/>
  <c r="P183" i="2"/>
  <c r="P182" i="2"/>
  <c r="P181" i="2"/>
  <c r="P180" i="2"/>
  <c r="F155" i="13" l="1"/>
  <c r="F46" i="13" l="1"/>
  <c r="N46" i="13"/>
  <c r="M46" i="13"/>
  <c r="L46" i="13"/>
  <c r="K46" i="13"/>
  <c r="J46" i="13"/>
  <c r="O46" i="13" s="1"/>
  <c r="I46" i="13"/>
  <c r="H46" i="13"/>
  <c r="G46" i="13"/>
  <c r="O82" i="13" l="1"/>
  <c r="O83" i="13"/>
  <c r="E34" i="31" l="1"/>
  <c r="D34" i="31"/>
  <c r="E33" i="31"/>
  <c r="D33" i="31"/>
  <c r="E32" i="31"/>
  <c r="D32" i="31"/>
  <c r="E31" i="31"/>
  <c r="D31" i="31"/>
  <c r="E30" i="31"/>
  <c r="D30" i="31"/>
  <c r="E29" i="31"/>
  <c r="D29" i="31"/>
  <c r="E28" i="31"/>
  <c r="D28" i="31"/>
  <c r="E27" i="31"/>
  <c r="D27" i="31"/>
  <c r="E26" i="31"/>
  <c r="D26" i="31"/>
  <c r="E25" i="31"/>
  <c r="D25" i="31"/>
  <c r="E24" i="31"/>
  <c r="D24" i="31"/>
  <c r="E20" i="31"/>
  <c r="D20" i="31"/>
  <c r="E19" i="31"/>
  <c r="D19" i="31"/>
  <c r="E18" i="31"/>
  <c r="D18" i="31"/>
  <c r="E17" i="31"/>
  <c r="D17" i="31"/>
  <c r="E16" i="31"/>
  <c r="D16" i="31"/>
  <c r="E15" i="31"/>
  <c r="D15" i="31"/>
  <c r="E14" i="31"/>
  <c r="D14" i="31"/>
  <c r="E13" i="31"/>
  <c r="D13" i="31"/>
  <c r="E12" i="31"/>
  <c r="D12" i="31"/>
  <c r="E11" i="31"/>
  <c r="D11" i="31"/>
  <c r="D5" i="31"/>
  <c r="E5" i="31"/>
  <c r="F14" i="13" l="1"/>
  <c r="N57" i="13"/>
  <c r="M57" i="13"/>
  <c r="L57" i="13"/>
  <c r="K57" i="13"/>
  <c r="J57" i="13"/>
  <c r="I57" i="13"/>
  <c r="H57" i="13"/>
  <c r="G57" i="13"/>
  <c r="F57" i="13"/>
  <c r="G14" i="13"/>
  <c r="H14" i="13"/>
  <c r="I14" i="13"/>
  <c r="J14" i="13"/>
  <c r="O14" i="13" s="1"/>
  <c r="K14" i="13"/>
  <c r="L14" i="13"/>
  <c r="M14" i="13"/>
  <c r="N14" i="13"/>
  <c r="O57" i="13" l="1"/>
  <c r="O75" i="13"/>
  <c r="N75" i="21"/>
  <c r="M75" i="21"/>
  <c r="L75" i="21"/>
  <c r="K75" i="21"/>
  <c r="J75" i="21"/>
  <c r="I75" i="21"/>
  <c r="H75" i="21"/>
  <c r="G75" i="21"/>
  <c r="F75" i="21"/>
  <c r="O75" i="21" l="1"/>
  <c r="N103" i="21" l="1"/>
  <c r="M103" i="21"/>
  <c r="L103" i="21"/>
  <c r="K103" i="21"/>
  <c r="J103" i="21"/>
  <c r="I103" i="21"/>
  <c r="H103" i="21"/>
  <c r="G103" i="21"/>
  <c r="F103" i="21"/>
  <c r="N102" i="21"/>
  <c r="M102" i="21"/>
  <c r="L102" i="21"/>
  <c r="K102" i="21"/>
  <c r="J102" i="21"/>
  <c r="I102" i="21"/>
  <c r="H102" i="21"/>
  <c r="G102" i="21"/>
  <c r="F102" i="21"/>
  <c r="N100" i="21"/>
  <c r="M100" i="21"/>
  <c r="L100" i="21"/>
  <c r="K100" i="21"/>
  <c r="J100" i="21"/>
  <c r="I100" i="21"/>
  <c r="H100" i="21"/>
  <c r="G100" i="21"/>
  <c r="F100" i="21"/>
  <c r="N99" i="21"/>
  <c r="M99" i="21"/>
  <c r="L99" i="21"/>
  <c r="K99" i="21"/>
  <c r="J99" i="21"/>
  <c r="I99" i="21"/>
  <c r="H99" i="21"/>
  <c r="G99" i="21"/>
  <c r="F99" i="21"/>
  <c r="N91" i="21"/>
  <c r="M91" i="21"/>
  <c r="L91" i="21"/>
  <c r="K91" i="21"/>
  <c r="J91" i="21"/>
  <c r="I91" i="21"/>
  <c r="H91" i="21"/>
  <c r="G91" i="21"/>
  <c r="F91" i="21"/>
  <c r="N90" i="21"/>
  <c r="M90" i="21"/>
  <c r="L90" i="21"/>
  <c r="K90" i="21"/>
  <c r="J90" i="21"/>
  <c r="I90" i="21"/>
  <c r="H90" i="21"/>
  <c r="G90" i="21"/>
  <c r="F90" i="21"/>
  <c r="N73" i="21"/>
  <c r="M73" i="21"/>
  <c r="L73" i="21"/>
  <c r="K73" i="21"/>
  <c r="J73" i="21"/>
  <c r="I73" i="21"/>
  <c r="H73" i="21"/>
  <c r="G73" i="21"/>
  <c r="F73" i="21"/>
  <c r="N72" i="21"/>
  <c r="M72" i="21"/>
  <c r="L72" i="21"/>
  <c r="K72" i="21"/>
  <c r="J72" i="21"/>
  <c r="I72" i="21"/>
  <c r="H72" i="21"/>
  <c r="G72" i="21"/>
  <c r="F72" i="21"/>
  <c r="N71" i="21"/>
  <c r="M71" i="21"/>
  <c r="L71" i="21"/>
  <c r="K71" i="21"/>
  <c r="J71" i="21"/>
  <c r="I71" i="21"/>
  <c r="H71" i="21"/>
  <c r="G71" i="21"/>
  <c r="F71" i="21"/>
  <c r="N70" i="21"/>
  <c r="M70" i="21"/>
  <c r="L70" i="21"/>
  <c r="K70" i="21"/>
  <c r="J70" i="21"/>
  <c r="I70" i="21"/>
  <c r="H70" i="21"/>
  <c r="G70" i="21"/>
  <c r="F70" i="21"/>
  <c r="N69" i="21"/>
  <c r="M69" i="21"/>
  <c r="L69" i="21"/>
  <c r="K69" i="21"/>
  <c r="J69" i="21"/>
  <c r="I69" i="21"/>
  <c r="H69" i="21"/>
  <c r="G69" i="21"/>
  <c r="F69" i="21"/>
  <c r="N28" i="21"/>
  <c r="M28" i="21"/>
  <c r="L28" i="21"/>
  <c r="K28" i="21"/>
  <c r="J28" i="21"/>
  <c r="I28" i="21"/>
  <c r="H28" i="21"/>
  <c r="G28" i="21"/>
  <c r="F28" i="21"/>
  <c r="N27" i="21"/>
  <c r="M27" i="21"/>
  <c r="L27" i="21"/>
  <c r="K27" i="21"/>
  <c r="J27" i="21"/>
  <c r="I27" i="21"/>
  <c r="H27" i="21"/>
  <c r="G27" i="21"/>
  <c r="F27" i="21"/>
  <c r="N26" i="21"/>
  <c r="M26" i="21"/>
  <c r="L26" i="21"/>
  <c r="K26" i="21"/>
  <c r="J26" i="21"/>
  <c r="I26" i="21"/>
  <c r="H26" i="21"/>
  <c r="G26" i="21"/>
  <c r="F26" i="21"/>
  <c r="D26" i="21"/>
  <c r="D7" i="2"/>
  <c r="A3" i="14"/>
  <c r="O133" i="18"/>
  <c r="O132" i="18"/>
  <c r="O131" i="18"/>
  <c r="D75" i="21" l="1"/>
  <c r="D80" i="21"/>
  <c r="D81" i="21"/>
  <c r="D83" i="21"/>
  <c r="D82" i="21"/>
  <c r="O73" i="21"/>
  <c r="O90" i="21"/>
  <c r="O100" i="21"/>
  <c r="O102" i="21"/>
  <c r="O91" i="21"/>
  <c r="O69" i="21"/>
  <c r="O70" i="21"/>
  <c r="O99" i="21"/>
  <c r="O103" i="21"/>
  <c r="O71" i="21"/>
  <c r="O27" i="21"/>
  <c r="O72" i="21"/>
  <c r="N154" i="18"/>
  <c r="M154" i="18"/>
  <c r="L154" i="18"/>
  <c r="J154" i="18"/>
  <c r="I154" i="18"/>
  <c r="H154" i="18"/>
  <c r="G154" i="18"/>
  <c r="E21" i="12" l="1"/>
  <c r="E20" i="12"/>
  <c r="E19" i="12"/>
  <c r="E18" i="12"/>
  <c r="E17" i="12"/>
  <c r="E15" i="12"/>
  <c r="C390" i="2"/>
  <c r="C389" i="2"/>
  <c r="C388" i="2"/>
  <c r="C387" i="2"/>
  <c r="C386" i="2"/>
  <c r="C385" i="2"/>
  <c r="E384" i="2"/>
  <c r="E385" i="2" s="1"/>
  <c r="E386" i="2" s="1"/>
  <c r="E387" i="2" s="1"/>
  <c r="E388" i="2" s="1"/>
  <c r="E389" i="2" s="1"/>
  <c r="E390" i="2" s="1"/>
  <c r="C384" i="2"/>
  <c r="C383" i="2"/>
  <c r="C382" i="2"/>
  <c r="E380" i="2"/>
  <c r="C380" i="2"/>
  <c r="C379" i="2"/>
  <c r="C378" i="2"/>
  <c r="C376" i="2"/>
  <c r="C375" i="2"/>
  <c r="C374" i="2"/>
  <c r="C373" i="2"/>
  <c r="C372" i="2"/>
  <c r="E371" i="2"/>
  <c r="E372" i="2" s="1"/>
  <c r="E373" i="2" s="1"/>
  <c r="E374" i="2" s="1"/>
  <c r="E375" i="2" s="1"/>
  <c r="E376" i="2" s="1"/>
  <c r="C371" i="2"/>
  <c r="C370" i="2"/>
  <c r="C369" i="2"/>
  <c r="C367" i="2"/>
  <c r="C366" i="2"/>
  <c r="C365" i="2"/>
  <c r="C364" i="2"/>
  <c r="E363" i="2"/>
  <c r="E364" i="2" s="1"/>
  <c r="E365" i="2" s="1"/>
  <c r="E366" i="2" s="1"/>
  <c r="E367" i="2" s="1"/>
  <c r="C363" i="2"/>
  <c r="C362" i="2"/>
  <c r="C361" i="2"/>
  <c r="E359" i="2"/>
  <c r="C359" i="2"/>
  <c r="C358" i="2"/>
  <c r="C357" i="2"/>
  <c r="C355" i="2"/>
  <c r="C354" i="2"/>
  <c r="E353" i="2"/>
  <c r="E354" i="2" s="1"/>
  <c r="E355" i="2" s="1"/>
  <c r="C353" i="2"/>
  <c r="C352" i="2"/>
  <c r="C351" i="2"/>
  <c r="C349" i="2"/>
  <c r="C348" i="2"/>
  <c r="C347" i="2"/>
  <c r="C346" i="2"/>
  <c r="C345" i="2"/>
  <c r="C344" i="2"/>
  <c r="E343" i="2"/>
  <c r="E344" i="2" s="1"/>
  <c r="E345" i="2" s="1"/>
  <c r="E346" i="2" s="1"/>
  <c r="E347" i="2" s="1"/>
  <c r="E348" i="2" s="1"/>
  <c r="E349" i="2" s="1"/>
  <c r="C343" i="2"/>
  <c r="C342" i="2"/>
  <c r="C341" i="2"/>
  <c r="C340" i="2"/>
  <c r="C338" i="2"/>
  <c r="C337" i="2"/>
  <c r="C336" i="2"/>
  <c r="C335" i="2"/>
  <c r="C334" i="2"/>
  <c r="C333" i="2"/>
  <c r="E332" i="2"/>
  <c r="E333" i="2" s="1"/>
  <c r="E334" i="2" s="1"/>
  <c r="E335" i="2" s="1"/>
  <c r="E336" i="2" s="1"/>
  <c r="E337" i="2" s="1"/>
  <c r="E338" i="2" s="1"/>
  <c r="C332" i="2"/>
  <c r="C331" i="2"/>
  <c r="C330" i="2"/>
  <c r="C328" i="2"/>
  <c r="C327" i="2"/>
  <c r="C326" i="2"/>
  <c r="C325" i="2"/>
  <c r="C324" i="2"/>
  <c r="C323" i="2"/>
  <c r="E322" i="2"/>
  <c r="E323" i="2" s="1"/>
  <c r="E324" i="2" s="1"/>
  <c r="E325" i="2" s="1"/>
  <c r="E326" i="2" s="1"/>
  <c r="E327" i="2" s="1"/>
  <c r="E328" i="2" s="1"/>
  <c r="C322" i="2"/>
  <c r="C321" i="2"/>
  <c r="C320" i="2"/>
  <c r="C318" i="2"/>
  <c r="C317" i="2"/>
  <c r="C316" i="2"/>
  <c r="E315" i="2"/>
  <c r="E316" i="2" s="1"/>
  <c r="E317" i="2" s="1"/>
  <c r="E318" i="2" s="1"/>
  <c r="C315" i="2"/>
  <c r="C314" i="2"/>
  <c r="C313" i="2"/>
  <c r="C311" i="2"/>
  <c r="C310" i="2"/>
  <c r="C309" i="2"/>
  <c r="E308" i="2"/>
  <c r="E309" i="2" s="1"/>
  <c r="E310" i="2" s="1"/>
  <c r="E311" i="2" s="1"/>
  <c r="C308" i="2"/>
  <c r="C307" i="2"/>
  <c r="C306" i="2"/>
  <c r="C304" i="2"/>
  <c r="K303" i="2"/>
  <c r="F303" i="2"/>
  <c r="C303" i="2"/>
  <c r="C299" i="2"/>
  <c r="B299" i="2"/>
  <c r="C298" i="2"/>
  <c r="B298" i="2"/>
  <c r="C297" i="2"/>
  <c r="B297" i="2"/>
  <c r="C296" i="2"/>
  <c r="B296" i="2"/>
  <c r="C295" i="2"/>
  <c r="B295" i="2"/>
  <c r="C294" i="2"/>
  <c r="B294" i="2"/>
  <c r="C293" i="2"/>
  <c r="B293" i="2"/>
  <c r="C292" i="2"/>
  <c r="B292" i="2"/>
  <c r="C291" i="2"/>
  <c r="B291" i="2"/>
  <c r="C290" i="2"/>
  <c r="B290" i="2"/>
  <c r="C289" i="2"/>
  <c r="B289" i="2"/>
  <c r="C288" i="2"/>
  <c r="B288" i="2"/>
  <c r="C287" i="2"/>
  <c r="B287" i="2"/>
  <c r="C286" i="2"/>
  <c r="B286" i="2"/>
  <c r="C285" i="2"/>
  <c r="B285" i="2"/>
  <c r="C284" i="2"/>
  <c r="B284" i="2"/>
  <c r="C283" i="2"/>
  <c r="B283" i="2"/>
  <c r="C282" i="2"/>
  <c r="B282" i="2"/>
  <c r="C281" i="2"/>
  <c r="B281" i="2"/>
  <c r="C280" i="2"/>
  <c r="B280" i="2"/>
  <c r="C279" i="2"/>
  <c r="B279" i="2"/>
  <c r="C278" i="2"/>
  <c r="B278" i="2"/>
  <c r="C277" i="2"/>
  <c r="B277" i="2"/>
  <c r="C276" i="2"/>
  <c r="B276" i="2"/>
  <c r="C275" i="2"/>
  <c r="B275" i="2"/>
  <c r="C274" i="2"/>
  <c r="B274" i="2"/>
  <c r="C273" i="2"/>
  <c r="B273" i="2"/>
  <c r="C272" i="2"/>
  <c r="B272" i="2"/>
  <c r="C271" i="2"/>
  <c r="B271" i="2"/>
  <c r="C270" i="2"/>
  <c r="B270" i="2"/>
  <c r="O267" i="2"/>
  <c r="N267" i="2"/>
  <c r="M267" i="2"/>
  <c r="L267" i="2"/>
  <c r="K267" i="2"/>
  <c r="J267" i="2"/>
  <c r="F267" i="2"/>
  <c r="K213" i="2"/>
  <c r="F213" i="2"/>
  <c r="K203" i="2"/>
  <c r="K337" i="2" s="1"/>
  <c r="F203" i="2"/>
  <c r="O26" i="13"/>
  <c r="L163" i="18"/>
  <c r="G163" i="18"/>
  <c r="O163" i="18" s="1"/>
  <c r="N159" i="18"/>
  <c r="M159" i="18"/>
  <c r="L159" i="18"/>
  <c r="J159" i="18"/>
  <c r="I159" i="18"/>
  <c r="H159" i="18"/>
  <c r="G159" i="18"/>
  <c r="N155" i="18"/>
  <c r="M155" i="18"/>
  <c r="L155" i="18"/>
  <c r="J155" i="18"/>
  <c r="I155" i="18"/>
  <c r="H155" i="18"/>
  <c r="G155" i="18"/>
  <c r="N153" i="18"/>
  <c r="M153" i="18"/>
  <c r="M152" i="18" s="1"/>
  <c r="L153" i="18"/>
  <c r="J153" i="18"/>
  <c r="J152" i="18" s="1"/>
  <c r="I153" i="18"/>
  <c r="H153" i="18"/>
  <c r="G153" i="18"/>
  <c r="N152" i="18"/>
  <c r="I152" i="18"/>
  <c r="H152" i="18"/>
  <c r="N145" i="18"/>
  <c r="M145" i="18"/>
  <c r="L145" i="18"/>
  <c r="J145" i="18"/>
  <c r="I145" i="18"/>
  <c r="H145" i="18"/>
  <c r="G145" i="18"/>
  <c r="N144" i="18"/>
  <c r="M144" i="18"/>
  <c r="L144" i="18"/>
  <c r="J144" i="18"/>
  <c r="I144" i="18"/>
  <c r="H144" i="18"/>
  <c r="G144" i="18"/>
  <c r="N143" i="18"/>
  <c r="M143" i="18"/>
  <c r="L143" i="18"/>
  <c r="J143" i="18"/>
  <c r="I143" i="18"/>
  <c r="H143" i="18"/>
  <c r="G143" i="18"/>
  <c r="G152" i="18" l="1"/>
  <c r="L152" i="18"/>
  <c r="F347" i="2"/>
  <c r="K347" i="2"/>
  <c r="F337" i="2"/>
  <c r="N45" i="21" l="1"/>
  <c r="N179" i="21" s="1"/>
  <c r="M45" i="21"/>
  <c r="M179" i="21" s="1"/>
  <c r="L45" i="21"/>
  <c r="L179" i="21" s="1"/>
  <c r="K45" i="21"/>
  <c r="K179" i="21" s="1"/>
  <c r="J45" i="21"/>
  <c r="O45" i="21" s="1"/>
  <c r="O179" i="21" s="1"/>
  <c r="I45" i="21"/>
  <c r="I179" i="21" s="1"/>
  <c r="H45" i="21"/>
  <c r="H179" i="21" s="1"/>
  <c r="G45" i="21"/>
  <c r="G179" i="21" s="1"/>
  <c r="F45" i="21"/>
  <c r="F179" i="21" s="1"/>
  <c r="O45" i="13"/>
  <c r="J179" i="21" l="1"/>
  <c r="E29" i="12"/>
  <c r="N49" i="21"/>
  <c r="M49" i="21"/>
  <c r="L49" i="21"/>
  <c r="K49" i="21"/>
  <c r="J49" i="21"/>
  <c r="I49" i="21"/>
  <c r="H49" i="21"/>
  <c r="G49" i="21"/>
  <c r="F49" i="21"/>
  <c r="F182" i="21" s="1"/>
  <c r="O49" i="13"/>
  <c r="N54" i="21"/>
  <c r="N187" i="21" s="1"/>
  <c r="M54" i="21"/>
  <c r="M187" i="21" s="1"/>
  <c r="L54" i="21"/>
  <c r="L187" i="21" s="1"/>
  <c r="K54" i="21"/>
  <c r="K187" i="21" s="1"/>
  <c r="J54" i="21"/>
  <c r="J187" i="21" s="1"/>
  <c r="I54" i="21"/>
  <c r="I187" i="21" s="1"/>
  <c r="H54" i="21"/>
  <c r="H187" i="21" s="1"/>
  <c r="G54" i="21"/>
  <c r="G187" i="21" s="1"/>
  <c r="F54" i="21"/>
  <c r="F187" i="21" s="1"/>
  <c r="M53" i="21"/>
  <c r="M186" i="21" s="1"/>
  <c r="L53" i="21"/>
  <c r="L186" i="21" s="1"/>
  <c r="K53" i="21"/>
  <c r="K186" i="21" s="1"/>
  <c r="M52" i="21"/>
  <c r="M185" i="21" s="1"/>
  <c r="L52" i="21"/>
  <c r="L185" i="21" s="1"/>
  <c r="K52" i="21"/>
  <c r="K185" i="21" s="1"/>
  <c r="D23" i="21"/>
  <c r="J144" i="21"/>
  <c r="O26" i="21"/>
  <c r="F143" i="21"/>
  <c r="G119" i="13"/>
  <c r="H119" i="13"/>
  <c r="I119" i="13"/>
  <c r="J119" i="13"/>
  <c r="K119" i="13"/>
  <c r="L119" i="13"/>
  <c r="M119" i="13"/>
  <c r="N119" i="13"/>
  <c r="F119" i="13"/>
  <c r="D54" i="13"/>
  <c r="F144" i="21" l="1"/>
  <c r="F146" i="21" s="1"/>
  <c r="O49" i="21"/>
  <c r="F145" i="21"/>
  <c r="J143" i="21"/>
  <c r="O28" i="21"/>
  <c r="J145" i="21"/>
  <c r="J146" i="21" l="1"/>
  <c r="D23" i="13"/>
  <c r="E47" i="12" l="1"/>
  <c r="E32" i="12"/>
  <c r="O23" i="13"/>
  <c r="O22" i="13"/>
  <c r="G41" i="13" l="1"/>
  <c r="H41" i="13"/>
  <c r="I41" i="13"/>
  <c r="J41" i="13"/>
  <c r="O41" i="13" s="1"/>
  <c r="K41" i="13"/>
  <c r="L41" i="13"/>
  <c r="M41" i="13"/>
  <c r="N41" i="13"/>
  <c r="O40" i="13"/>
  <c r="F41" i="13"/>
  <c r="O78" i="13" l="1"/>
  <c r="G68" i="13"/>
  <c r="H68" i="13"/>
  <c r="I68" i="13"/>
  <c r="J68" i="13"/>
  <c r="K68" i="13"/>
  <c r="L68" i="13"/>
  <c r="M68" i="13"/>
  <c r="N68" i="13"/>
  <c r="F68" i="13"/>
  <c r="O68" i="13" l="1"/>
  <c r="O28" i="13"/>
  <c r="F98" i="13" l="1"/>
  <c r="N93" i="13"/>
  <c r="M93" i="13"/>
  <c r="L93" i="13"/>
  <c r="K93" i="13"/>
  <c r="J93" i="13"/>
  <c r="I93" i="13"/>
  <c r="H93" i="13"/>
  <c r="G93" i="13"/>
  <c r="F93" i="13"/>
  <c r="O73" i="13"/>
  <c r="O93" i="13" l="1"/>
  <c r="K106" i="13"/>
  <c r="G106" i="13"/>
  <c r="N106" i="13"/>
  <c r="M106" i="13"/>
  <c r="L106" i="13"/>
  <c r="J106" i="13"/>
  <c r="I106" i="13"/>
  <c r="H106" i="13"/>
  <c r="F106" i="13"/>
  <c r="O106" i="13" l="1"/>
  <c r="E50" i="12"/>
  <c r="E49" i="12"/>
  <c r="E46" i="12"/>
  <c r="E45" i="12"/>
  <c r="E33" i="12"/>
  <c r="E30" i="12"/>
  <c r="E12" i="12"/>
  <c r="E10" i="12"/>
  <c r="E9" i="12"/>
  <c r="E8" i="12"/>
  <c r="E6" i="12" l="1"/>
  <c r="M68" i="21" l="1"/>
  <c r="I68" i="21"/>
  <c r="F68" i="21"/>
  <c r="J68" i="21"/>
  <c r="N68" i="21"/>
  <c r="G68" i="21"/>
  <c r="K68" i="21"/>
  <c r="H68" i="21"/>
  <c r="L68" i="21"/>
  <c r="O65" i="13" l="1"/>
  <c r="F47" i="21"/>
  <c r="F180" i="21" s="1"/>
  <c r="O39" i="13"/>
  <c r="N23" i="21"/>
  <c r="N140" i="21" s="1"/>
  <c r="M23" i="21"/>
  <c r="M140" i="21" s="1"/>
  <c r="L23" i="21"/>
  <c r="L140" i="21" s="1"/>
  <c r="K23" i="21"/>
  <c r="K140" i="21" s="1"/>
  <c r="J23" i="21"/>
  <c r="O23" i="21" s="1"/>
  <c r="O140" i="21" s="1"/>
  <c r="I23" i="21"/>
  <c r="I140" i="21" s="1"/>
  <c r="H23" i="21"/>
  <c r="H140" i="21" s="1"/>
  <c r="G23" i="21"/>
  <c r="G140" i="21" s="1"/>
  <c r="F23" i="21"/>
  <c r="N22" i="21"/>
  <c r="N139" i="21" s="1"/>
  <c r="M22" i="21"/>
  <c r="M139" i="21" s="1"/>
  <c r="L22" i="21"/>
  <c r="L139" i="21" s="1"/>
  <c r="K22" i="21"/>
  <c r="K139" i="21" s="1"/>
  <c r="J22" i="21"/>
  <c r="O22" i="21" s="1"/>
  <c r="O139" i="21" s="1"/>
  <c r="I22" i="21"/>
  <c r="I139" i="21" s="1"/>
  <c r="H22" i="21"/>
  <c r="H139" i="21" s="1"/>
  <c r="G22" i="21"/>
  <c r="G139" i="21" s="1"/>
  <c r="F22" i="21"/>
  <c r="O48" i="13"/>
  <c r="O47" i="13"/>
  <c r="F139" i="21" l="1"/>
  <c r="F140" i="21"/>
  <c r="J139" i="21"/>
  <c r="J140" i="21"/>
  <c r="N160" i="18" l="1"/>
  <c r="M160" i="18"/>
  <c r="L160" i="18"/>
  <c r="J160" i="18"/>
  <c r="I160" i="18"/>
  <c r="H160" i="18"/>
  <c r="G160" i="18"/>
  <c r="N48" i="21" l="1"/>
  <c r="M48" i="21"/>
  <c r="L48" i="21"/>
  <c r="K48" i="21"/>
  <c r="J48" i="21"/>
  <c r="I48" i="21"/>
  <c r="H48" i="21"/>
  <c r="G48" i="21"/>
  <c r="F48" i="21"/>
  <c r="N47" i="21"/>
  <c r="N46" i="21" s="1"/>
  <c r="M47" i="21"/>
  <c r="L47" i="21"/>
  <c r="K47" i="21"/>
  <c r="J47" i="21"/>
  <c r="J46" i="21" s="1"/>
  <c r="I47" i="21"/>
  <c r="H47" i="21"/>
  <c r="G47" i="21"/>
  <c r="N44" i="21"/>
  <c r="M44" i="21"/>
  <c r="L44" i="21"/>
  <c r="K44" i="21"/>
  <c r="J44" i="21"/>
  <c r="I44" i="21"/>
  <c r="H44" i="21"/>
  <c r="G44" i="21"/>
  <c r="F44" i="21"/>
  <c r="F178" i="21" s="1"/>
  <c r="N36" i="21"/>
  <c r="M36" i="21"/>
  <c r="L36" i="21"/>
  <c r="K36" i="21"/>
  <c r="J36" i="21"/>
  <c r="I36" i="21"/>
  <c r="H36" i="21"/>
  <c r="G36" i="21"/>
  <c r="F36" i="21"/>
  <c r="N35" i="21"/>
  <c r="M35" i="21"/>
  <c r="L35" i="21"/>
  <c r="K35" i="21"/>
  <c r="J35" i="21"/>
  <c r="I35" i="21"/>
  <c r="H35" i="21"/>
  <c r="G35" i="21"/>
  <c r="F35" i="21"/>
  <c r="N34" i="21"/>
  <c r="M34" i="21"/>
  <c r="L34" i="21"/>
  <c r="K34" i="21"/>
  <c r="J34" i="21"/>
  <c r="I34" i="21"/>
  <c r="H34" i="21"/>
  <c r="G34" i="21"/>
  <c r="F34" i="21"/>
  <c r="N33" i="21"/>
  <c r="M33" i="21"/>
  <c r="L33" i="21"/>
  <c r="K33" i="21"/>
  <c r="J33" i="21"/>
  <c r="I33" i="21"/>
  <c r="H33" i="21"/>
  <c r="G33" i="21"/>
  <c r="F33" i="21"/>
  <c r="N31" i="21"/>
  <c r="M31" i="21"/>
  <c r="L31" i="21"/>
  <c r="K31" i="21"/>
  <c r="J31" i="21"/>
  <c r="I31" i="21"/>
  <c r="H31" i="21"/>
  <c r="G31" i="21"/>
  <c r="F31" i="21"/>
  <c r="M145" i="21"/>
  <c r="L145" i="21"/>
  <c r="K145" i="21"/>
  <c r="I145" i="21"/>
  <c r="H145" i="21"/>
  <c r="G145" i="21"/>
  <c r="N144" i="21"/>
  <c r="M144" i="21"/>
  <c r="L144" i="21"/>
  <c r="K144" i="21"/>
  <c r="I144" i="21"/>
  <c r="H144" i="21"/>
  <c r="G144" i="21"/>
  <c r="N143" i="21"/>
  <c r="M143" i="21"/>
  <c r="L143" i="21"/>
  <c r="K143" i="21"/>
  <c r="I143" i="21"/>
  <c r="H143" i="21"/>
  <c r="G143" i="21"/>
  <c r="N19" i="21"/>
  <c r="N136" i="21" s="1"/>
  <c r="M19" i="21"/>
  <c r="M136" i="21" s="1"/>
  <c r="L19" i="21"/>
  <c r="L136" i="21" s="1"/>
  <c r="K19" i="21"/>
  <c r="K136" i="21" s="1"/>
  <c r="J19" i="21"/>
  <c r="J136" i="21" s="1"/>
  <c r="I19" i="21"/>
  <c r="I136" i="21" s="1"/>
  <c r="H19" i="21"/>
  <c r="H136" i="21" s="1"/>
  <c r="G19" i="21"/>
  <c r="G136" i="21" s="1"/>
  <c r="F19" i="21"/>
  <c r="F136" i="21" s="1"/>
  <c r="N17" i="21"/>
  <c r="M17" i="21"/>
  <c r="L17" i="21"/>
  <c r="K17" i="21"/>
  <c r="J17" i="21"/>
  <c r="I17" i="21"/>
  <c r="H17" i="21"/>
  <c r="G17" i="21"/>
  <c r="F17" i="21"/>
  <c r="N16" i="21"/>
  <c r="M16" i="21"/>
  <c r="L16" i="21"/>
  <c r="K16" i="21"/>
  <c r="J16" i="21"/>
  <c r="I16" i="21"/>
  <c r="H16" i="21"/>
  <c r="G16" i="21"/>
  <c r="F16" i="21"/>
  <c r="N15" i="21"/>
  <c r="M15" i="21"/>
  <c r="L15" i="21"/>
  <c r="K15" i="21"/>
  <c r="J15" i="21"/>
  <c r="I15" i="21"/>
  <c r="H15" i="21"/>
  <c r="G15" i="21"/>
  <c r="F15" i="21"/>
  <c r="N13" i="21"/>
  <c r="N132" i="21" s="1"/>
  <c r="M13" i="21"/>
  <c r="M132" i="21" s="1"/>
  <c r="L13" i="21"/>
  <c r="L132" i="21" s="1"/>
  <c r="K13" i="21"/>
  <c r="K132" i="21" s="1"/>
  <c r="J13" i="21"/>
  <c r="J132" i="21" s="1"/>
  <c r="I13" i="21"/>
  <c r="I132" i="21" s="1"/>
  <c r="H13" i="21"/>
  <c r="H132" i="21" s="1"/>
  <c r="G13" i="21"/>
  <c r="G132" i="21" s="1"/>
  <c r="F13" i="21"/>
  <c r="F132" i="21" s="1"/>
  <c r="F157" i="21" l="1"/>
  <c r="F202" i="21" s="1"/>
  <c r="F158" i="21"/>
  <c r="F160" i="21"/>
  <c r="F161" i="21"/>
  <c r="F159" i="21"/>
  <c r="F46" i="21"/>
  <c r="F181" i="21"/>
  <c r="H46" i="21"/>
  <c r="L46" i="21"/>
  <c r="I46" i="21"/>
  <c r="M46" i="21"/>
  <c r="G46" i="21"/>
  <c r="K46" i="21"/>
  <c r="H14" i="21"/>
  <c r="L14" i="21"/>
  <c r="L146" i="21"/>
  <c r="H146" i="21"/>
  <c r="M146" i="21"/>
  <c r="I146" i="21"/>
  <c r="N146" i="21"/>
  <c r="G146" i="21"/>
  <c r="K146" i="21"/>
  <c r="I14" i="21"/>
  <c r="M14" i="21"/>
  <c r="N14" i="21"/>
  <c r="F14" i="21"/>
  <c r="J14" i="21"/>
  <c r="G14" i="21"/>
  <c r="K14" i="21"/>
  <c r="F133" i="21"/>
  <c r="F134" i="21"/>
  <c r="F135" i="21"/>
  <c r="I178" i="21"/>
  <c r="J178" i="21"/>
  <c r="N178" i="21"/>
  <c r="G178" i="21"/>
  <c r="K178" i="21"/>
  <c r="M178" i="21"/>
  <c r="H178" i="21"/>
  <c r="L178" i="21"/>
  <c r="J134" i="21"/>
  <c r="N134" i="21"/>
  <c r="G133" i="21"/>
  <c r="K133" i="21"/>
  <c r="I135" i="21"/>
  <c r="M135" i="21"/>
  <c r="M133" i="21"/>
  <c r="H133" i="21"/>
  <c r="L133" i="21"/>
  <c r="G134" i="21"/>
  <c r="K134" i="21"/>
  <c r="J135" i="21"/>
  <c r="N135" i="21"/>
  <c r="I133" i="21"/>
  <c r="H134" i="21"/>
  <c r="L134" i="21"/>
  <c r="G135" i="21"/>
  <c r="K135" i="21"/>
  <c r="J133" i="21"/>
  <c r="N133" i="21"/>
  <c r="I134" i="21"/>
  <c r="M134" i="21"/>
  <c r="H135" i="21"/>
  <c r="L135" i="21"/>
  <c r="H157" i="21"/>
  <c r="H202" i="21" s="1"/>
  <c r="H30" i="12"/>
  <c r="H45" i="12"/>
  <c r="L157" i="21"/>
  <c r="L202" i="21" s="1"/>
  <c r="L30" i="12"/>
  <c r="L45" i="12"/>
  <c r="I30" i="12"/>
  <c r="I45" i="12"/>
  <c r="M30" i="12"/>
  <c r="M45" i="12"/>
  <c r="F30" i="12"/>
  <c r="F45" i="12"/>
  <c r="J157" i="21"/>
  <c r="J202" i="21" s="1"/>
  <c r="J45" i="12"/>
  <c r="J30" i="12"/>
  <c r="N157" i="21"/>
  <c r="N202" i="21" s="1"/>
  <c r="N45" i="12"/>
  <c r="N30" i="12"/>
  <c r="G157" i="21"/>
  <c r="G202" i="21" s="1"/>
  <c r="G45" i="12"/>
  <c r="G30" i="12"/>
  <c r="K30" i="12"/>
  <c r="K45" i="12"/>
  <c r="O48" i="21"/>
  <c r="O47" i="21"/>
  <c r="K157" i="21"/>
  <c r="K202" i="21" s="1"/>
  <c r="N145" i="21"/>
  <c r="I157" i="21"/>
  <c r="I202" i="21" s="1"/>
  <c r="M157" i="21"/>
  <c r="M202" i="21" s="1"/>
  <c r="O46" i="21" l="1"/>
  <c r="M161" i="21"/>
  <c r="M158" i="21"/>
  <c r="G161" i="21"/>
  <c r="J159" i="21"/>
  <c r="I159" i="21"/>
  <c r="H158" i="21"/>
  <c r="K160" i="21"/>
  <c r="L160" i="21"/>
  <c r="N158" i="21"/>
  <c r="G158" i="21"/>
  <c r="N161" i="21"/>
  <c r="G160" i="21"/>
  <c r="I158" i="21"/>
  <c r="I161" i="21"/>
  <c r="K159" i="21"/>
  <c r="H160" i="21"/>
  <c r="J158" i="21"/>
  <c r="H161" i="21"/>
  <c r="J161" i="21"/>
  <c r="L159" i="21"/>
  <c r="M160" i="21"/>
  <c r="N160" i="21"/>
  <c r="G159" i="21"/>
  <c r="L161" i="21"/>
  <c r="K161" i="21"/>
  <c r="M159" i="21"/>
  <c r="N159" i="21"/>
  <c r="H159" i="21"/>
  <c r="K158" i="21"/>
  <c r="J160" i="21"/>
  <c r="L158" i="21"/>
  <c r="I160" i="21"/>
  <c r="O54" i="21" l="1"/>
  <c r="O143" i="21"/>
  <c r="N32" i="21"/>
  <c r="M32" i="21"/>
  <c r="L32" i="21"/>
  <c r="K32" i="21"/>
  <c r="J32" i="21"/>
  <c r="I32" i="21"/>
  <c r="H32" i="21"/>
  <c r="G32" i="21"/>
  <c r="F32" i="21"/>
  <c r="O44" i="21"/>
  <c r="O36" i="21"/>
  <c r="O35" i="21"/>
  <c r="O34" i="21"/>
  <c r="O33" i="21"/>
  <c r="O31" i="21"/>
  <c r="O19" i="21"/>
  <c r="O136" i="21" s="1"/>
  <c r="O17" i="21"/>
  <c r="O16" i="21"/>
  <c r="O15" i="21"/>
  <c r="O13" i="21"/>
  <c r="O132" i="21" s="1"/>
  <c r="O96" i="13"/>
  <c r="O54" i="13"/>
  <c r="O36" i="13"/>
  <c r="O35" i="13"/>
  <c r="O34" i="13"/>
  <c r="O33" i="13"/>
  <c r="O31" i="13"/>
  <c r="N32" i="13"/>
  <c r="M32" i="13"/>
  <c r="L32" i="13"/>
  <c r="K32" i="13"/>
  <c r="J32" i="13"/>
  <c r="O32" i="13" s="1"/>
  <c r="I32" i="13"/>
  <c r="H32" i="13"/>
  <c r="G32" i="13"/>
  <c r="F32" i="13"/>
  <c r="O13" i="13"/>
  <c r="O14" i="21" l="1"/>
  <c r="O187" i="21"/>
  <c r="O178" i="21"/>
  <c r="O135" i="21"/>
  <c r="O68" i="21"/>
  <c r="O133" i="21"/>
  <c r="D87" i="21"/>
  <c r="O134" i="21"/>
  <c r="D65" i="21"/>
  <c r="D78" i="21"/>
  <c r="O45" i="12"/>
  <c r="O30" i="12"/>
  <c r="D73" i="21"/>
  <c r="D39" i="21"/>
  <c r="O144" i="21"/>
  <c r="O145" i="21"/>
  <c r="O157" i="21"/>
  <c r="O202" i="21" s="1"/>
  <c r="D98" i="21"/>
  <c r="D41" i="21"/>
  <c r="D40" i="21"/>
  <c r="D107" i="21"/>
  <c r="D111" i="21"/>
  <c r="D88" i="21"/>
  <c r="D106" i="21"/>
  <c r="O32" i="21"/>
  <c r="D90" i="21"/>
  <c r="D103" i="21"/>
  <c r="D60" i="21"/>
  <c r="D68" i="21"/>
  <c r="D58" i="21"/>
  <c r="D64" i="21"/>
  <c r="D28" i="21"/>
  <c r="D57" i="21"/>
  <c r="D70" i="21"/>
  <c r="D72" i="21"/>
  <c r="D89" i="21"/>
  <c r="D94" i="21"/>
  <c r="D100" i="21"/>
  <c r="D59" i="21"/>
  <c r="D62" i="21"/>
  <c r="D63" i="21"/>
  <c r="D66" i="21"/>
  <c r="D91" i="21"/>
  <c r="D93" i="21"/>
  <c r="D96" i="21"/>
  <c r="D102" i="21"/>
  <c r="D104" i="21"/>
  <c r="D108" i="21"/>
  <c r="D112" i="21"/>
  <c r="D79" i="21"/>
  <c r="D110" i="21"/>
  <c r="D27" i="21"/>
  <c r="D61" i="21"/>
  <c r="D69" i="21"/>
  <c r="D71" i="21"/>
  <c r="D95" i="21"/>
  <c r="D99" i="21"/>
  <c r="D101" i="21"/>
  <c r="O146" i="21" l="1"/>
  <c r="O159" i="21"/>
  <c r="K182" i="21"/>
  <c r="K180" i="21"/>
  <c r="K181" i="21"/>
  <c r="O182" i="21"/>
  <c r="O180" i="21"/>
  <c r="O181" i="21"/>
  <c r="L182" i="21"/>
  <c r="L180" i="21"/>
  <c r="L181" i="21"/>
  <c r="J182" i="21"/>
  <c r="J180" i="21"/>
  <c r="J181" i="21"/>
  <c r="O160" i="21"/>
  <c r="I182" i="21"/>
  <c r="I180" i="21"/>
  <c r="I181" i="21"/>
  <c r="G182" i="21"/>
  <c r="G180" i="21"/>
  <c r="G181" i="21"/>
  <c r="H182" i="21"/>
  <c r="H180" i="21"/>
  <c r="H181" i="21"/>
  <c r="N182" i="21"/>
  <c r="N181" i="21"/>
  <c r="N180" i="21"/>
  <c r="M182" i="21"/>
  <c r="M180" i="21"/>
  <c r="M181" i="21"/>
  <c r="O161" i="21"/>
  <c r="O158" i="21"/>
  <c r="N89" i="13" l="1"/>
  <c r="M89" i="13"/>
  <c r="L89" i="13"/>
  <c r="K89" i="13"/>
  <c r="J89" i="13"/>
  <c r="I89" i="13"/>
  <c r="H89" i="13"/>
  <c r="G89" i="13"/>
  <c r="O89" i="13" s="1"/>
  <c r="F89" i="13"/>
  <c r="O62" i="13"/>
  <c r="O107" i="13" l="1"/>
  <c r="O103" i="13"/>
  <c r="O102" i="13"/>
  <c r="O100" i="13"/>
  <c r="O99" i="13"/>
  <c r="O95" i="13"/>
  <c r="O94" i="13"/>
  <c r="O119" i="13"/>
  <c r="O91" i="13"/>
  <c r="O90" i="13"/>
  <c r="O72" i="13"/>
  <c r="O71" i="13"/>
  <c r="O70" i="13"/>
  <c r="O69" i="13"/>
  <c r="O66" i="13"/>
  <c r="O64" i="13"/>
  <c r="O63" i="13"/>
  <c r="O61" i="13"/>
  <c r="O60" i="13"/>
  <c r="O59" i="13"/>
  <c r="O58" i="13"/>
  <c r="N79" i="13"/>
  <c r="M79" i="13"/>
  <c r="L79" i="13"/>
  <c r="K79" i="13"/>
  <c r="J79" i="13"/>
  <c r="I79" i="13"/>
  <c r="H79" i="13"/>
  <c r="G79" i="13"/>
  <c r="D26" i="13"/>
  <c r="O17" i="13"/>
  <c r="O19" i="13"/>
  <c r="O79" i="13" l="1"/>
  <c r="D75" i="13"/>
  <c r="D80" i="13"/>
  <c r="D81" i="13"/>
  <c r="D82" i="13"/>
  <c r="D83" i="13"/>
  <c r="D40" i="13"/>
  <c r="D41" i="13"/>
  <c r="D87" i="13"/>
  <c r="D65" i="13"/>
  <c r="D78" i="13"/>
  <c r="O108" i="13"/>
  <c r="D72" i="13"/>
  <c r="D71" i="13"/>
  <c r="D73" i="13"/>
  <c r="D39" i="13"/>
  <c r="D96" i="13"/>
  <c r="D112" i="13"/>
  <c r="D62" i="13"/>
  <c r="D108" i="13"/>
  <c r="D64" i="13"/>
  <c r="D93" i="13"/>
  <c r="D103" i="13"/>
  <c r="D60" i="13"/>
  <c r="D79" i="13"/>
  <c r="D91" i="13"/>
  <c r="D94" i="13"/>
  <c r="D104" i="13"/>
  <c r="D106" i="13"/>
  <c r="D70" i="13"/>
  <c r="D99" i="13"/>
  <c r="D27" i="13"/>
  <c r="D57" i="13"/>
  <c r="D66" i="13"/>
  <c r="D100" i="13"/>
  <c r="D110" i="13"/>
  <c r="D28" i="13"/>
  <c r="D58" i="13"/>
  <c r="D61" i="13"/>
  <c r="D68" i="13"/>
  <c r="D89" i="13"/>
  <c r="D88" i="13"/>
  <c r="D95" i="13"/>
  <c r="D101" i="13"/>
  <c r="D111" i="13"/>
  <c r="D59" i="13"/>
  <c r="D63" i="13"/>
  <c r="D69" i="13"/>
  <c r="D90" i="13"/>
  <c r="D98" i="13"/>
  <c r="D102" i="13"/>
  <c r="D107" i="13"/>
  <c r="F89" i="21" l="1"/>
  <c r="K89" i="21"/>
  <c r="J89" i="21"/>
  <c r="H89" i="21"/>
  <c r="I89" i="21"/>
  <c r="N89" i="21"/>
  <c r="L89" i="21"/>
  <c r="M89" i="21"/>
  <c r="G89" i="21"/>
  <c r="P102" i="20"/>
  <c r="P101" i="20"/>
  <c r="P95" i="20"/>
  <c r="P98" i="20"/>
  <c r="O89" i="21" l="1"/>
  <c r="O27" i="13" l="1"/>
  <c r="K98" i="13"/>
  <c r="L98" i="13"/>
  <c r="M98" i="13"/>
  <c r="N98" i="13"/>
  <c r="O44" i="13" l="1"/>
  <c r="O104" i="13" l="1"/>
  <c r="H98" i="13"/>
  <c r="O101" i="13"/>
  <c r="G98" i="13"/>
  <c r="I98" i="13"/>
  <c r="J98" i="13"/>
  <c r="D6" i="21"/>
  <c r="D5" i="21"/>
  <c r="D4" i="21"/>
  <c r="D3" i="21"/>
  <c r="O98" i="13" l="1"/>
  <c r="P206" i="20"/>
  <c r="Y107" i="20"/>
  <c r="D6" i="20"/>
  <c r="D5" i="20"/>
  <c r="D4" i="20"/>
  <c r="D3" i="20"/>
  <c r="AB107" i="20" l="1"/>
  <c r="AB105" i="20"/>
  <c r="Z105" i="20"/>
  <c r="Z107" i="20"/>
  <c r="AA107" i="20"/>
  <c r="AA105" i="20"/>
  <c r="X107" i="20"/>
  <c r="X105" i="20"/>
  <c r="T105" i="20"/>
  <c r="T107" i="20"/>
  <c r="Y105" i="20"/>
  <c r="V107" i="20"/>
  <c r="V105" i="20"/>
  <c r="W107" i="20"/>
  <c r="W105" i="20"/>
  <c r="P125" i="20"/>
  <c r="P124" i="20"/>
  <c r="P112" i="20" l="1"/>
  <c r="D7" i="18"/>
  <c r="D215" i="2" l="1"/>
  <c r="D194" i="2"/>
  <c r="D176" i="2"/>
  <c r="D202" i="2"/>
  <c r="D193" i="2"/>
  <c r="D175" i="2"/>
  <c r="D204" i="2"/>
  <c r="D173" i="2"/>
  <c r="D203" i="2"/>
  <c r="D192" i="2"/>
  <c r="D174" i="2"/>
  <c r="D236" i="2"/>
  <c r="D177" i="2"/>
  <c r="P111" i="20"/>
  <c r="L110" i="13" l="1"/>
  <c r="L123" i="13" s="1"/>
  <c r="K110" i="13"/>
  <c r="K123" i="13" s="1"/>
  <c r="J110" i="13"/>
  <c r="J123" i="13" s="1"/>
  <c r="I110" i="13"/>
  <c r="I123" i="13" s="1"/>
  <c r="H110" i="13"/>
  <c r="H123" i="13" s="1"/>
  <c r="G110" i="13"/>
  <c r="F110" i="13"/>
  <c r="F123" i="13" s="1"/>
  <c r="G123" i="13" l="1"/>
  <c r="O110" i="13"/>
  <c r="N110" i="13"/>
  <c r="N123" i="13" s="1"/>
  <c r="M110" i="13"/>
  <c r="M123" i="13" s="1"/>
  <c r="O112" i="13" l="1"/>
  <c r="O111" i="13"/>
  <c r="O123" i="13" l="1"/>
  <c r="N11" i="18" l="1"/>
  <c r="N137" i="18" l="1"/>
  <c r="J2" i="14"/>
  <c r="N9" i="21"/>
  <c r="N9" i="20"/>
  <c r="N11" i="2"/>
  <c r="N268" i="2" l="1"/>
  <c r="N170" i="2"/>
  <c r="N137" i="2"/>
  <c r="N4" i="12"/>
  <c r="N129" i="21"/>
  <c r="C11" i="12"/>
  <c r="C21" i="12"/>
  <c r="C20" i="12"/>
  <c r="C19" i="12"/>
  <c r="C18" i="12"/>
  <c r="C17" i="12"/>
  <c r="J11" i="18"/>
  <c r="F2" i="14" s="1"/>
  <c r="N9" i="13"/>
  <c r="M11" i="18"/>
  <c r="M137" i="18" l="1"/>
  <c r="I2" i="14"/>
  <c r="I11" i="18"/>
  <c r="E2" i="14" s="1"/>
  <c r="J137" i="18"/>
  <c r="M9" i="21"/>
  <c r="M9" i="20"/>
  <c r="J9" i="21"/>
  <c r="J9" i="20"/>
  <c r="J9" i="13"/>
  <c r="J11" i="2"/>
  <c r="O11" i="18"/>
  <c r="M11" i="2"/>
  <c r="L11" i="18"/>
  <c r="M9" i="13"/>
  <c r="O137" i="18" l="1"/>
  <c r="K2" i="14"/>
  <c r="L137" i="18"/>
  <c r="H2" i="14"/>
  <c r="H11" i="18"/>
  <c r="D2" i="14" s="1"/>
  <c r="I137" i="18"/>
  <c r="J268" i="2"/>
  <c r="J170" i="2"/>
  <c r="J137" i="2"/>
  <c r="M268" i="2"/>
  <c r="M170" i="2"/>
  <c r="M137" i="2"/>
  <c r="L9" i="21"/>
  <c r="L9" i="20"/>
  <c r="M4" i="12"/>
  <c r="M129" i="21"/>
  <c r="J129" i="21"/>
  <c r="J4" i="12"/>
  <c r="I9" i="21"/>
  <c r="I9" i="20"/>
  <c r="O9" i="21"/>
  <c r="O9" i="20"/>
  <c r="O9" i="13"/>
  <c r="O11" i="2"/>
  <c r="I11" i="2"/>
  <c r="L11" i="2"/>
  <c r="I9" i="13"/>
  <c r="K11" i="18"/>
  <c r="L9" i="13"/>
  <c r="K137" i="18" l="1"/>
  <c r="G2" i="14"/>
  <c r="G11" i="18"/>
  <c r="C2" i="14" s="1"/>
  <c r="H137" i="18"/>
  <c r="O268" i="2"/>
  <c r="O170" i="2"/>
  <c r="O137" i="2"/>
  <c r="L268" i="2"/>
  <c r="L137" i="2"/>
  <c r="L170" i="2"/>
  <c r="I268" i="2"/>
  <c r="I170" i="2"/>
  <c r="I137" i="2"/>
  <c r="K9" i="21"/>
  <c r="K9" i="20"/>
  <c r="L4" i="12"/>
  <c r="L129" i="21"/>
  <c r="O129" i="21"/>
  <c r="O4" i="12"/>
  <c r="I129" i="21"/>
  <c r="I4" i="12"/>
  <c r="H9" i="21"/>
  <c r="H9" i="20"/>
  <c r="H11" i="2"/>
  <c r="K9" i="13"/>
  <c r="K11" i="2"/>
  <c r="H9" i="13"/>
  <c r="K268" i="2" l="1"/>
  <c r="K170" i="2"/>
  <c r="K137" i="2"/>
  <c r="H268" i="2"/>
  <c r="H137" i="2"/>
  <c r="H170" i="2"/>
  <c r="F11" i="18"/>
  <c r="G137" i="18"/>
  <c r="K4" i="12"/>
  <c r="K129" i="21"/>
  <c r="H129" i="21"/>
  <c r="H4" i="12"/>
  <c r="G9" i="21"/>
  <c r="G9" i="20"/>
  <c r="G11" i="2"/>
  <c r="G9" i="13"/>
  <c r="F137" i="18" l="1"/>
  <c r="B2" i="14"/>
  <c r="G268" i="2"/>
  <c r="G170" i="2"/>
  <c r="G137" i="2"/>
  <c r="G129" i="21"/>
  <c r="G4" i="12"/>
  <c r="F9" i="21"/>
  <c r="F9" i="20"/>
  <c r="F9" i="13"/>
  <c r="F11" i="2"/>
  <c r="F268" i="2" l="1"/>
  <c r="F170" i="2"/>
  <c r="F137" i="2"/>
  <c r="F129" i="21"/>
  <c r="F4" i="12"/>
  <c r="N115" i="13"/>
  <c r="M115" i="13"/>
  <c r="L115" i="13"/>
  <c r="K115" i="13"/>
  <c r="J115" i="13"/>
  <c r="I115" i="13"/>
  <c r="H115" i="13"/>
  <c r="G115" i="13"/>
  <c r="E57" i="12" l="1"/>
  <c r="D6" i="18"/>
  <c r="N130" i="18"/>
  <c r="M130" i="18"/>
  <c r="L130" i="18"/>
  <c r="K130" i="18"/>
  <c r="J130" i="18"/>
  <c r="O130" i="18" s="1"/>
  <c r="I130" i="18"/>
  <c r="H130" i="18"/>
  <c r="G130" i="18"/>
  <c r="F130" i="18"/>
  <c r="O126" i="18"/>
  <c r="O125" i="18"/>
  <c r="O124" i="18"/>
  <c r="O123" i="18"/>
  <c r="O122" i="18"/>
  <c r="K120" i="18"/>
  <c r="O121" i="18"/>
  <c r="I120" i="18"/>
  <c r="M120" i="18"/>
  <c r="G120" i="18"/>
  <c r="O116" i="18"/>
  <c r="O115" i="18"/>
  <c r="O114" i="18"/>
  <c r="O113" i="18"/>
  <c r="O112" i="18"/>
  <c r="N110" i="18"/>
  <c r="M110" i="18"/>
  <c r="L110" i="18"/>
  <c r="K110" i="18"/>
  <c r="K107" i="18" s="1"/>
  <c r="J110" i="18"/>
  <c r="O110" i="18" s="1"/>
  <c r="I110" i="18"/>
  <c r="H110" i="18"/>
  <c r="G110" i="18"/>
  <c r="F110" i="18"/>
  <c r="F107" i="18" s="1"/>
  <c r="O109" i="18"/>
  <c r="N99" i="18"/>
  <c r="M99" i="18"/>
  <c r="O105" i="18"/>
  <c r="F99" i="18"/>
  <c r="F95" i="18" s="1"/>
  <c r="O104" i="18"/>
  <c r="O103" i="18"/>
  <c r="O102" i="18"/>
  <c r="O101" i="18"/>
  <c r="O100" i="18"/>
  <c r="L99" i="18"/>
  <c r="K99" i="18"/>
  <c r="K95" i="18" s="1"/>
  <c r="J99" i="18"/>
  <c r="O99" i="18" s="1"/>
  <c r="O147" i="18" s="1"/>
  <c r="I99" i="18"/>
  <c r="H99" i="18"/>
  <c r="H147" i="18" s="1"/>
  <c r="G99" i="18"/>
  <c r="O98" i="18"/>
  <c r="O96" i="18"/>
  <c r="O145" i="18" s="1"/>
  <c r="N85" i="18"/>
  <c r="O91" i="18"/>
  <c r="F85" i="18"/>
  <c r="O90" i="18"/>
  <c r="O89" i="18"/>
  <c r="O88" i="18"/>
  <c r="O87" i="18"/>
  <c r="O86" i="18"/>
  <c r="M85" i="18"/>
  <c r="L85" i="18"/>
  <c r="K85" i="18"/>
  <c r="J85" i="18"/>
  <c r="O85" i="18" s="1"/>
  <c r="I85" i="18"/>
  <c r="H85" i="18"/>
  <c r="G85" i="18"/>
  <c r="G149" i="18" s="1"/>
  <c r="O84" i="18"/>
  <c r="O83" i="18"/>
  <c r="O82" i="18"/>
  <c r="O155" i="18" s="1"/>
  <c r="O81" i="18"/>
  <c r="O154" i="18" s="1"/>
  <c r="O80" i="18"/>
  <c r="O79" i="18"/>
  <c r="O76" i="18"/>
  <c r="O75" i="18"/>
  <c r="O74" i="18"/>
  <c r="O73" i="18"/>
  <c r="O72" i="18"/>
  <c r="O71" i="18"/>
  <c r="O70" i="18"/>
  <c r="N69" i="18"/>
  <c r="M69" i="18"/>
  <c r="L69" i="18"/>
  <c r="K69" i="18"/>
  <c r="K64" i="18" s="1"/>
  <c r="J69" i="18"/>
  <c r="I69" i="18"/>
  <c r="H69" i="18"/>
  <c r="G69" i="18"/>
  <c r="F69" i="18"/>
  <c r="F64" i="18" s="1"/>
  <c r="O68" i="18"/>
  <c r="O144" i="18" s="1"/>
  <c r="O67" i="18"/>
  <c r="O143" i="18" s="1"/>
  <c r="O66" i="18"/>
  <c r="O65" i="18"/>
  <c r="O57" i="18"/>
  <c r="O53" i="18"/>
  <c r="O49" i="18"/>
  <c r="O45" i="18"/>
  <c r="M35" i="18"/>
  <c r="L35" i="18"/>
  <c r="K35" i="18"/>
  <c r="G35" i="18"/>
  <c r="O40" i="18"/>
  <c r="O39" i="18"/>
  <c r="O38" i="18"/>
  <c r="O37" i="18"/>
  <c r="O36" i="18"/>
  <c r="N35" i="18"/>
  <c r="J35" i="18"/>
  <c r="I35" i="18"/>
  <c r="H35" i="18"/>
  <c r="O31" i="18"/>
  <c r="O30" i="18"/>
  <c r="N28" i="18"/>
  <c r="M28" i="18"/>
  <c r="L28" i="18"/>
  <c r="K28" i="18"/>
  <c r="J28" i="18"/>
  <c r="I28" i="18"/>
  <c r="H28" i="18"/>
  <c r="G28" i="18"/>
  <c r="F28" i="18"/>
  <c r="O26" i="18"/>
  <c r="O25" i="18"/>
  <c r="N24" i="18"/>
  <c r="M24" i="18"/>
  <c r="L24" i="18"/>
  <c r="K24" i="18"/>
  <c r="J24" i="18"/>
  <c r="I24" i="18"/>
  <c r="H24" i="18"/>
  <c r="G24" i="18"/>
  <c r="F24" i="18"/>
  <c r="O20" i="18"/>
  <c r="G18" i="18"/>
  <c r="M18" i="18"/>
  <c r="L18" i="18"/>
  <c r="K18" i="18"/>
  <c r="J18" i="18"/>
  <c r="I18" i="18"/>
  <c r="H18" i="18"/>
  <c r="F18" i="18"/>
  <c r="O16" i="18"/>
  <c r="O15" i="18"/>
  <c r="N13" i="18"/>
  <c r="M13" i="18"/>
  <c r="L13" i="18"/>
  <c r="K13" i="18"/>
  <c r="J13" i="18"/>
  <c r="I13" i="18"/>
  <c r="H13" i="18"/>
  <c r="G13" i="18"/>
  <c r="F13" i="18"/>
  <c r="D5" i="18"/>
  <c r="D4" i="18"/>
  <c r="D3" i="18"/>
  <c r="J146" i="18" l="1"/>
  <c r="O69" i="18"/>
  <c r="O146" i="18" s="1"/>
  <c r="N146" i="18"/>
  <c r="O150" i="18"/>
  <c r="O142" i="18"/>
  <c r="I149" i="18"/>
  <c r="O149" i="18"/>
  <c r="O148" i="18" s="1"/>
  <c r="O153" i="18"/>
  <c r="O152" i="18" s="1"/>
  <c r="O35" i="18"/>
  <c r="O28" i="18"/>
  <c r="O18" i="18"/>
  <c r="O13" i="18"/>
  <c r="L147" i="18"/>
  <c r="J147" i="18"/>
  <c r="J142" i="18" s="1"/>
  <c r="I146" i="18"/>
  <c r="M146" i="18"/>
  <c r="H149" i="18"/>
  <c r="L78" i="18"/>
  <c r="L149" i="18"/>
  <c r="G147" i="18"/>
  <c r="I150" i="18"/>
  <c r="I148" i="18" s="1"/>
  <c r="M107" i="18"/>
  <c r="M150" i="18"/>
  <c r="M78" i="18"/>
  <c r="M149" i="18"/>
  <c r="N78" i="18"/>
  <c r="N149" i="18"/>
  <c r="M147" i="18"/>
  <c r="J107" i="18"/>
  <c r="O107" i="18" s="1"/>
  <c r="J150" i="18"/>
  <c r="N107" i="18"/>
  <c r="N150" i="18"/>
  <c r="G146" i="18"/>
  <c r="J149" i="18"/>
  <c r="J148" i="18" s="1"/>
  <c r="I147" i="18"/>
  <c r="N147" i="18"/>
  <c r="N142" i="18" s="1"/>
  <c r="G107" i="18"/>
  <c r="G150" i="18"/>
  <c r="G148" i="18" s="1"/>
  <c r="H64" i="18"/>
  <c r="H146" i="18"/>
  <c r="H142" i="18" s="1"/>
  <c r="L64" i="18"/>
  <c r="L146" i="18"/>
  <c r="L142" i="18" s="1"/>
  <c r="H107" i="18"/>
  <c r="H150" i="18"/>
  <c r="L107" i="18"/>
  <c r="L150" i="18"/>
  <c r="N122" i="13"/>
  <c r="N124" i="13" s="1"/>
  <c r="N118" i="13"/>
  <c r="F118" i="13"/>
  <c r="F120" i="13" s="1"/>
  <c r="H114" i="13"/>
  <c r="G118" i="13"/>
  <c r="G120" i="13" s="1"/>
  <c r="H118" i="13"/>
  <c r="F118" i="18"/>
  <c r="J118" i="13"/>
  <c r="I118" i="13"/>
  <c r="J122" i="13"/>
  <c r="J124" i="13" s="1"/>
  <c r="I122" i="13"/>
  <c r="I124" i="13" s="1"/>
  <c r="H122" i="13"/>
  <c r="H124" i="13" s="1"/>
  <c r="G122" i="13"/>
  <c r="G124" i="13" s="1"/>
  <c r="F122" i="13"/>
  <c r="F124" i="13" s="1"/>
  <c r="K122" i="13"/>
  <c r="K124" i="13" s="1"/>
  <c r="L122" i="13"/>
  <c r="L124" i="13" s="1"/>
  <c r="L114" i="13"/>
  <c r="L118" i="13"/>
  <c r="M122" i="13"/>
  <c r="M124" i="13" s="1"/>
  <c r="M118" i="13"/>
  <c r="A7" i="14"/>
  <c r="A6" i="14"/>
  <c r="B7" i="14"/>
  <c r="G114" i="13"/>
  <c r="K114" i="13"/>
  <c r="I114" i="13"/>
  <c r="M114" i="13"/>
  <c r="B8" i="14"/>
  <c r="B6" i="14"/>
  <c r="A8" i="14"/>
  <c r="J114" i="13"/>
  <c r="K22" i="18"/>
  <c r="K33" i="18" s="1"/>
  <c r="K43" i="18" s="1"/>
  <c r="K118" i="13"/>
  <c r="F114" i="13"/>
  <c r="N18" i="18"/>
  <c r="I78" i="18"/>
  <c r="I95" i="18"/>
  <c r="I107" i="18"/>
  <c r="G78" i="18"/>
  <c r="G22" i="18"/>
  <c r="J78" i="18"/>
  <c r="O78" i="18" s="1"/>
  <c r="H78" i="18"/>
  <c r="H93" i="18" s="1"/>
  <c r="F120" i="18"/>
  <c r="F128" i="18" s="1"/>
  <c r="O19" i="18"/>
  <c r="M64" i="18"/>
  <c r="J95" i="18"/>
  <c r="K118" i="18"/>
  <c r="K128" i="18" s="1"/>
  <c r="H120" i="18"/>
  <c r="L120" i="18"/>
  <c r="J64" i="18"/>
  <c r="O64" i="18" s="1"/>
  <c r="N64" i="18"/>
  <c r="N93" i="18" s="1"/>
  <c r="K78" i="18"/>
  <c r="K93" i="18" s="1"/>
  <c r="N95" i="18"/>
  <c r="N118" i="18" s="1"/>
  <c r="M95" i="18"/>
  <c r="M118" i="18" s="1"/>
  <c r="F22" i="18"/>
  <c r="H95" i="18"/>
  <c r="L95" i="18"/>
  <c r="L118" i="18" s="1"/>
  <c r="L22" i="18"/>
  <c r="O41" i="18"/>
  <c r="O58" i="18"/>
  <c r="O159" i="18" s="1"/>
  <c r="J22" i="18"/>
  <c r="F78" i="18"/>
  <c r="F93" i="18" s="1"/>
  <c r="H22" i="18"/>
  <c r="I22" i="18"/>
  <c r="M22" i="18"/>
  <c r="L93" i="18"/>
  <c r="N120" i="18"/>
  <c r="G95" i="18"/>
  <c r="G118" i="18" s="1"/>
  <c r="J120" i="18"/>
  <c r="O120" i="18" s="1"/>
  <c r="O97" i="18"/>
  <c r="O160" i="18" s="1"/>
  <c r="H118" i="18" l="1"/>
  <c r="G142" i="18"/>
  <c r="J118" i="18"/>
  <c r="O118" i="18" s="1"/>
  <c r="O95" i="18"/>
  <c r="M93" i="18"/>
  <c r="G33" i="18"/>
  <c r="O22" i="18"/>
  <c r="I83" i="21"/>
  <c r="N83" i="21"/>
  <c r="L83" i="21"/>
  <c r="G82" i="21"/>
  <c r="I82" i="21"/>
  <c r="K59" i="21"/>
  <c r="F59" i="21"/>
  <c r="G112" i="21"/>
  <c r="M112" i="21"/>
  <c r="M9" i="12" s="1"/>
  <c r="N40" i="21"/>
  <c r="M40" i="21"/>
  <c r="K40" i="21"/>
  <c r="G80" i="21"/>
  <c r="G217" i="21" s="1"/>
  <c r="I80" i="21"/>
  <c r="N60" i="21"/>
  <c r="I60" i="21"/>
  <c r="I65" i="21"/>
  <c r="G65" i="21"/>
  <c r="L88" i="21"/>
  <c r="N88" i="21"/>
  <c r="I88" i="21"/>
  <c r="J94" i="21"/>
  <c r="L94" i="21"/>
  <c r="J39" i="21"/>
  <c r="K39" i="21"/>
  <c r="G87" i="21"/>
  <c r="G149" i="21" s="1"/>
  <c r="M87" i="21"/>
  <c r="M151" i="21" s="1"/>
  <c r="N101" i="21"/>
  <c r="I101" i="21"/>
  <c r="G101" i="21"/>
  <c r="M61" i="21"/>
  <c r="G61" i="21"/>
  <c r="K66" i="21"/>
  <c r="F66" i="21"/>
  <c r="I96" i="21"/>
  <c r="G96" i="21"/>
  <c r="M78" i="21"/>
  <c r="M216" i="21" s="1"/>
  <c r="M222" i="21" s="1"/>
  <c r="K78" i="21"/>
  <c r="J78" i="21"/>
  <c r="M95" i="21"/>
  <c r="K95" i="21"/>
  <c r="L58" i="21"/>
  <c r="N58" i="21"/>
  <c r="G104" i="21"/>
  <c r="M104" i="21"/>
  <c r="M108" i="21"/>
  <c r="K108" i="21"/>
  <c r="F108" i="21"/>
  <c r="M107" i="21"/>
  <c r="G107" i="21"/>
  <c r="N81" i="21"/>
  <c r="I81" i="21"/>
  <c r="G63" i="21"/>
  <c r="M63" i="21"/>
  <c r="L111" i="21"/>
  <c r="N111" i="21"/>
  <c r="N238" i="21" s="1"/>
  <c r="I111" i="21"/>
  <c r="I238" i="21" s="1"/>
  <c r="M64" i="21"/>
  <c r="K64" i="21"/>
  <c r="L62" i="21"/>
  <c r="J62" i="21"/>
  <c r="M83" i="21"/>
  <c r="G83" i="21"/>
  <c r="F82" i="21"/>
  <c r="K82" i="21"/>
  <c r="K219" i="21" s="1"/>
  <c r="M82" i="21"/>
  <c r="G59" i="21"/>
  <c r="M59" i="21"/>
  <c r="N112" i="21"/>
  <c r="N9" i="12" s="1"/>
  <c r="I112" i="21"/>
  <c r="J40" i="21"/>
  <c r="I40" i="21"/>
  <c r="L80" i="21"/>
  <c r="L217" i="21" s="1"/>
  <c r="N80" i="21"/>
  <c r="M80" i="21"/>
  <c r="J60" i="21"/>
  <c r="L60" i="21"/>
  <c r="L65" i="21"/>
  <c r="J65" i="21"/>
  <c r="H88" i="21"/>
  <c r="J88" i="21"/>
  <c r="K94" i="21"/>
  <c r="F94" i="21"/>
  <c r="H94" i="21"/>
  <c r="L39" i="21"/>
  <c r="G39" i="21"/>
  <c r="N87" i="21"/>
  <c r="N151" i="21" s="1"/>
  <c r="I87" i="21"/>
  <c r="J101" i="21"/>
  <c r="J247" i="21" s="1"/>
  <c r="L101" i="21"/>
  <c r="N61" i="21"/>
  <c r="I61" i="21"/>
  <c r="K61" i="21"/>
  <c r="G66" i="21"/>
  <c r="M66" i="21"/>
  <c r="L96" i="21"/>
  <c r="F96" i="21"/>
  <c r="I78" i="21"/>
  <c r="G78" i="21"/>
  <c r="N95" i="21"/>
  <c r="I95" i="21"/>
  <c r="G95" i="21"/>
  <c r="H58" i="21"/>
  <c r="J58" i="21"/>
  <c r="N104" i="21"/>
  <c r="I104" i="21"/>
  <c r="I108" i="21"/>
  <c r="G108" i="21"/>
  <c r="N107" i="21"/>
  <c r="I107" i="21"/>
  <c r="K107" i="21"/>
  <c r="J81" i="21"/>
  <c r="L81" i="21"/>
  <c r="N63" i="21"/>
  <c r="I63" i="21"/>
  <c r="H111" i="21"/>
  <c r="H238" i="21" s="1"/>
  <c r="J111" i="21"/>
  <c r="J238" i="21" s="1"/>
  <c r="G33" i="31" s="1"/>
  <c r="N64" i="21"/>
  <c r="I64" i="21"/>
  <c r="G64" i="21"/>
  <c r="H62" i="21"/>
  <c r="F62" i="21"/>
  <c r="F83" i="21"/>
  <c r="K83" i="21"/>
  <c r="J82" i="21"/>
  <c r="J219" i="21" s="1"/>
  <c r="H82" i="21"/>
  <c r="L59" i="21"/>
  <c r="N59" i="21"/>
  <c r="I59" i="21"/>
  <c r="J112" i="21"/>
  <c r="L112" i="21"/>
  <c r="F40" i="21"/>
  <c r="L40" i="21"/>
  <c r="H80" i="21"/>
  <c r="J80" i="21"/>
  <c r="K60" i="21"/>
  <c r="F60" i="21"/>
  <c r="H60" i="21"/>
  <c r="H65" i="21"/>
  <c r="F65" i="21"/>
  <c r="K88" i="21"/>
  <c r="F88" i="21"/>
  <c r="G94" i="21"/>
  <c r="M94" i="21"/>
  <c r="M39" i="21"/>
  <c r="H39" i="21"/>
  <c r="F39" i="21"/>
  <c r="F164" i="21" s="1"/>
  <c r="F165" i="21" s="1"/>
  <c r="J87" i="21"/>
  <c r="L87" i="21"/>
  <c r="L151" i="21" s="1"/>
  <c r="F101" i="21"/>
  <c r="H101" i="21"/>
  <c r="J61" i="21"/>
  <c r="L61" i="21"/>
  <c r="L66" i="21"/>
  <c r="N66" i="21"/>
  <c r="I66" i="21"/>
  <c r="H96" i="21"/>
  <c r="N96" i="21"/>
  <c r="L78" i="21"/>
  <c r="N78" i="21"/>
  <c r="J95" i="21"/>
  <c r="L95" i="21"/>
  <c r="M58" i="21"/>
  <c r="K58" i="21"/>
  <c r="F58" i="21"/>
  <c r="J104" i="21"/>
  <c r="L104" i="21"/>
  <c r="L108" i="21"/>
  <c r="N108" i="21"/>
  <c r="J107" i="21"/>
  <c r="L107" i="21"/>
  <c r="K81" i="21"/>
  <c r="F81" i="21"/>
  <c r="H81" i="21"/>
  <c r="J63" i="21"/>
  <c r="L63" i="21"/>
  <c r="K111" i="21"/>
  <c r="K238" i="21" s="1"/>
  <c r="F111" i="21"/>
  <c r="F238" i="21" s="1"/>
  <c r="J64" i="21"/>
  <c r="L64" i="21"/>
  <c r="M62" i="21"/>
  <c r="K62" i="21"/>
  <c r="N62" i="21"/>
  <c r="J83" i="21"/>
  <c r="J220" i="21" s="1"/>
  <c r="H83" i="21"/>
  <c r="N82" i="21"/>
  <c r="L82" i="21"/>
  <c r="L219" i="21" s="1"/>
  <c r="H59" i="21"/>
  <c r="J59" i="21"/>
  <c r="K112" i="21"/>
  <c r="F112" i="21"/>
  <c r="H112" i="21"/>
  <c r="H9" i="12" s="1"/>
  <c r="G40" i="21"/>
  <c r="H40" i="21"/>
  <c r="K80" i="21"/>
  <c r="F80" i="21"/>
  <c r="G60" i="21"/>
  <c r="M60" i="21"/>
  <c r="M65" i="21"/>
  <c r="K65" i="21"/>
  <c r="N65" i="21"/>
  <c r="G88" i="21"/>
  <c r="M88" i="21"/>
  <c r="N94" i="21"/>
  <c r="I94" i="21"/>
  <c r="I39" i="21"/>
  <c r="N39" i="21"/>
  <c r="K87" i="21"/>
  <c r="K151" i="21" s="1"/>
  <c r="F87" i="21"/>
  <c r="H87" i="21"/>
  <c r="M101" i="21"/>
  <c r="K101" i="21"/>
  <c r="F61" i="21"/>
  <c r="H61" i="21"/>
  <c r="H66" i="21"/>
  <c r="J66" i="21"/>
  <c r="M96" i="21"/>
  <c r="K96" i="21"/>
  <c r="J96" i="21"/>
  <c r="H78" i="21"/>
  <c r="H216" i="21" s="1"/>
  <c r="F78" i="21"/>
  <c r="F216" i="21" s="1"/>
  <c r="F95" i="21"/>
  <c r="H95" i="21"/>
  <c r="I58" i="21"/>
  <c r="G58" i="21"/>
  <c r="K104" i="21"/>
  <c r="F104" i="21"/>
  <c r="H104" i="21"/>
  <c r="H108" i="21"/>
  <c r="J108" i="21"/>
  <c r="F107" i="21"/>
  <c r="H107" i="21"/>
  <c r="G81" i="21"/>
  <c r="M81" i="21"/>
  <c r="K63" i="21"/>
  <c r="F63" i="21"/>
  <c r="H63" i="21"/>
  <c r="G111" i="21"/>
  <c r="M111" i="21"/>
  <c r="F64" i="21"/>
  <c r="H64" i="21"/>
  <c r="I62" i="21"/>
  <c r="G62" i="21"/>
  <c r="M133" i="2"/>
  <c r="F132" i="2"/>
  <c r="H126" i="2"/>
  <c r="J124" i="2"/>
  <c r="N116" i="2"/>
  <c r="G115" i="2"/>
  <c r="J112" i="2"/>
  <c r="L109" i="2"/>
  <c r="N105" i="2"/>
  <c r="G104" i="2"/>
  <c r="I102" i="2"/>
  <c r="K100" i="2"/>
  <c r="N96" i="2"/>
  <c r="G91" i="2"/>
  <c r="I89" i="2"/>
  <c r="K87" i="2"/>
  <c r="M84" i="2"/>
  <c r="F83" i="2"/>
  <c r="H133" i="2"/>
  <c r="J131" i="2"/>
  <c r="O131" i="2" s="1"/>
  <c r="L125" i="2"/>
  <c r="K122" i="2"/>
  <c r="N115" i="2"/>
  <c r="H113" i="2"/>
  <c r="J111" i="2"/>
  <c r="L108" i="2"/>
  <c r="N104" i="2"/>
  <c r="G103" i="2"/>
  <c r="I101" i="2"/>
  <c r="K98" i="2"/>
  <c r="N91" i="2"/>
  <c r="G90" i="2"/>
  <c r="I88" i="2"/>
  <c r="K86" i="2"/>
  <c r="M83" i="2"/>
  <c r="K133" i="2"/>
  <c r="M131" i="2"/>
  <c r="F126" i="2"/>
  <c r="H124" i="2"/>
  <c r="L116" i="2"/>
  <c r="K113" i="2"/>
  <c r="M111" i="2"/>
  <c r="F109" i="2"/>
  <c r="H105" i="2"/>
  <c r="J103" i="2"/>
  <c r="L101" i="2"/>
  <c r="N98" i="2"/>
  <c r="H96" i="2"/>
  <c r="J90" i="2"/>
  <c r="L88" i="2"/>
  <c r="N86" i="2"/>
  <c r="G84" i="2"/>
  <c r="I82" i="2"/>
  <c r="K132" i="2"/>
  <c r="M126" i="2"/>
  <c r="F125" i="2"/>
  <c r="I122" i="2"/>
  <c r="H115" i="2"/>
  <c r="K112" i="2"/>
  <c r="M109" i="2"/>
  <c r="F108" i="2"/>
  <c r="H104" i="2"/>
  <c r="J102" i="2"/>
  <c r="L100" i="2"/>
  <c r="K96" i="2"/>
  <c r="M90" i="2"/>
  <c r="F89" i="2"/>
  <c r="H87" i="2"/>
  <c r="J84" i="2"/>
  <c r="L82" i="2"/>
  <c r="F81" i="2"/>
  <c r="H79" i="2"/>
  <c r="J75" i="2"/>
  <c r="L73" i="2"/>
  <c r="N71" i="2"/>
  <c r="G70" i="2"/>
  <c r="I67" i="2"/>
  <c r="K65" i="2"/>
  <c r="M57" i="2"/>
  <c r="F53" i="2"/>
  <c r="H45" i="2"/>
  <c r="K39" i="2"/>
  <c r="M37" i="2"/>
  <c r="F36" i="2"/>
  <c r="H30" i="2"/>
  <c r="I133" i="2"/>
  <c r="K131" i="2"/>
  <c r="M125" i="2"/>
  <c r="F124" i="2"/>
  <c r="J116" i="2"/>
  <c r="M113" i="2"/>
  <c r="F112" i="2"/>
  <c r="H109" i="2"/>
  <c r="J105" i="2"/>
  <c r="L103" i="2"/>
  <c r="N101" i="2"/>
  <c r="G100" i="2"/>
  <c r="J96" i="2"/>
  <c r="L90" i="2"/>
  <c r="N88" i="2"/>
  <c r="G87" i="2"/>
  <c r="I84" i="2"/>
  <c r="K82" i="2"/>
  <c r="M132" i="2"/>
  <c r="F131" i="2"/>
  <c r="H125" i="2"/>
  <c r="G122" i="2"/>
  <c r="J115" i="2"/>
  <c r="M112" i="2"/>
  <c r="F111" i="2"/>
  <c r="H108" i="2"/>
  <c r="J104" i="2"/>
  <c r="L102" i="2"/>
  <c r="N100" i="2"/>
  <c r="G98" i="2"/>
  <c r="J91" i="2"/>
  <c r="L89" i="2"/>
  <c r="N87" i="2"/>
  <c r="G86" i="2"/>
  <c r="I83" i="2"/>
  <c r="G133" i="2"/>
  <c r="I131" i="2"/>
  <c r="K125" i="2"/>
  <c r="N122" i="2"/>
  <c r="H116" i="2"/>
  <c r="G113" i="2"/>
  <c r="I111" i="2"/>
  <c r="K108" i="2"/>
  <c r="M104" i="2"/>
  <c r="F103" i="2"/>
  <c r="H101" i="2"/>
  <c r="J98" i="2"/>
  <c r="M91" i="2"/>
  <c r="F90" i="2"/>
  <c r="H88" i="2"/>
  <c r="J86" i="2"/>
  <c r="L83" i="2"/>
  <c r="N133" i="2"/>
  <c r="G132" i="2"/>
  <c r="I126" i="2"/>
  <c r="K124" i="2"/>
  <c r="K116" i="2"/>
  <c r="N113" i="2"/>
  <c r="G112" i="2"/>
  <c r="I109" i="2"/>
  <c r="K105" i="2"/>
  <c r="M103" i="2"/>
  <c r="F102" i="2"/>
  <c r="H100" i="2"/>
  <c r="G96" i="2"/>
  <c r="I90" i="2"/>
  <c r="K88" i="2"/>
  <c r="M86" i="2"/>
  <c r="F84" i="2"/>
  <c r="H82" i="2"/>
  <c r="K80" i="2"/>
  <c r="M76" i="2"/>
  <c r="F75" i="2"/>
  <c r="H73" i="2"/>
  <c r="J71" i="2"/>
  <c r="L68" i="2"/>
  <c r="N66" i="2"/>
  <c r="G65" i="2"/>
  <c r="I57" i="2"/>
  <c r="K49" i="2"/>
  <c r="N132" i="2"/>
  <c r="G131" i="2"/>
  <c r="I125" i="2"/>
  <c r="L122" i="2"/>
  <c r="F116" i="2"/>
  <c r="I113" i="2"/>
  <c r="K111" i="2"/>
  <c r="M108" i="2"/>
  <c r="F105" i="2"/>
  <c r="H103" i="2"/>
  <c r="J101" i="2"/>
  <c r="L98" i="2"/>
  <c r="F96" i="2"/>
  <c r="H90" i="2"/>
  <c r="J88" i="2"/>
  <c r="L86" i="2"/>
  <c r="N83" i="2"/>
  <c r="G82" i="2"/>
  <c r="I132" i="2"/>
  <c r="K126" i="2"/>
  <c r="M124" i="2"/>
  <c r="M116" i="2"/>
  <c r="F115" i="2"/>
  <c r="I112" i="2"/>
  <c r="K109" i="2"/>
  <c r="M105" i="2"/>
  <c r="F104" i="2"/>
  <c r="H102" i="2"/>
  <c r="J100" i="2"/>
  <c r="M96" i="2"/>
  <c r="F91" i="2"/>
  <c r="H89" i="2"/>
  <c r="J87" i="2"/>
  <c r="L84" i="2"/>
  <c r="N82" i="2"/>
  <c r="L132" i="2"/>
  <c r="N126" i="2"/>
  <c r="G125" i="2"/>
  <c r="J122" i="2"/>
  <c r="M115" i="2"/>
  <c r="L112" i="2"/>
  <c r="N109" i="2"/>
  <c r="G108" i="2"/>
  <c r="I104" i="2"/>
  <c r="K102" i="2"/>
  <c r="M100" i="2"/>
  <c r="F98" i="2"/>
  <c r="I91" i="2"/>
  <c r="K89" i="2"/>
  <c r="M87" i="2"/>
  <c r="F86" i="2"/>
  <c r="H83" i="2"/>
  <c r="J133" i="2"/>
  <c r="O133" i="2" s="1"/>
  <c r="L131" i="2"/>
  <c r="N125" i="2"/>
  <c r="G124" i="2"/>
  <c r="G116" i="2"/>
  <c r="J113" i="2"/>
  <c r="L111" i="2"/>
  <c r="N108" i="2"/>
  <c r="G105" i="2"/>
  <c r="I103" i="2"/>
  <c r="K101" i="2"/>
  <c r="M98" i="2"/>
  <c r="L91" i="2"/>
  <c r="N89" i="2"/>
  <c r="G88" i="2"/>
  <c r="I86" i="2"/>
  <c r="K83" i="2"/>
  <c r="N81" i="2"/>
  <c r="G80" i="2"/>
  <c r="I76" i="2"/>
  <c r="K74" i="2"/>
  <c r="M72" i="2"/>
  <c r="F71" i="2"/>
  <c r="H68" i="2"/>
  <c r="J66" i="2"/>
  <c r="L58" i="2"/>
  <c r="L159" i="2" s="1"/>
  <c r="N53" i="2"/>
  <c r="G49" i="2"/>
  <c r="J132" i="2"/>
  <c r="O132" i="2" s="1"/>
  <c r="L126" i="2"/>
  <c r="N124" i="2"/>
  <c r="H122" i="2"/>
  <c r="K115" i="2"/>
  <c r="N112" i="2"/>
  <c r="G111" i="2"/>
  <c r="I108" i="2"/>
  <c r="K104" i="2"/>
  <c r="M102" i="2"/>
  <c r="F101" i="2"/>
  <c r="H98" i="2"/>
  <c r="K91" i="2"/>
  <c r="M89" i="2"/>
  <c r="F88" i="2"/>
  <c r="H86" i="2"/>
  <c r="J83" i="2"/>
  <c r="L133" i="2"/>
  <c r="N131" i="2"/>
  <c r="G126" i="2"/>
  <c r="I124" i="2"/>
  <c r="I116" i="2"/>
  <c r="L113" i="2"/>
  <c r="N111" i="2"/>
  <c r="G109" i="2"/>
  <c r="I105" i="2"/>
  <c r="K103" i="2"/>
  <c r="M101" i="2"/>
  <c r="F100" i="2"/>
  <c r="I96" i="2"/>
  <c r="K90" i="2"/>
  <c r="M88" i="2"/>
  <c r="F87" i="2"/>
  <c r="H84" i="2"/>
  <c r="J82" i="2"/>
  <c r="H132" i="2"/>
  <c r="J126" i="2"/>
  <c r="L124" i="2"/>
  <c r="F122" i="2"/>
  <c r="I115" i="2"/>
  <c r="H112" i="2"/>
  <c r="J109" i="2"/>
  <c r="L105" i="2"/>
  <c r="N103" i="2"/>
  <c r="G102" i="2"/>
  <c r="I100" i="2"/>
  <c r="L96" i="2"/>
  <c r="N90" i="2"/>
  <c r="G89" i="2"/>
  <c r="I87" i="2"/>
  <c r="K84" i="2"/>
  <c r="M82" i="2"/>
  <c r="F133" i="2"/>
  <c r="H131" i="2"/>
  <c r="J125" i="2"/>
  <c r="M122" i="2"/>
  <c r="L115" i="2"/>
  <c r="F113" i="2"/>
  <c r="H111" i="2"/>
  <c r="J108" i="2"/>
  <c r="L104" i="2"/>
  <c r="N102" i="2"/>
  <c r="G101" i="2"/>
  <c r="I98" i="2"/>
  <c r="H91" i="2"/>
  <c r="J89" i="2"/>
  <c r="L87" i="2"/>
  <c r="N84" i="2"/>
  <c r="G83" i="2"/>
  <c r="J81" i="2"/>
  <c r="L79" i="2"/>
  <c r="N75" i="2"/>
  <c r="G74" i="2"/>
  <c r="I72" i="2"/>
  <c r="K70" i="2"/>
  <c r="M67" i="2"/>
  <c r="F66" i="2"/>
  <c r="H58" i="2"/>
  <c r="H159" i="2" s="1"/>
  <c r="J53" i="2"/>
  <c r="L45" i="2"/>
  <c r="F40" i="2"/>
  <c r="H38" i="2"/>
  <c r="J36" i="2"/>
  <c r="L30" i="2"/>
  <c r="N26" i="2"/>
  <c r="N40" i="2"/>
  <c r="I37" i="2"/>
  <c r="M29" i="2"/>
  <c r="K25" i="2"/>
  <c r="M19" i="2"/>
  <c r="F16" i="2"/>
  <c r="H14" i="2"/>
  <c r="J80" i="2"/>
  <c r="H76" i="2"/>
  <c r="J74" i="2"/>
  <c r="L72" i="2"/>
  <c r="N70" i="2"/>
  <c r="G68" i="2"/>
  <c r="I66" i="2"/>
  <c r="K58" i="2"/>
  <c r="M53" i="2"/>
  <c r="F49" i="2"/>
  <c r="I40" i="2"/>
  <c r="K38" i="2"/>
  <c r="M36" i="2"/>
  <c r="F31" i="2"/>
  <c r="H29" i="2"/>
  <c r="J25" i="2"/>
  <c r="L19" i="2"/>
  <c r="N15" i="2"/>
  <c r="G14" i="2"/>
  <c r="I80" i="2"/>
  <c r="G76" i="2"/>
  <c r="I74" i="2"/>
  <c r="K72" i="2"/>
  <c r="M70" i="2"/>
  <c r="F68" i="2"/>
  <c r="H66" i="2"/>
  <c r="J58" i="2"/>
  <c r="L53" i="2"/>
  <c r="N45" i="2"/>
  <c r="H40" i="2"/>
  <c r="J38" i="2"/>
  <c r="L36" i="2"/>
  <c r="N30" i="2"/>
  <c r="G29" i="2"/>
  <c r="I25" i="2"/>
  <c r="K19" i="2"/>
  <c r="M15" i="2"/>
  <c r="F14" i="2"/>
  <c r="L80" i="2"/>
  <c r="N76" i="2"/>
  <c r="G75" i="2"/>
  <c r="I73" i="2"/>
  <c r="K71" i="2"/>
  <c r="M68" i="2"/>
  <c r="F67" i="2"/>
  <c r="H65" i="2"/>
  <c r="J57" i="2"/>
  <c r="L49" i="2"/>
  <c r="K40" i="2"/>
  <c r="M38" i="2"/>
  <c r="F37" i="2"/>
  <c r="H31" i="2"/>
  <c r="J29" i="2"/>
  <c r="L25" i="2"/>
  <c r="N19" i="2"/>
  <c r="G16" i="2"/>
  <c r="I14" i="2"/>
  <c r="L121" i="2"/>
  <c r="K76" i="2"/>
  <c r="F97" i="2"/>
  <c r="F121" i="2"/>
  <c r="G123" i="2"/>
  <c r="I114" i="2"/>
  <c r="J123" i="2"/>
  <c r="L114" i="2"/>
  <c r="N121" i="2"/>
  <c r="L97" i="2"/>
  <c r="J41" i="2"/>
  <c r="J40" i="2"/>
  <c r="N36" i="2"/>
  <c r="I29" i="2"/>
  <c r="G25" i="2"/>
  <c r="I19" i="2"/>
  <c r="K15" i="2"/>
  <c r="M81" i="2"/>
  <c r="F80" i="2"/>
  <c r="M75" i="2"/>
  <c r="F74" i="2"/>
  <c r="H72" i="2"/>
  <c r="J70" i="2"/>
  <c r="L67" i="2"/>
  <c r="N65" i="2"/>
  <c r="G58" i="2"/>
  <c r="I53" i="2"/>
  <c r="K45" i="2"/>
  <c r="N39" i="2"/>
  <c r="G38" i="2"/>
  <c r="I36" i="2"/>
  <c r="K30" i="2"/>
  <c r="M26" i="2"/>
  <c r="F25" i="2"/>
  <c r="H19" i="2"/>
  <c r="J15" i="2"/>
  <c r="L81" i="2"/>
  <c r="N79" i="2"/>
  <c r="L75" i="2"/>
  <c r="N73" i="2"/>
  <c r="G72" i="2"/>
  <c r="I70" i="2"/>
  <c r="K67" i="2"/>
  <c r="M65" i="2"/>
  <c r="F58" i="2"/>
  <c r="H53" i="2"/>
  <c r="J45" i="2"/>
  <c r="M39" i="2"/>
  <c r="F38" i="2"/>
  <c r="H36" i="2"/>
  <c r="J30" i="2"/>
  <c r="L26" i="2"/>
  <c r="N20" i="2"/>
  <c r="G19" i="2"/>
  <c r="I15" i="2"/>
  <c r="F82" i="2"/>
  <c r="H80" i="2"/>
  <c r="J76" i="2"/>
  <c r="L74" i="2"/>
  <c r="N72" i="2"/>
  <c r="G71" i="2"/>
  <c r="I68" i="2"/>
  <c r="K66" i="2"/>
  <c r="M58" i="2"/>
  <c r="M159" i="2" s="1"/>
  <c r="F57" i="2"/>
  <c r="H49" i="2"/>
  <c r="G40" i="2"/>
  <c r="I38" i="2"/>
  <c r="K36" i="2"/>
  <c r="M30" i="2"/>
  <c r="F29" i="2"/>
  <c r="H25" i="2"/>
  <c r="J19" i="2"/>
  <c r="L15" i="2"/>
  <c r="H41" i="2"/>
  <c r="H121" i="2"/>
  <c r="K97" i="2"/>
  <c r="H97" i="2"/>
  <c r="K121" i="2"/>
  <c r="L123" i="2"/>
  <c r="N123" i="2"/>
  <c r="F114" i="2"/>
  <c r="H114" i="2"/>
  <c r="I123" i="2"/>
  <c r="L41" i="2"/>
  <c r="K41" i="2"/>
  <c r="G39" i="2"/>
  <c r="K31" i="2"/>
  <c r="J26" i="2"/>
  <c r="L20" i="2"/>
  <c r="N16" i="2"/>
  <c r="G15" i="2"/>
  <c r="I81" i="2"/>
  <c r="K79" i="2"/>
  <c r="I75" i="2"/>
  <c r="K73" i="2"/>
  <c r="M71" i="2"/>
  <c r="F70" i="2"/>
  <c r="H67" i="2"/>
  <c r="J65" i="2"/>
  <c r="L57" i="2"/>
  <c r="N49" i="2"/>
  <c r="G45" i="2"/>
  <c r="J39" i="2"/>
  <c r="L37" i="2"/>
  <c r="N31" i="2"/>
  <c r="G30" i="2"/>
  <c r="O30" i="2" s="1"/>
  <c r="I26" i="2"/>
  <c r="K20" i="2"/>
  <c r="M16" i="2"/>
  <c r="F15" i="2"/>
  <c r="H81" i="2"/>
  <c r="J79" i="2"/>
  <c r="H75" i="2"/>
  <c r="J73" i="2"/>
  <c r="L71" i="2"/>
  <c r="N68" i="2"/>
  <c r="G67" i="2"/>
  <c r="I65" i="2"/>
  <c r="K57" i="2"/>
  <c r="M49" i="2"/>
  <c r="F45" i="2"/>
  <c r="I39" i="2"/>
  <c r="K37" i="2"/>
  <c r="K233" i="2" s="1"/>
  <c r="M31" i="2"/>
  <c r="F30" i="2"/>
  <c r="H26" i="2"/>
  <c r="J20" i="2"/>
  <c r="L16" i="2"/>
  <c r="N14" i="2"/>
  <c r="K81" i="2"/>
  <c r="M79" i="2"/>
  <c r="F76" i="2"/>
  <c r="H74" i="2"/>
  <c r="J72" i="2"/>
  <c r="L70" i="2"/>
  <c r="N67" i="2"/>
  <c r="G66" i="2"/>
  <c r="I58" i="2"/>
  <c r="K53" i="2"/>
  <c r="M45" i="2"/>
  <c r="L39" i="2"/>
  <c r="N37" i="2"/>
  <c r="G36" i="2"/>
  <c r="O36" i="2" s="1"/>
  <c r="I30" i="2"/>
  <c r="K26" i="2"/>
  <c r="M20" i="2"/>
  <c r="F19" i="2"/>
  <c r="H15" i="2"/>
  <c r="K114" i="2"/>
  <c r="M123" i="2"/>
  <c r="I97" i="2"/>
  <c r="N114" i="2"/>
  <c r="G121" i="2"/>
  <c r="M97" i="2"/>
  <c r="J121" i="2"/>
  <c r="J97" i="2"/>
  <c r="M121" i="2"/>
  <c r="G41" i="2"/>
  <c r="M41" i="2"/>
  <c r="F41" i="2"/>
  <c r="L38" i="2"/>
  <c r="G31" i="2"/>
  <c r="F26" i="2"/>
  <c r="H20" i="2"/>
  <c r="J16" i="2"/>
  <c r="L14" i="2"/>
  <c r="N80" i="2"/>
  <c r="G79" i="2"/>
  <c r="N74" i="2"/>
  <c r="G73" i="2"/>
  <c r="I71" i="2"/>
  <c r="K68" i="2"/>
  <c r="M66" i="2"/>
  <c r="F65" i="2"/>
  <c r="H57" i="2"/>
  <c r="J49" i="2"/>
  <c r="M40" i="2"/>
  <c r="F39" i="2"/>
  <c r="H37" i="2"/>
  <c r="J31" i="2"/>
  <c r="L29" i="2"/>
  <c r="N25" i="2"/>
  <c r="G20" i="2"/>
  <c r="I16" i="2"/>
  <c r="K14" i="2"/>
  <c r="M80" i="2"/>
  <c r="F79" i="2"/>
  <c r="M74" i="2"/>
  <c r="F73" i="2"/>
  <c r="H71" i="2"/>
  <c r="J68" i="2"/>
  <c r="L66" i="2"/>
  <c r="N58" i="2"/>
  <c r="G57" i="2"/>
  <c r="I49" i="2"/>
  <c r="L40" i="2"/>
  <c r="N38" i="2"/>
  <c r="G37" i="2"/>
  <c r="I31" i="2"/>
  <c r="K29" i="2"/>
  <c r="M25" i="2"/>
  <c r="F20" i="2"/>
  <c r="H16" i="2"/>
  <c r="J14" i="2"/>
  <c r="G81" i="2"/>
  <c r="I79" i="2"/>
  <c r="K75" i="2"/>
  <c r="M73" i="2"/>
  <c r="F72" i="2"/>
  <c r="H70" i="2"/>
  <c r="J67" i="2"/>
  <c r="L65" i="2"/>
  <c r="N57" i="2"/>
  <c r="G53" i="2"/>
  <c r="O53" i="2" s="1"/>
  <c r="I45" i="2"/>
  <c r="H39" i="2"/>
  <c r="J37" i="2"/>
  <c r="L31" i="2"/>
  <c r="N29" i="2"/>
  <c r="G26" i="2"/>
  <c r="I20" i="2"/>
  <c r="K16" i="2"/>
  <c r="M14" i="2"/>
  <c r="G114" i="2"/>
  <c r="H123" i="2"/>
  <c r="G97" i="2"/>
  <c r="J114" i="2"/>
  <c r="K123" i="2"/>
  <c r="M114" i="2"/>
  <c r="F123" i="2"/>
  <c r="L76" i="2"/>
  <c r="I121" i="2"/>
  <c r="N97" i="2"/>
  <c r="I41" i="2"/>
  <c r="N41" i="2"/>
  <c r="M148" i="18"/>
  <c r="N148" i="18"/>
  <c r="H148" i="18"/>
  <c r="M142" i="18"/>
  <c r="L148" i="18"/>
  <c r="I142" i="18"/>
  <c r="H53" i="21"/>
  <c r="H186" i="21" s="1"/>
  <c r="I52" i="21"/>
  <c r="I185" i="21" s="1"/>
  <c r="N53" i="21"/>
  <c r="N186" i="21" s="1"/>
  <c r="J53" i="21"/>
  <c r="J186" i="21" s="1"/>
  <c r="F53" i="21"/>
  <c r="F186" i="21" s="1"/>
  <c r="G52" i="21"/>
  <c r="G185" i="21" s="1"/>
  <c r="I53" i="21"/>
  <c r="I186" i="21" s="1"/>
  <c r="N52" i="21"/>
  <c r="N185" i="21" s="1"/>
  <c r="J52" i="21"/>
  <c r="J185" i="21" s="1"/>
  <c r="F52" i="21"/>
  <c r="F185" i="21" s="1"/>
  <c r="G53" i="21"/>
  <c r="G186" i="21" s="1"/>
  <c r="H52" i="21"/>
  <c r="H185" i="21" s="1"/>
  <c r="L9" i="12"/>
  <c r="G238" i="21"/>
  <c r="F9" i="12"/>
  <c r="O40" i="21"/>
  <c r="L238" i="21"/>
  <c r="M238" i="21"/>
  <c r="H247" i="21"/>
  <c r="J216" i="21"/>
  <c r="J222" i="21" s="1"/>
  <c r="I217" i="21"/>
  <c r="G247" i="21"/>
  <c r="M247" i="21"/>
  <c r="I9" i="12"/>
  <c r="K216" i="21"/>
  <c r="K222" i="21" s="1"/>
  <c r="N216" i="21"/>
  <c r="N222" i="21" s="1"/>
  <c r="L216" i="21"/>
  <c r="J9" i="12"/>
  <c r="I216" i="21"/>
  <c r="I222" i="21" s="1"/>
  <c r="K9" i="12"/>
  <c r="N114" i="13"/>
  <c r="G43" i="18"/>
  <c r="O118" i="13"/>
  <c r="O122" i="13"/>
  <c r="O124" i="13" s="1"/>
  <c r="N128" i="18"/>
  <c r="N129" i="18" s="1"/>
  <c r="K11" i="12"/>
  <c r="I159" i="2"/>
  <c r="K57" i="12"/>
  <c r="G57" i="12"/>
  <c r="G159" i="2"/>
  <c r="I57" i="12"/>
  <c r="J57" i="12"/>
  <c r="M57" i="12"/>
  <c r="J159" i="2"/>
  <c r="H57" i="12"/>
  <c r="N159" i="2"/>
  <c r="J93" i="18"/>
  <c r="O93" i="18" s="1"/>
  <c r="L57" i="12"/>
  <c r="F57" i="12"/>
  <c r="F233" i="2"/>
  <c r="N57" i="12"/>
  <c r="I118" i="18"/>
  <c r="I128" i="18" s="1"/>
  <c r="N22" i="18"/>
  <c r="N33" i="18" s="1"/>
  <c r="N43" i="18" s="1"/>
  <c r="O114" i="13"/>
  <c r="F129" i="18"/>
  <c r="L128" i="18"/>
  <c r="L129" i="18" s="1"/>
  <c r="G128" i="18"/>
  <c r="I33" i="18"/>
  <c r="I43" i="18" s="1"/>
  <c r="H33" i="18"/>
  <c r="H43" i="18" s="1"/>
  <c r="H128" i="18"/>
  <c r="H129" i="18" s="1"/>
  <c r="L33" i="18"/>
  <c r="L43" i="18" s="1"/>
  <c r="M128" i="18"/>
  <c r="M129" i="18" s="1"/>
  <c r="K47" i="18"/>
  <c r="K51" i="18" s="1"/>
  <c r="M33" i="18"/>
  <c r="M43" i="18" s="1"/>
  <c r="K129" i="18"/>
  <c r="J33" i="18"/>
  <c r="J43" i="18" s="1"/>
  <c r="F33" i="18"/>
  <c r="J151" i="21" l="1"/>
  <c r="J149" i="21"/>
  <c r="I151" i="21"/>
  <c r="I149" i="21"/>
  <c r="F237" i="21"/>
  <c r="F149" i="21"/>
  <c r="H151" i="21"/>
  <c r="H149" i="21"/>
  <c r="K220" i="21"/>
  <c r="I218" i="21"/>
  <c r="M219" i="21"/>
  <c r="M220" i="21"/>
  <c r="H222" i="21"/>
  <c r="J128" i="18"/>
  <c r="O128" i="18" s="1"/>
  <c r="G155" i="2"/>
  <c r="O49" i="2"/>
  <c r="O15" i="2"/>
  <c r="O20" i="2"/>
  <c r="G47" i="18"/>
  <c r="O43" i="18"/>
  <c r="O33" i="18"/>
  <c r="O88" i="21"/>
  <c r="N219" i="21"/>
  <c r="L222" i="21"/>
  <c r="O81" i="21"/>
  <c r="H220" i="21"/>
  <c r="L218" i="21"/>
  <c r="F222" i="21"/>
  <c r="F221" i="21"/>
  <c r="F228" i="21"/>
  <c r="F227" i="21"/>
  <c r="F153" i="21"/>
  <c r="F206" i="21"/>
  <c r="O37" i="2"/>
  <c r="O57" i="2"/>
  <c r="O31" i="2"/>
  <c r="O41" i="2"/>
  <c r="O45" i="2"/>
  <c r="O39" i="2"/>
  <c r="O40" i="2"/>
  <c r="O25" i="2"/>
  <c r="O16" i="2"/>
  <c r="F230" i="21"/>
  <c r="I209" i="21"/>
  <c r="I210" i="21"/>
  <c r="I213" i="21"/>
  <c r="I57" i="21"/>
  <c r="I211" i="21"/>
  <c r="I212" i="21"/>
  <c r="F217" i="21"/>
  <c r="K212" i="21"/>
  <c r="K210" i="21"/>
  <c r="K57" i="21"/>
  <c r="K213" i="21"/>
  <c r="K209" i="21"/>
  <c r="K211" i="21"/>
  <c r="F231" i="21"/>
  <c r="K206" i="21"/>
  <c r="K153" i="21"/>
  <c r="O64" i="21"/>
  <c r="O108" i="21"/>
  <c r="J212" i="21"/>
  <c r="J210" i="21"/>
  <c r="J209" i="21"/>
  <c r="J211" i="21"/>
  <c r="J57" i="21"/>
  <c r="J213" i="21"/>
  <c r="J153" i="21"/>
  <c r="J206" i="21"/>
  <c r="F219" i="21"/>
  <c r="F259" i="21"/>
  <c r="O104" i="21"/>
  <c r="O96" i="21"/>
  <c r="O61" i="21"/>
  <c r="I153" i="21"/>
  <c r="I206" i="21"/>
  <c r="O112" i="21"/>
  <c r="O9" i="12" s="1"/>
  <c r="O82" i="21"/>
  <c r="G219" i="21"/>
  <c r="G153" i="21"/>
  <c r="G206" i="21"/>
  <c r="O60" i="21"/>
  <c r="F218" i="21"/>
  <c r="F192" i="21"/>
  <c r="F196" i="21" s="1"/>
  <c r="F213" i="21"/>
  <c r="F209" i="21"/>
  <c r="F211" i="21"/>
  <c r="F210" i="21"/>
  <c r="F225" i="21"/>
  <c r="F212" i="21"/>
  <c r="F57" i="21"/>
  <c r="F191" i="21" s="1"/>
  <c r="F199" i="21" s="1"/>
  <c r="F193" i="21"/>
  <c r="O19" i="2"/>
  <c r="O38" i="2"/>
  <c r="O58" i="2"/>
  <c r="O159" i="2" s="1"/>
  <c r="O14" i="2"/>
  <c r="O62" i="21"/>
  <c r="F258" i="21"/>
  <c r="F250" i="21"/>
  <c r="M211" i="21"/>
  <c r="M209" i="21"/>
  <c r="M212" i="21"/>
  <c r="M57" i="21"/>
  <c r="M210" i="21"/>
  <c r="M213" i="21"/>
  <c r="O94" i="21"/>
  <c r="F220" i="21"/>
  <c r="H210" i="21"/>
  <c r="H209" i="21"/>
  <c r="H212" i="21"/>
  <c r="H211" i="21"/>
  <c r="H213" i="21"/>
  <c r="H57" i="21"/>
  <c r="O78" i="21"/>
  <c r="F253" i="21"/>
  <c r="O59" i="21"/>
  <c r="O83" i="21"/>
  <c r="G220" i="21"/>
  <c r="N211" i="21"/>
  <c r="N209" i="21"/>
  <c r="N212" i="21"/>
  <c r="N213" i="21"/>
  <c r="N210" i="21"/>
  <c r="N57" i="21"/>
  <c r="N206" i="21"/>
  <c r="N153" i="21"/>
  <c r="F226" i="21"/>
  <c r="F194" i="21"/>
  <c r="L220" i="21"/>
  <c r="G210" i="21"/>
  <c r="G57" i="21"/>
  <c r="G213" i="21"/>
  <c r="G211" i="21"/>
  <c r="G209" i="21"/>
  <c r="G212" i="21"/>
  <c r="O58" i="21"/>
  <c r="F235" i="21"/>
  <c r="F25" i="31" s="1"/>
  <c r="F171" i="21"/>
  <c r="F249" i="21"/>
  <c r="F248" i="21"/>
  <c r="F151" i="21"/>
  <c r="F245" i="21"/>
  <c r="F236" i="21"/>
  <c r="F242" i="21"/>
  <c r="F150" i="21"/>
  <c r="F166" i="21"/>
  <c r="F246" i="21"/>
  <c r="G218" i="21"/>
  <c r="L247" i="21"/>
  <c r="L242" i="21"/>
  <c r="O26" i="2"/>
  <c r="O29" i="2"/>
  <c r="O111" i="21"/>
  <c r="F254" i="21"/>
  <c r="M206" i="21"/>
  <c r="M153" i="21"/>
  <c r="F239" i="21"/>
  <c r="F247" i="21"/>
  <c r="H153" i="21"/>
  <c r="H206" i="21"/>
  <c r="H219" i="21"/>
  <c r="F229" i="21"/>
  <c r="O95" i="21"/>
  <c r="O66" i="21"/>
  <c r="O107" i="21"/>
  <c r="L210" i="21"/>
  <c r="L213" i="21"/>
  <c r="L211" i="21"/>
  <c r="L57" i="21"/>
  <c r="L212" i="21"/>
  <c r="L209" i="21"/>
  <c r="O101" i="21"/>
  <c r="G151" i="21"/>
  <c r="O87" i="21"/>
  <c r="O151" i="21" s="1"/>
  <c r="O65" i="21"/>
  <c r="N220" i="21"/>
  <c r="F255" i="21"/>
  <c r="L206" i="21"/>
  <c r="L153" i="21"/>
  <c r="O63" i="21"/>
  <c r="O80" i="21"/>
  <c r="I219" i="21"/>
  <c r="I220" i="21"/>
  <c r="H154" i="2"/>
  <c r="J155" i="2"/>
  <c r="L155" i="2"/>
  <c r="N154" i="2"/>
  <c r="N193" i="2"/>
  <c r="N327" i="2" s="1"/>
  <c r="M144" i="2"/>
  <c r="F367" i="2"/>
  <c r="J11" i="12"/>
  <c r="J153" i="2"/>
  <c r="H204" i="2"/>
  <c r="H338" i="2" s="1"/>
  <c r="H202" i="2"/>
  <c r="H160" i="2"/>
  <c r="J242" i="2"/>
  <c r="J240" i="2"/>
  <c r="F193" i="2"/>
  <c r="F327" i="2" s="1"/>
  <c r="H155" i="2"/>
  <c r="M193" i="2"/>
  <c r="M327" i="2" s="1"/>
  <c r="L144" i="2"/>
  <c r="M155" i="2"/>
  <c r="F242" i="2"/>
  <c r="F240" i="2"/>
  <c r="G163" i="2"/>
  <c r="O163" i="2" s="1"/>
  <c r="N145" i="2"/>
  <c r="G145" i="2"/>
  <c r="H194" i="2"/>
  <c r="H328" i="2" s="1"/>
  <c r="H192" i="2"/>
  <c r="H326" i="2" s="1"/>
  <c r="G143" i="2"/>
  <c r="H145" i="2"/>
  <c r="I194" i="2"/>
  <c r="I328" i="2" s="1"/>
  <c r="G11" i="12"/>
  <c r="G153" i="2"/>
  <c r="L11" i="12"/>
  <c r="L153" i="2"/>
  <c r="J154" i="2"/>
  <c r="L192" i="2"/>
  <c r="L326" i="2" s="1"/>
  <c r="K192" i="2"/>
  <c r="K326" i="2" s="1"/>
  <c r="N242" i="2"/>
  <c r="N240" i="2"/>
  <c r="I11" i="12"/>
  <c r="I153" i="2"/>
  <c r="I160" i="2"/>
  <c r="I202" i="2"/>
  <c r="I204" i="2"/>
  <c r="I338" i="2" s="1"/>
  <c r="K194" i="2"/>
  <c r="K328" i="2" s="1"/>
  <c r="L194" i="2"/>
  <c r="L328" i="2" s="1"/>
  <c r="M11" i="12"/>
  <c r="M153" i="2"/>
  <c r="M154" i="2"/>
  <c r="I155" i="2"/>
  <c r="G154" i="2"/>
  <c r="G194" i="2"/>
  <c r="G328" i="2" s="1"/>
  <c r="F194" i="2"/>
  <c r="F328" i="2" s="1"/>
  <c r="F204" i="2"/>
  <c r="F202" i="2"/>
  <c r="J145" i="2"/>
  <c r="N204" i="2"/>
  <c r="N338" i="2" s="1"/>
  <c r="N160" i="2"/>
  <c r="N202" i="2"/>
  <c r="L145" i="2"/>
  <c r="M194" i="2"/>
  <c r="M328" i="2" s="1"/>
  <c r="H242" i="2"/>
  <c r="H240" i="2"/>
  <c r="N11" i="12"/>
  <c r="N153" i="2"/>
  <c r="K202" i="2"/>
  <c r="K204" i="2"/>
  <c r="I192" i="2"/>
  <c r="I326" i="2" s="1"/>
  <c r="H143" i="2"/>
  <c r="M242" i="2"/>
  <c r="M240" i="2"/>
  <c r="M192" i="2"/>
  <c r="M326" i="2" s="1"/>
  <c r="L143" i="2"/>
  <c r="G242" i="2"/>
  <c r="G240" i="2"/>
  <c r="K242" i="2"/>
  <c r="K240" i="2"/>
  <c r="L163" i="2"/>
  <c r="L193" i="2"/>
  <c r="L327" i="2" s="1"/>
  <c r="K193" i="2"/>
  <c r="K327" i="2" s="1"/>
  <c r="N155" i="2"/>
  <c r="M204" i="2"/>
  <c r="M338" i="2" s="1"/>
  <c r="M160" i="2"/>
  <c r="M202" i="2"/>
  <c r="J204" i="2"/>
  <c r="J338" i="2" s="1"/>
  <c r="J160" i="2"/>
  <c r="J202" i="2"/>
  <c r="I154" i="2"/>
  <c r="N144" i="2"/>
  <c r="H239" i="21"/>
  <c r="L242" i="2"/>
  <c r="L240" i="2"/>
  <c r="N143" i="2"/>
  <c r="G192" i="2"/>
  <c r="G326" i="2" s="1"/>
  <c r="F192" i="2"/>
  <c r="F326" i="2" s="1"/>
  <c r="K367" i="2"/>
  <c r="L154" i="2"/>
  <c r="G204" i="2"/>
  <c r="G338" i="2" s="1"/>
  <c r="G202" i="2"/>
  <c r="G160" i="2"/>
  <c r="J192" i="2"/>
  <c r="J326" i="2" s="1"/>
  <c r="I143" i="2"/>
  <c r="J194" i="2"/>
  <c r="J328" i="2" s="1"/>
  <c r="I145" i="2"/>
  <c r="H11" i="12"/>
  <c r="H153" i="2"/>
  <c r="H152" i="2" s="1"/>
  <c r="M143" i="2"/>
  <c r="N192" i="2"/>
  <c r="N326" i="2" s="1"/>
  <c r="N194" i="2"/>
  <c r="N328" i="2" s="1"/>
  <c r="M145" i="2"/>
  <c r="L204" i="2"/>
  <c r="L338" i="2" s="1"/>
  <c r="L202" i="2"/>
  <c r="L160" i="2"/>
  <c r="J143" i="2"/>
  <c r="I242" i="2"/>
  <c r="I240" i="2"/>
  <c r="G242" i="21"/>
  <c r="L239" i="21"/>
  <c r="K239" i="21"/>
  <c r="N242" i="21"/>
  <c r="K242" i="21"/>
  <c r="J242" i="21"/>
  <c r="I242" i="21"/>
  <c r="M242" i="21"/>
  <c r="H242" i="21"/>
  <c r="H221" i="21"/>
  <c r="H250" i="21"/>
  <c r="J217" i="21"/>
  <c r="L259" i="21"/>
  <c r="I221" i="21"/>
  <c r="M221" i="21"/>
  <c r="J218" i="21"/>
  <c r="L228" i="21"/>
  <c r="L229" i="21"/>
  <c r="L221" i="21"/>
  <c r="L231" i="21"/>
  <c r="H229" i="21"/>
  <c r="N171" i="21"/>
  <c r="N237" i="21"/>
  <c r="N236" i="21"/>
  <c r="N218" i="21"/>
  <c r="G231" i="21"/>
  <c r="N217" i="21"/>
  <c r="M218" i="21"/>
  <c r="K171" i="21"/>
  <c r="K237" i="21"/>
  <c r="K236" i="21"/>
  <c r="M217" i="21"/>
  <c r="H218" i="21"/>
  <c r="J171" i="21"/>
  <c r="J236" i="21"/>
  <c r="J237" i="21"/>
  <c r="G171" i="21"/>
  <c r="G237" i="21"/>
  <c r="G236" i="21"/>
  <c r="L171" i="21"/>
  <c r="L236" i="21"/>
  <c r="L237" i="21"/>
  <c r="F33" i="31"/>
  <c r="H33" i="31" s="1"/>
  <c r="H217" i="21"/>
  <c r="I171" i="21"/>
  <c r="I237" i="21"/>
  <c r="I236" i="21"/>
  <c r="M171" i="21"/>
  <c r="M237" i="21"/>
  <c r="M236" i="21"/>
  <c r="H171" i="21"/>
  <c r="H237" i="21"/>
  <c r="H236" i="21"/>
  <c r="K218" i="21"/>
  <c r="K217" i="21"/>
  <c r="I230" i="21"/>
  <c r="I229" i="21"/>
  <c r="M250" i="21"/>
  <c r="L250" i="21"/>
  <c r="I247" i="21"/>
  <c r="N245" i="21"/>
  <c r="N246" i="21"/>
  <c r="N119" i="21"/>
  <c r="N248" i="21"/>
  <c r="N249" i="21"/>
  <c r="M10" i="12"/>
  <c r="M50" i="12"/>
  <c r="G50" i="12"/>
  <c r="G10" i="12"/>
  <c r="N225" i="21"/>
  <c r="K221" i="21"/>
  <c r="L50" i="12"/>
  <c r="L10" i="12"/>
  <c r="N231" i="21"/>
  <c r="N10" i="12"/>
  <c r="N50" i="12"/>
  <c r="G245" i="21"/>
  <c r="G249" i="21"/>
  <c r="G248" i="21"/>
  <c r="G119" i="21"/>
  <c r="G246" i="21"/>
  <c r="G225" i="21"/>
  <c r="I250" i="21"/>
  <c r="I50" i="12"/>
  <c r="I10" i="12"/>
  <c r="N228" i="21"/>
  <c r="G229" i="21"/>
  <c r="F119" i="21"/>
  <c r="J225" i="21"/>
  <c r="F12" i="31" s="1"/>
  <c r="H12" i="31" s="1"/>
  <c r="K227" i="21"/>
  <c r="M228" i="21"/>
  <c r="K230" i="21"/>
  <c r="G239" i="21"/>
  <c r="L249" i="21"/>
  <c r="L119" i="21"/>
  <c r="L248" i="21"/>
  <c r="L245" i="21"/>
  <c r="L246" i="21"/>
  <c r="J227" i="21"/>
  <c r="F14" i="31" s="1"/>
  <c r="H14" i="31" s="1"/>
  <c r="H228" i="21"/>
  <c r="K247" i="21"/>
  <c r="H226" i="21"/>
  <c r="J230" i="21"/>
  <c r="F17" i="31" s="1"/>
  <c r="H17" i="31" s="1"/>
  <c r="L226" i="21"/>
  <c r="N250" i="21"/>
  <c r="I226" i="21"/>
  <c r="J249" i="21"/>
  <c r="J119" i="21"/>
  <c r="J248" i="21"/>
  <c r="J246" i="21"/>
  <c r="J245" i="21"/>
  <c r="I227" i="21"/>
  <c r="J228" i="21"/>
  <c r="F15" i="31" s="1"/>
  <c r="H15" i="31" s="1"/>
  <c r="N227" i="21"/>
  <c r="L225" i="21"/>
  <c r="M226" i="21"/>
  <c r="J239" i="21"/>
  <c r="F19" i="31" s="1"/>
  <c r="H19" i="31" s="1"/>
  <c r="I231" i="21"/>
  <c r="M227" i="21"/>
  <c r="K228" i="21"/>
  <c r="G226" i="21"/>
  <c r="M230" i="21"/>
  <c r="M239" i="21"/>
  <c r="M225" i="21"/>
  <c r="K231" i="21"/>
  <c r="H227" i="21"/>
  <c r="G250" i="21"/>
  <c r="K50" i="12"/>
  <c r="K10" i="12"/>
  <c r="H230" i="21"/>
  <c r="M229" i="21"/>
  <c r="H225" i="21"/>
  <c r="J231" i="21"/>
  <c r="F18" i="31" s="1"/>
  <c r="H18" i="31" s="1"/>
  <c r="J10" i="12"/>
  <c r="J50" i="12"/>
  <c r="N247" i="21"/>
  <c r="I225" i="21"/>
  <c r="K119" i="21"/>
  <c r="K248" i="21"/>
  <c r="K245" i="21"/>
  <c r="K246" i="21"/>
  <c r="K249" i="21"/>
  <c r="K225" i="21"/>
  <c r="F50" i="12"/>
  <c r="F10" i="12"/>
  <c r="K229" i="21"/>
  <c r="K259" i="21"/>
  <c r="J221" i="21"/>
  <c r="N221" i="21"/>
  <c r="I119" i="21"/>
  <c r="I248" i="21"/>
  <c r="I245" i="21"/>
  <c r="I246" i="21"/>
  <c r="I249" i="21"/>
  <c r="N230" i="21"/>
  <c r="N226" i="21"/>
  <c r="J229" i="21"/>
  <c r="F16" i="31" s="1"/>
  <c r="H16" i="31" s="1"/>
  <c r="J250" i="21"/>
  <c r="N229" i="21"/>
  <c r="M248" i="21"/>
  <c r="M249" i="21"/>
  <c r="M119" i="21"/>
  <c r="M246" i="21"/>
  <c r="M245" i="21"/>
  <c r="G227" i="21"/>
  <c r="I228" i="21"/>
  <c r="G230" i="21"/>
  <c r="N239" i="21"/>
  <c r="H246" i="21"/>
  <c r="H245" i="21"/>
  <c r="H249" i="21"/>
  <c r="H119" i="21"/>
  <c r="H248" i="21"/>
  <c r="M231" i="21"/>
  <c r="G228" i="21"/>
  <c r="K226" i="21"/>
  <c r="I239" i="21"/>
  <c r="H231" i="21"/>
  <c r="L227" i="21"/>
  <c r="K250" i="21"/>
  <c r="H50" i="12"/>
  <c r="H10" i="12"/>
  <c r="J226" i="21"/>
  <c r="F13" i="31" s="1"/>
  <c r="H13" i="31" s="1"/>
  <c r="L230" i="21"/>
  <c r="M259" i="21"/>
  <c r="H259" i="21"/>
  <c r="J259" i="21"/>
  <c r="I98" i="21"/>
  <c r="H98" i="21"/>
  <c r="L253" i="21"/>
  <c r="L93" i="21"/>
  <c r="J8" i="12"/>
  <c r="J33" i="12"/>
  <c r="J110" i="21"/>
  <c r="J123" i="21" s="1"/>
  <c r="L8" i="12"/>
  <c r="L33" i="12"/>
  <c r="I192" i="21"/>
  <c r="I254" i="21"/>
  <c r="L46" i="12"/>
  <c r="L12" i="12"/>
  <c r="G216" i="21"/>
  <c r="G222" i="21" s="1"/>
  <c r="O216" i="21"/>
  <c r="F47" i="12"/>
  <c r="K110" i="21"/>
  <c r="K123" i="21" s="1"/>
  <c r="G8" i="12"/>
  <c r="G33" i="12"/>
  <c r="J253" i="21"/>
  <c r="J93" i="21"/>
  <c r="M192" i="21"/>
  <c r="M254" i="21"/>
  <c r="N32" i="12"/>
  <c r="N235" i="21"/>
  <c r="N152" i="21" s="1"/>
  <c r="N149" i="21"/>
  <c r="N150" i="21"/>
  <c r="H106" i="21"/>
  <c r="H258" i="21"/>
  <c r="L98" i="21"/>
  <c r="M47" i="12"/>
  <c r="L110" i="21"/>
  <c r="L123" i="21" s="1"/>
  <c r="H8" i="12"/>
  <c r="H33" i="12"/>
  <c r="G253" i="21"/>
  <c r="G93" i="21"/>
  <c r="J192" i="21"/>
  <c r="J254" i="21"/>
  <c r="J258" i="21"/>
  <c r="J106" i="21"/>
  <c r="I47" i="12"/>
  <c r="J41" i="21"/>
  <c r="J167" i="21" s="1"/>
  <c r="O39" i="21"/>
  <c r="J164" i="21"/>
  <c r="O238" i="21"/>
  <c r="G110" i="21"/>
  <c r="G123" i="21" s="1"/>
  <c r="F93" i="21"/>
  <c r="H110" i="21"/>
  <c r="H123" i="21" s="1"/>
  <c r="N253" i="21"/>
  <c r="N93" i="21"/>
  <c r="L41" i="21"/>
  <c r="L167" i="21" s="1"/>
  <c r="L164" i="21"/>
  <c r="F41" i="21"/>
  <c r="F167" i="21" s="1"/>
  <c r="G164" i="21"/>
  <c r="G41" i="21"/>
  <c r="G167" i="21" s="1"/>
  <c r="M110" i="21"/>
  <c r="M123" i="21" s="1"/>
  <c r="N192" i="21"/>
  <c r="N254" i="21"/>
  <c r="I258" i="21"/>
  <c r="I106" i="21"/>
  <c r="N98" i="21"/>
  <c r="L47" i="12"/>
  <c r="I8" i="12"/>
  <c r="I33" i="12"/>
  <c r="H255" i="21"/>
  <c r="G9" i="12"/>
  <c r="H253" i="21"/>
  <c r="H93" i="21"/>
  <c r="G192" i="21"/>
  <c r="G254" i="21"/>
  <c r="G258" i="21"/>
  <c r="G106" i="21"/>
  <c r="K98" i="21"/>
  <c r="H47" i="12"/>
  <c r="K192" i="21"/>
  <c r="K254" i="21"/>
  <c r="F106" i="21"/>
  <c r="F46" i="12"/>
  <c r="F12" i="12"/>
  <c r="K32" i="12"/>
  <c r="K150" i="21"/>
  <c r="K235" i="21"/>
  <c r="K152" i="21" s="1"/>
  <c r="K149" i="21"/>
  <c r="I259" i="21"/>
  <c r="F8" i="12"/>
  <c r="F33" i="12"/>
  <c r="I255" i="21"/>
  <c r="I253" i="21"/>
  <c r="I93" i="21"/>
  <c r="I79" i="21"/>
  <c r="H254" i="21"/>
  <c r="N106" i="21"/>
  <c r="N258" i="21"/>
  <c r="M98" i="21"/>
  <c r="J47" i="12"/>
  <c r="F98" i="21"/>
  <c r="L255" i="21"/>
  <c r="I164" i="21"/>
  <c r="I41" i="21"/>
  <c r="I167" i="21" s="1"/>
  <c r="M255" i="21"/>
  <c r="M253" i="21"/>
  <c r="M93" i="21"/>
  <c r="K164" i="21"/>
  <c r="K41" i="21"/>
  <c r="K167" i="21" s="1"/>
  <c r="J255" i="21"/>
  <c r="N41" i="21"/>
  <c r="N167" i="21" s="1"/>
  <c r="N164" i="21"/>
  <c r="K253" i="21"/>
  <c r="K93" i="21"/>
  <c r="M79" i="21"/>
  <c r="L254" i="21"/>
  <c r="L106" i="21"/>
  <c r="L258" i="21"/>
  <c r="I46" i="12"/>
  <c r="I12" i="12"/>
  <c r="L32" i="12"/>
  <c r="L150" i="21"/>
  <c r="L235" i="21"/>
  <c r="L152" i="21" s="1"/>
  <c r="L149" i="21"/>
  <c r="M164" i="21"/>
  <c r="M41" i="21"/>
  <c r="M167" i="21" s="1"/>
  <c r="N8" i="12"/>
  <c r="N33" i="12"/>
  <c r="F79" i="21"/>
  <c r="M258" i="21"/>
  <c r="M106" i="21"/>
  <c r="M12" i="12"/>
  <c r="M46" i="12"/>
  <c r="G32" i="12"/>
  <c r="G235" i="21"/>
  <c r="G152" i="21" s="1"/>
  <c r="G150" i="21"/>
  <c r="N259" i="21"/>
  <c r="J79" i="21"/>
  <c r="K258" i="21"/>
  <c r="K106" i="21"/>
  <c r="K12" i="12"/>
  <c r="K46" i="12"/>
  <c r="M32" i="12"/>
  <c r="M235" i="21"/>
  <c r="M152" i="21" s="1"/>
  <c r="M149" i="21"/>
  <c r="M150" i="21"/>
  <c r="I110" i="21"/>
  <c r="I123" i="21" s="1"/>
  <c r="N255" i="21"/>
  <c r="N79" i="21"/>
  <c r="J12" i="12"/>
  <c r="J46" i="12"/>
  <c r="H32" i="12"/>
  <c r="H235" i="21"/>
  <c r="H152" i="21" s="1"/>
  <c r="H150" i="21"/>
  <c r="G47" i="12"/>
  <c r="G98" i="21"/>
  <c r="J98" i="21"/>
  <c r="G259" i="21"/>
  <c r="H164" i="21"/>
  <c r="H41" i="21"/>
  <c r="H167" i="21" s="1"/>
  <c r="K33" i="12"/>
  <c r="K8" i="12"/>
  <c r="M8" i="12"/>
  <c r="M33" i="12"/>
  <c r="G255" i="21"/>
  <c r="G79" i="21"/>
  <c r="N46" i="12"/>
  <c r="N12" i="12"/>
  <c r="J32" i="12"/>
  <c r="J235" i="21"/>
  <c r="J152" i="21" s="1"/>
  <c r="J150" i="21"/>
  <c r="F110" i="21"/>
  <c r="F123" i="21" s="1"/>
  <c r="K255" i="21"/>
  <c r="K79" i="21"/>
  <c r="G12" i="12"/>
  <c r="G46" i="12"/>
  <c r="I32" i="12"/>
  <c r="I150" i="21"/>
  <c r="I235" i="21"/>
  <c r="I152" i="21" s="1"/>
  <c r="H192" i="21"/>
  <c r="H79" i="21"/>
  <c r="N47" i="12"/>
  <c r="N110" i="21"/>
  <c r="N123" i="21" s="1"/>
  <c r="L192" i="21"/>
  <c r="L79" i="21"/>
  <c r="H46" i="12"/>
  <c r="H12" i="12"/>
  <c r="F32" i="12"/>
  <c r="K47" i="12"/>
  <c r="J129" i="18"/>
  <c r="I47" i="18"/>
  <c r="I51" i="18" s="1"/>
  <c r="N47" i="18"/>
  <c r="N51" i="18" s="1"/>
  <c r="M47" i="18"/>
  <c r="M51" i="18" s="1"/>
  <c r="K54" i="18"/>
  <c r="L47" i="18"/>
  <c r="L51" i="18" s="1"/>
  <c r="J47" i="18"/>
  <c r="J51" i="18" s="1"/>
  <c r="H47" i="18"/>
  <c r="H51" i="18" s="1"/>
  <c r="O217" i="21" l="1"/>
  <c r="O220" i="21"/>
  <c r="F175" i="21"/>
  <c r="F174" i="21"/>
  <c r="G51" i="18"/>
  <c r="O47" i="18"/>
  <c r="O222" i="21"/>
  <c r="F197" i="21"/>
  <c r="F30" i="31" s="1"/>
  <c r="F262" i="21"/>
  <c r="F195" i="21"/>
  <c r="F200" i="21"/>
  <c r="O213" i="21"/>
  <c r="O57" i="21"/>
  <c r="O211" i="21"/>
  <c r="O212" i="21"/>
  <c r="O210" i="21"/>
  <c r="O209" i="21"/>
  <c r="F204" i="21"/>
  <c r="F203" i="21"/>
  <c r="F44" i="12" s="1"/>
  <c r="F205" i="21"/>
  <c r="F152" i="21"/>
  <c r="F154" i="21" s="1"/>
  <c r="F201" i="21"/>
  <c r="F241" i="21"/>
  <c r="F240" i="21"/>
  <c r="F263" i="21"/>
  <c r="F172" i="21"/>
  <c r="F173" i="21"/>
  <c r="O153" i="21"/>
  <c r="O206" i="21"/>
  <c r="O219" i="21"/>
  <c r="F198" i="21"/>
  <c r="L203" i="21"/>
  <c r="L44" i="12" s="1"/>
  <c r="L204" i="21"/>
  <c r="G25" i="31"/>
  <c r="H25" i="31" s="1"/>
  <c r="G203" i="21"/>
  <c r="G44" i="12" s="1"/>
  <c r="G204" i="21"/>
  <c r="M204" i="21"/>
  <c r="M203" i="21"/>
  <c r="M44" i="12" s="1"/>
  <c r="I204" i="21"/>
  <c r="I203" i="21"/>
  <c r="I44" i="12" s="1"/>
  <c r="H203" i="21"/>
  <c r="H44" i="12" s="1"/>
  <c r="H204" i="21"/>
  <c r="N203" i="21"/>
  <c r="N44" i="12" s="1"/>
  <c r="N204" i="21"/>
  <c r="J204" i="21"/>
  <c r="J203" i="21"/>
  <c r="J44" i="12" s="1"/>
  <c r="K203" i="21"/>
  <c r="K44" i="12" s="1"/>
  <c r="K204" i="21"/>
  <c r="G205" i="21"/>
  <c r="N205" i="21"/>
  <c r="K205" i="21"/>
  <c r="L154" i="21"/>
  <c r="L241" i="21"/>
  <c r="K154" i="21"/>
  <c r="K241" i="21"/>
  <c r="H154" i="21"/>
  <c r="H241" i="21"/>
  <c r="J154" i="21"/>
  <c r="J241" i="21"/>
  <c r="I154" i="21"/>
  <c r="I241" i="21"/>
  <c r="M154" i="21"/>
  <c r="M241" i="21"/>
  <c r="G154" i="21"/>
  <c r="G241" i="21"/>
  <c r="N154" i="21"/>
  <c r="N241" i="21"/>
  <c r="I205" i="21"/>
  <c r="H205" i="21"/>
  <c r="L205" i="21"/>
  <c r="J205" i="21"/>
  <c r="M205" i="21"/>
  <c r="L201" i="21"/>
  <c r="J201" i="21"/>
  <c r="K201" i="21"/>
  <c r="H201" i="21"/>
  <c r="I201" i="21"/>
  <c r="M201" i="21"/>
  <c r="G201" i="21"/>
  <c r="N201" i="21"/>
  <c r="N174" i="21"/>
  <c r="N175" i="21"/>
  <c r="H174" i="21"/>
  <c r="H175" i="21"/>
  <c r="L175" i="21"/>
  <c r="L174" i="21"/>
  <c r="I174" i="21"/>
  <c r="I175" i="21"/>
  <c r="K175" i="21"/>
  <c r="K174" i="21"/>
  <c r="M174" i="21"/>
  <c r="M175" i="21"/>
  <c r="G175" i="21"/>
  <c r="G174" i="21"/>
  <c r="J174" i="21"/>
  <c r="J175" i="21"/>
  <c r="O218" i="21"/>
  <c r="G221" i="21"/>
  <c r="L172" i="21"/>
  <c r="N172" i="21"/>
  <c r="I172" i="21"/>
  <c r="G336" i="2"/>
  <c r="K376" i="2"/>
  <c r="K214" i="2"/>
  <c r="G376" i="2"/>
  <c r="G214" i="2"/>
  <c r="K336" i="2"/>
  <c r="G152" i="2"/>
  <c r="J374" i="2"/>
  <c r="H336" i="2"/>
  <c r="K172" i="21"/>
  <c r="H197" i="21"/>
  <c r="L193" i="21"/>
  <c r="J196" i="21"/>
  <c r="G29" i="31" s="1"/>
  <c r="M195" i="21"/>
  <c r="I193" i="21"/>
  <c r="M172" i="21"/>
  <c r="G172" i="21"/>
  <c r="J172" i="21"/>
  <c r="M336" i="2"/>
  <c r="N152" i="2"/>
  <c r="H376" i="2"/>
  <c r="H214" i="2"/>
  <c r="N336" i="2"/>
  <c r="M152" i="2"/>
  <c r="I152" i="2"/>
  <c r="N374" i="2"/>
  <c r="J376" i="2"/>
  <c r="J214" i="2"/>
  <c r="L336" i="2"/>
  <c r="L376" i="2"/>
  <c r="L214" i="2"/>
  <c r="J336" i="2"/>
  <c r="M376" i="2"/>
  <c r="M214" i="2"/>
  <c r="H374" i="2"/>
  <c r="F336" i="2"/>
  <c r="I336" i="2"/>
  <c r="N376" i="2"/>
  <c r="N214" i="2"/>
  <c r="L152" i="2"/>
  <c r="F374" i="2"/>
  <c r="J152" i="2"/>
  <c r="I376" i="2"/>
  <c r="I214" i="2"/>
  <c r="F31" i="31"/>
  <c r="H172" i="21"/>
  <c r="I374" i="2"/>
  <c r="L374" i="2"/>
  <c r="K374" i="2"/>
  <c r="G374" i="2"/>
  <c r="M374" i="2"/>
  <c r="K197" i="2"/>
  <c r="K338" i="2"/>
  <c r="K232" i="2"/>
  <c r="F338" i="2"/>
  <c r="F232" i="2"/>
  <c r="F197" i="2"/>
  <c r="F376" i="2"/>
  <c r="F214" i="2"/>
  <c r="N158" i="18"/>
  <c r="N157" i="18" s="1"/>
  <c r="N140" i="18"/>
  <c r="M140" i="18"/>
  <c r="M158" i="18"/>
  <c r="M157" i="18" s="1"/>
  <c r="L158" i="18"/>
  <c r="L157" i="18" s="1"/>
  <c r="L140" i="18"/>
  <c r="J158" i="18"/>
  <c r="J157" i="18" s="1"/>
  <c r="J140" i="18"/>
  <c r="I140" i="18"/>
  <c r="I158" i="18"/>
  <c r="I157" i="18" s="1"/>
  <c r="H140" i="18"/>
  <c r="H158" i="18"/>
  <c r="H157" i="18" s="1"/>
  <c r="L240" i="21"/>
  <c r="F28" i="31"/>
  <c r="O242" i="21"/>
  <c r="K240" i="21"/>
  <c r="M240" i="21"/>
  <c r="N240" i="21"/>
  <c r="F26" i="31"/>
  <c r="F27" i="31"/>
  <c r="I194" i="21"/>
  <c r="I196" i="21"/>
  <c r="I198" i="21"/>
  <c r="K165" i="21"/>
  <c r="K262" i="21"/>
  <c r="G262" i="21"/>
  <c r="K196" i="21"/>
  <c r="I262" i="21"/>
  <c r="L195" i="21"/>
  <c r="I195" i="21"/>
  <c r="F29" i="31"/>
  <c r="N262" i="21"/>
  <c r="J262" i="21"/>
  <c r="J264" i="21" s="1"/>
  <c r="J194" i="21"/>
  <c r="G27" i="31" s="1"/>
  <c r="M193" i="21"/>
  <c r="J193" i="21"/>
  <c r="G26" i="31" s="1"/>
  <c r="H262" i="21"/>
  <c r="J165" i="21"/>
  <c r="K194" i="21"/>
  <c r="N194" i="21"/>
  <c r="K198" i="21"/>
  <c r="N196" i="21"/>
  <c r="H193" i="21"/>
  <c r="M197" i="21"/>
  <c r="H195" i="21"/>
  <c r="M198" i="21"/>
  <c r="N195" i="21"/>
  <c r="N193" i="21"/>
  <c r="I197" i="21"/>
  <c r="H194" i="21"/>
  <c r="G197" i="21"/>
  <c r="L262" i="21"/>
  <c r="G173" i="21"/>
  <c r="M262" i="21"/>
  <c r="N197" i="21"/>
  <c r="K195" i="21"/>
  <c r="J198" i="21"/>
  <c r="G31" i="31" s="1"/>
  <c r="K197" i="21"/>
  <c r="K193" i="21"/>
  <c r="J195" i="21"/>
  <c r="G28" i="31" s="1"/>
  <c r="L197" i="21"/>
  <c r="O171" i="21"/>
  <c r="O237" i="21"/>
  <c r="O236" i="21"/>
  <c r="L198" i="21"/>
  <c r="G196" i="21"/>
  <c r="G198" i="21"/>
  <c r="G195" i="21"/>
  <c r="J197" i="21"/>
  <c r="G30" i="31" s="1"/>
  <c r="N198" i="21"/>
  <c r="M196" i="21"/>
  <c r="H198" i="21"/>
  <c r="G194" i="21"/>
  <c r="M194" i="21"/>
  <c r="K166" i="21"/>
  <c r="L194" i="21"/>
  <c r="H196" i="21"/>
  <c r="G193" i="21"/>
  <c r="L196" i="21"/>
  <c r="J240" i="21"/>
  <c r="I240" i="21"/>
  <c r="H240" i="21"/>
  <c r="G240" i="21"/>
  <c r="O50" i="12"/>
  <c r="O10" i="12"/>
  <c r="O247" i="21"/>
  <c r="O245" i="21"/>
  <c r="O248" i="21"/>
  <c r="O249" i="21"/>
  <c r="O246" i="21"/>
  <c r="O250" i="21"/>
  <c r="O229" i="21"/>
  <c r="H173" i="21"/>
  <c r="K173" i="21"/>
  <c r="I173" i="21"/>
  <c r="M173" i="21"/>
  <c r="O228" i="21"/>
  <c r="L166" i="21"/>
  <c r="L173" i="21"/>
  <c r="N173" i="21"/>
  <c r="J173" i="21"/>
  <c r="O227" i="21"/>
  <c r="O239" i="21"/>
  <c r="O221" i="21"/>
  <c r="O230" i="21"/>
  <c r="O231" i="21"/>
  <c r="O226" i="21"/>
  <c r="O225" i="21"/>
  <c r="O119" i="21"/>
  <c r="O259" i="21"/>
  <c r="G166" i="21"/>
  <c r="G165" i="21"/>
  <c r="J49" i="12"/>
  <c r="J191" i="21"/>
  <c r="J115" i="21"/>
  <c r="M191" i="21"/>
  <c r="M49" i="12"/>
  <c r="M115" i="21"/>
  <c r="O46" i="12"/>
  <c r="O12" i="12"/>
  <c r="L191" i="21"/>
  <c r="L49" i="12"/>
  <c r="L115" i="21"/>
  <c r="H166" i="21"/>
  <c r="I166" i="21"/>
  <c r="I165" i="21"/>
  <c r="G191" i="21"/>
  <c r="G49" i="12"/>
  <c r="G115" i="21"/>
  <c r="L165" i="21"/>
  <c r="O110" i="21"/>
  <c r="O123" i="21" s="1"/>
  <c r="N166" i="21"/>
  <c r="O33" i="12"/>
  <c r="O8" i="12"/>
  <c r="I191" i="21"/>
  <c r="I115" i="21"/>
  <c r="I49" i="12"/>
  <c r="O47" i="12"/>
  <c r="M165" i="21"/>
  <c r="K49" i="12"/>
  <c r="K191" i="21"/>
  <c r="K115" i="21"/>
  <c r="O258" i="21"/>
  <c r="O106" i="21"/>
  <c r="O254" i="21"/>
  <c r="O192" i="21"/>
  <c r="J166" i="21"/>
  <c r="O253" i="21"/>
  <c r="O93" i="21"/>
  <c r="F49" i="12"/>
  <c r="F115" i="21"/>
  <c r="O255" i="21"/>
  <c r="H191" i="21"/>
  <c r="H49" i="12"/>
  <c r="H115" i="21"/>
  <c r="O79" i="21"/>
  <c r="H165" i="21"/>
  <c r="O98" i="21"/>
  <c r="M166" i="21"/>
  <c r="O32" i="12"/>
  <c r="O150" i="21"/>
  <c r="O235" i="21"/>
  <c r="O152" i="21" s="1"/>
  <c r="O149" i="21"/>
  <c r="N165" i="21"/>
  <c r="N49" i="12"/>
  <c r="N191" i="21"/>
  <c r="N115" i="21"/>
  <c r="O164" i="21"/>
  <c r="O41" i="21"/>
  <c r="O167" i="21" s="1"/>
  <c r="F35" i="18"/>
  <c r="F43" i="18" s="1"/>
  <c r="F47" i="18" s="1"/>
  <c r="F51" i="18" s="1"/>
  <c r="F54" i="18" s="1"/>
  <c r="H54" i="18"/>
  <c r="J54" i="18"/>
  <c r="L54" i="18"/>
  <c r="M54" i="18"/>
  <c r="N54" i="18"/>
  <c r="O129" i="18"/>
  <c r="I54" i="18"/>
  <c r="M265" i="21" l="1"/>
  <c r="M264" i="21"/>
  <c r="N265" i="21"/>
  <c r="N264" i="21"/>
  <c r="G265" i="21"/>
  <c r="G264" i="21"/>
  <c r="I265" i="21"/>
  <c r="I264" i="21"/>
  <c r="L265" i="21"/>
  <c r="L264" i="21"/>
  <c r="H265" i="21"/>
  <c r="H264" i="21"/>
  <c r="K265" i="21"/>
  <c r="K264" i="21"/>
  <c r="F168" i="21"/>
  <c r="F264" i="21"/>
  <c r="O51" i="18"/>
  <c r="G158" i="18"/>
  <c r="G157" i="18" s="1"/>
  <c r="G140" i="18"/>
  <c r="G54" i="18"/>
  <c r="F266" i="21"/>
  <c r="F265" i="21"/>
  <c r="O203" i="21"/>
  <c r="O44" i="12" s="1"/>
  <c r="O204" i="21"/>
  <c r="O205" i="21"/>
  <c r="M6" i="12"/>
  <c r="H30" i="31"/>
  <c r="H27" i="31"/>
  <c r="H28" i="31"/>
  <c r="H31" i="31"/>
  <c r="F24" i="31"/>
  <c r="H24" i="31" s="1"/>
  <c r="H29" i="31"/>
  <c r="G34" i="31"/>
  <c r="J265" i="21"/>
  <c r="H26" i="31"/>
  <c r="O154" i="21"/>
  <c r="O241" i="21"/>
  <c r="M266" i="21"/>
  <c r="G266" i="21"/>
  <c r="K266" i="21"/>
  <c r="L266" i="21"/>
  <c r="J266" i="21"/>
  <c r="N266" i="21"/>
  <c r="H266" i="21"/>
  <c r="I266" i="21"/>
  <c r="O201" i="21"/>
  <c r="O175" i="21"/>
  <c r="O174" i="21"/>
  <c r="F48" i="12"/>
  <c r="G6" i="12"/>
  <c r="K48" i="12"/>
  <c r="H48" i="12"/>
  <c r="F348" i="2"/>
  <c r="F366" i="2"/>
  <c r="F211" i="2"/>
  <c r="K331" i="2"/>
  <c r="L348" i="2"/>
  <c r="K348" i="2"/>
  <c r="I48" i="12"/>
  <c r="J48" i="12"/>
  <c r="L48" i="12"/>
  <c r="H141" i="18"/>
  <c r="H139" i="18" s="1"/>
  <c r="H162" i="18" s="1"/>
  <c r="J348" i="2"/>
  <c r="G348" i="2"/>
  <c r="N48" i="12"/>
  <c r="O172" i="21"/>
  <c r="K366" i="2"/>
  <c r="K211" i="2"/>
  <c r="I348" i="2"/>
  <c r="N348" i="2"/>
  <c r="G48" i="12"/>
  <c r="M48" i="12"/>
  <c r="J168" i="21"/>
  <c r="F331" i="2"/>
  <c r="M348" i="2"/>
  <c r="H348" i="2"/>
  <c r="N141" i="18"/>
  <c r="N139" i="18" s="1"/>
  <c r="N162" i="18" s="1"/>
  <c r="M141" i="18"/>
  <c r="M139" i="18" s="1"/>
  <c r="M162" i="18" s="1"/>
  <c r="L141" i="18"/>
  <c r="L139" i="18" s="1"/>
  <c r="L162" i="18" s="1"/>
  <c r="L164" i="18" s="1"/>
  <c r="J141" i="18"/>
  <c r="J139" i="18" s="1"/>
  <c r="J162" i="18" s="1"/>
  <c r="I141" i="18"/>
  <c r="I139" i="18" s="1"/>
  <c r="I162" i="18" s="1"/>
  <c r="O240" i="21"/>
  <c r="M29" i="12"/>
  <c r="M31" i="12" s="1"/>
  <c r="N29" i="12"/>
  <c r="N31" i="12" s="1"/>
  <c r="K29" i="12"/>
  <c r="K31" i="12" s="1"/>
  <c r="L29" i="12"/>
  <c r="L31" i="12" s="1"/>
  <c r="I200" i="21"/>
  <c r="I199" i="21"/>
  <c r="O197" i="21"/>
  <c r="G199" i="21"/>
  <c r="G200" i="21"/>
  <c r="L200" i="21"/>
  <c r="L199" i="21"/>
  <c r="M199" i="21"/>
  <c r="M200" i="21"/>
  <c r="J199" i="21"/>
  <c r="J200" i="21"/>
  <c r="G32" i="31" s="1"/>
  <c r="O193" i="21"/>
  <c r="O194" i="21"/>
  <c r="H200" i="21"/>
  <c r="H199" i="21"/>
  <c r="F32" i="31"/>
  <c r="K200" i="21"/>
  <c r="K199" i="21"/>
  <c r="O196" i="21"/>
  <c r="N199" i="21"/>
  <c r="N200" i="21"/>
  <c r="O198" i="21"/>
  <c r="O195" i="21"/>
  <c r="F6" i="12"/>
  <c r="G29" i="12"/>
  <c r="G31" i="12" s="1"/>
  <c r="F29" i="12"/>
  <c r="I29" i="12"/>
  <c r="I31" i="12" s="1"/>
  <c r="H29" i="12"/>
  <c r="H31" i="12" s="1"/>
  <c r="J29" i="12"/>
  <c r="J31" i="12" s="1"/>
  <c r="O262" i="21"/>
  <c r="J263" i="21"/>
  <c r="F11" i="31" s="1"/>
  <c r="H11" i="31" s="1"/>
  <c r="H20" i="31" s="1"/>
  <c r="M263" i="21"/>
  <c r="O173" i="21"/>
  <c r="I6" i="12"/>
  <c r="J6" i="12"/>
  <c r="M168" i="21"/>
  <c r="G263" i="21"/>
  <c r="G168" i="21"/>
  <c r="I263" i="21"/>
  <c r="I168" i="21"/>
  <c r="K6" i="12"/>
  <c r="K263" i="21"/>
  <c r="K168" i="21"/>
  <c r="N168" i="21"/>
  <c r="N6" i="12"/>
  <c r="N263" i="21"/>
  <c r="O49" i="12"/>
  <c r="O115" i="21"/>
  <c r="O191" i="21"/>
  <c r="O165" i="21"/>
  <c r="O166" i="21"/>
  <c r="H168" i="21"/>
  <c r="H263" i="21"/>
  <c r="H6" i="12"/>
  <c r="L168" i="21"/>
  <c r="L6" i="12"/>
  <c r="L263" i="21"/>
  <c r="O265" i="21" l="1"/>
  <c r="O264" i="21"/>
  <c r="G141" i="18"/>
  <c r="G139" i="18" s="1"/>
  <c r="G162" i="18" s="1"/>
  <c r="G164" i="18" s="1"/>
  <c r="O158" i="18"/>
  <c r="O157" i="18" s="1"/>
  <c r="O140" i="18"/>
  <c r="O54" i="18"/>
  <c r="H32" i="31"/>
  <c r="H34" i="31" s="1"/>
  <c r="O266" i="21"/>
  <c r="O48" i="12"/>
  <c r="O6" i="12"/>
  <c r="F345" i="2"/>
  <c r="K345" i="2"/>
  <c r="L165" i="18"/>
  <c r="M163" i="18"/>
  <c r="M164" i="18" s="1"/>
  <c r="O29" i="12"/>
  <c r="O31" i="12" s="1"/>
  <c r="O200" i="21"/>
  <c r="O199" i="21"/>
  <c r="O263" i="21"/>
  <c r="O168" i="21"/>
  <c r="O141" i="18" l="1"/>
  <c r="O139" i="18" s="1"/>
  <c r="O162" i="18" s="1"/>
  <c r="O164" i="18" s="1"/>
  <c r="O165" i="18" s="1"/>
  <c r="H163" i="18"/>
  <c r="H164" i="18" s="1"/>
  <c r="G165" i="18"/>
  <c r="N163" i="18"/>
  <c r="N164" i="18" s="1"/>
  <c r="M165" i="18"/>
  <c r="I21" i="12"/>
  <c r="J21" i="12"/>
  <c r="G20" i="12"/>
  <c r="H20" i="12"/>
  <c r="I20" i="12"/>
  <c r="J20" i="12"/>
  <c r="K20" i="12"/>
  <c r="L20" i="12"/>
  <c r="M20" i="12"/>
  <c r="N20" i="12"/>
  <c r="G19" i="12"/>
  <c r="H19" i="12"/>
  <c r="I19" i="12"/>
  <c r="J19" i="12"/>
  <c r="K19" i="12"/>
  <c r="L19" i="12"/>
  <c r="M19" i="12"/>
  <c r="N19" i="12"/>
  <c r="G18" i="12"/>
  <c r="H18" i="12"/>
  <c r="I18" i="12"/>
  <c r="J18" i="12"/>
  <c r="K18" i="12"/>
  <c r="L18" i="12"/>
  <c r="M18" i="12"/>
  <c r="N18" i="12"/>
  <c r="G17" i="12"/>
  <c r="H17" i="12"/>
  <c r="I17" i="12"/>
  <c r="J17" i="12"/>
  <c r="K17" i="12"/>
  <c r="L17" i="12"/>
  <c r="M17" i="12"/>
  <c r="N17" i="12"/>
  <c r="F17" i="12"/>
  <c r="F18" i="12"/>
  <c r="F19" i="12"/>
  <c r="F20" i="12"/>
  <c r="E11" i="12"/>
  <c r="F11" i="12"/>
  <c r="I163" i="18" l="1"/>
  <c r="I164" i="18" s="1"/>
  <c r="H165" i="18"/>
  <c r="N165" i="18"/>
  <c r="J163" i="18" l="1"/>
  <c r="J164" i="18" s="1"/>
  <c r="J165" i="18" s="1"/>
  <c r="I165" i="18"/>
  <c r="G21" i="12"/>
  <c r="F21" i="12"/>
  <c r="L21" i="12"/>
  <c r="M21" i="12"/>
  <c r="N21" i="12"/>
  <c r="F115" i="13"/>
  <c r="H21" i="12"/>
  <c r="K21" i="12"/>
  <c r="O81" i="13" l="1"/>
  <c r="O80" i="13"/>
  <c r="I13" i="12" l="1"/>
  <c r="F13" i="12" l="1"/>
  <c r="G13" i="12"/>
  <c r="J13" i="12"/>
  <c r="K13" i="12" l="1"/>
  <c r="N56" i="12"/>
  <c r="M56" i="12"/>
  <c r="L56" i="12"/>
  <c r="K56" i="12"/>
  <c r="J56" i="12"/>
  <c r="I56" i="12"/>
  <c r="H56" i="12"/>
  <c r="G56" i="12"/>
  <c r="F56" i="12"/>
  <c r="E56" i="12"/>
  <c r="N55" i="12"/>
  <c r="M55" i="12"/>
  <c r="L55" i="12"/>
  <c r="K55" i="12"/>
  <c r="J55" i="12"/>
  <c r="I55" i="12"/>
  <c r="H55" i="12"/>
  <c r="G55" i="12"/>
  <c r="F55" i="12"/>
  <c r="E55" i="12"/>
  <c r="E54" i="12"/>
  <c r="E37" i="12"/>
  <c r="N130" i="2"/>
  <c r="M130" i="2"/>
  <c r="L130" i="2"/>
  <c r="K130" i="2"/>
  <c r="J130" i="2"/>
  <c r="O130" i="2" s="1"/>
  <c r="I130" i="2"/>
  <c r="H130" i="2"/>
  <c r="G130" i="2"/>
  <c r="F130" i="2"/>
  <c r="O126" i="2"/>
  <c r="O125" i="2"/>
  <c r="O124" i="2"/>
  <c r="O123" i="2"/>
  <c r="O122" i="2"/>
  <c r="O121" i="2"/>
  <c r="N120" i="2"/>
  <c r="N201" i="2" s="1"/>
  <c r="M120" i="2"/>
  <c r="M201" i="2" s="1"/>
  <c r="L120" i="2"/>
  <c r="L201" i="2" s="1"/>
  <c r="K120" i="2"/>
  <c r="K201" i="2" s="1"/>
  <c r="J120" i="2"/>
  <c r="I120" i="2"/>
  <c r="I201" i="2" s="1"/>
  <c r="H120" i="2"/>
  <c r="H201" i="2" s="1"/>
  <c r="G120" i="2"/>
  <c r="G201" i="2" s="1"/>
  <c r="F120" i="2"/>
  <c r="F201" i="2" s="1"/>
  <c r="O116" i="2"/>
  <c r="O115" i="2"/>
  <c r="O114" i="2"/>
  <c r="O113" i="2"/>
  <c r="O112" i="2"/>
  <c r="O111" i="2"/>
  <c r="N110" i="2"/>
  <c r="M110" i="2"/>
  <c r="L110" i="2"/>
  <c r="K110" i="2"/>
  <c r="K107" i="2" s="1"/>
  <c r="J110" i="2"/>
  <c r="O110" i="2" s="1"/>
  <c r="I110" i="2"/>
  <c r="H110" i="2"/>
  <c r="G110" i="2"/>
  <c r="F110" i="2"/>
  <c r="F107" i="2" s="1"/>
  <c r="O109" i="2"/>
  <c r="O108" i="2"/>
  <c r="O105" i="2"/>
  <c r="O104" i="2"/>
  <c r="O103" i="2"/>
  <c r="O102" i="2"/>
  <c r="O101" i="2"/>
  <c r="O100" i="2"/>
  <c r="N99" i="2"/>
  <c r="M99" i="2"/>
  <c r="L99" i="2"/>
  <c r="K99" i="2"/>
  <c r="K95" i="2" s="1"/>
  <c r="J99" i="2"/>
  <c r="O99" i="2" s="1"/>
  <c r="I99" i="2"/>
  <c r="H99" i="2"/>
  <c r="G99" i="2"/>
  <c r="F99" i="2"/>
  <c r="F95" i="2" s="1"/>
  <c r="O98" i="2"/>
  <c r="O97" i="2"/>
  <c r="O96" i="2"/>
  <c r="O91" i="2"/>
  <c r="O90" i="2"/>
  <c r="O89" i="2"/>
  <c r="O88" i="2"/>
  <c r="O87" i="2"/>
  <c r="O86" i="2"/>
  <c r="N85" i="2"/>
  <c r="M85" i="2"/>
  <c r="L85" i="2"/>
  <c r="K85" i="2"/>
  <c r="K78" i="2" s="1"/>
  <c r="J85" i="2"/>
  <c r="O85" i="2" s="1"/>
  <c r="I85" i="2"/>
  <c r="H85" i="2"/>
  <c r="G85" i="2"/>
  <c r="F85" i="2"/>
  <c r="F78" i="2" s="1"/>
  <c r="O84" i="2"/>
  <c r="O83" i="2"/>
  <c r="O82" i="2"/>
  <c r="O155" i="2" s="1"/>
  <c r="O81" i="2"/>
  <c r="O80" i="2"/>
  <c r="O79" i="2"/>
  <c r="O153" i="2" s="1"/>
  <c r="O76" i="2"/>
  <c r="O75" i="2"/>
  <c r="O74" i="2"/>
  <c r="O73" i="2"/>
  <c r="O72" i="2"/>
  <c r="O71" i="2"/>
  <c r="O70" i="2"/>
  <c r="N69" i="2"/>
  <c r="M69" i="2"/>
  <c r="L69" i="2"/>
  <c r="K69" i="2"/>
  <c r="K64" i="2" s="1"/>
  <c r="J69" i="2"/>
  <c r="O69" i="2" s="1"/>
  <c r="I69" i="2"/>
  <c r="H69" i="2"/>
  <c r="G69" i="2"/>
  <c r="F69" i="2"/>
  <c r="F64" i="2" s="1"/>
  <c r="O68" i="2"/>
  <c r="O67" i="2"/>
  <c r="O66" i="2"/>
  <c r="O65" i="2"/>
  <c r="O21" i="12"/>
  <c r="O20" i="12"/>
  <c r="O19" i="12"/>
  <c r="O18" i="12"/>
  <c r="O17" i="12"/>
  <c r="N35" i="2"/>
  <c r="M35" i="2"/>
  <c r="L35" i="2"/>
  <c r="K35" i="2"/>
  <c r="J35" i="2"/>
  <c r="I35" i="2"/>
  <c r="H35" i="2"/>
  <c r="G35" i="2"/>
  <c r="O35" i="2" s="1"/>
  <c r="F35" i="2"/>
  <c r="O57" i="12"/>
  <c r="O55" i="12"/>
  <c r="N28" i="2"/>
  <c r="M28" i="2"/>
  <c r="L28" i="2"/>
  <c r="K28" i="2"/>
  <c r="J28" i="2"/>
  <c r="I28" i="2"/>
  <c r="H28" i="2"/>
  <c r="G28" i="2"/>
  <c r="F28" i="2"/>
  <c r="N24" i="2"/>
  <c r="N122" i="21" s="1"/>
  <c r="N124" i="21" s="1"/>
  <c r="M24" i="2"/>
  <c r="M122" i="21" s="1"/>
  <c r="M124" i="21" s="1"/>
  <c r="L24" i="2"/>
  <c r="L122" i="21" s="1"/>
  <c r="L124" i="21" s="1"/>
  <c r="K24" i="2"/>
  <c r="K122" i="21" s="1"/>
  <c r="K124" i="21" s="1"/>
  <c r="J24" i="2"/>
  <c r="J122" i="21" s="1"/>
  <c r="J124" i="21" s="1"/>
  <c r="I24" i="2"/>
  <c r="I122" i="21" s="1"/>
  <c r="I124" i="21" s="1"/>
  <c r="H24" i="2"/>
  <c r="H122" i="21" s="1"/>
  <c r="H124" i="21" s="1"/>
  <c r="G24" i="2"/>
  <c r="G122" i="21" s="1"/>
  <c r="G124" i="21" s="1"/>
  <c r="F24" i="2"/>
  <c r="F122" i="21" s="1"/>
  <c r="F124" i="21" s="1"/>
  <c r="N18" i="2"/>
  <c r="M18" i="2"/>
  <c r="L18" i="2"/>
  <c r="K18" i="2"/>
  <c r="J18" i="2"/>
  <c r="I18" i="2"/>
  <c r="H18" i="2"/>
  <c r="G18" i="2"/>
  <c r="F18" i="2"/>
  <c r="N13" i="2"/>
  <c r="M13" i="2"/>
  <c r="L13" i="2"/>
  <c r="K13" i="2"/>
  <c r="J13" i="2"/>
  <c r="I13" i="2"/>
  <c r="H13" i="2"/>
  <c r="G13" i="2"/>
  <c r="F13" i="2"/>
  <c r="D5" i="2"/>
  <c r="D4" i="2"/>
  <c r="D3" i="2"/>
  <c r="O16" i="13"/>
  <c r="O15" i="13"/>
  <c r="D6" i="13"/>
  <c r="D5" i="13"/>
  <c r="D4" i="13"/>
  <c r="D3" i="13"/>
  <c r="O146" i="2" l="1"/>
  <c r="J201" i="2"/>
  <c r="O120" i="2"/>
  <c r="O150" i="2"/>
  <c r="O160" i="2"/>
  <c r="O147" i="2"/>
  <c r="O145" i="2"/>
  <c r="O194" i="2"/>
  <c r="O328" i="2" s="1"/>
  <c r="O154" i="2"/>
  <c r="O152" i="2" s="1"/>
  <c r="O149" i="2"/>
  <c r="O143" i="2"/>
  <c r="O142" i="2" s="1"/>
  <c r="O192" i="2"/>
  <c r="O326" i="2" s="1"/>
  <c r="O144" i="2"/>
  <c r="O193" i="2"/>
  <c r="O327" i="2" s="1"/>
  <c r="O28" i="2"/>
  <c r="O18" i="2"/>
  <c r="O13" i="2"/>
  <c r="O218" i="2" s="1"/>
  <c r="O352" i="2" s="1"/>
  <c r="I146" i="2"/>
  <c r="G146" i="2"/>
  <c r="M149" i="2"/>
  <c r="G149" i="2"/>
  <c r="O11" i="12"/>
  <c r="H64" i="2"/>
  <c r="H146" i="2"/>
  <c r="L64" i="2"/>
  <c r="L146" i="2"/>
  <c r="J78" i="2"/>
  <c r="O78" i="2" s="1"/>
  <c r="J149" i="2"/>
  <c r="N78" i="2"/>
  <c r="N149" i="2"/>
  <c r="O204" i="2"/>
  <c r="O338" i="2" s="1"/>
  <c r="O202" i="2"/>
  <c r="O336" i="2" s="1"/>
  <c r="H147" i="2"/>
  <c r="L95" i="2"/>
  <c r="L147" i="2"/>
  <c r="G107" i="2"/>
  <c r="G150" i="2"/>
  <c r="G148" i="2" s="1"/>
  <c r="H335" i="2"/>
  <c r="L335" i="2"/>
  <c r="M64" i="2"/>
  <c r="M146" i="2"/>
  <c r="I95" i="2"/>
  <c r="I147" i="2"/>
  <c r="M95" i="2"/>
  <c r="M147" i="2"/>
  <c r="H107" i="2"/>
  <c r="H150" i="2"/>
  <c r="L107" i="2"/>
  <c r="L118" i="2" s="1"/>
  <c r="L150" i="2"/>
  <c r="I335" i="2"/>
  <c r="M335" i="2"/>
  <c r="O242" i="2"/>
  <c r="O376" i="2" s="1"/>
  <c r="O240" i="2"/>
  <c r="O374" i="2" s="1"/>
  <c r="F237" i="2"/>
  <c r="F236" i="2"/>
  <c r="F177" i="2"/>
  <c r="F191" i="2"/>
  <c r="F241" i="2"/>
  <c r="J64" i="2"/>
  <c r="J146" i="2"/>
  <c r="N146" i="2"/>
  <c r="H149" i="2"/>
  <c r="L78" i="2"/>
  <c r="L149" i="2"/>
  <c r="J95" i="2"/>
  <c r="O95" i="2" s="1"/>
  <c r="J147" i="2"/>
  <c r="N147" i="2"/>
  <c r="I107" i="2"/>
  <c r="I150" i="2"/>
  <c r="M107" i="2"/>
  <c r="M150" i="2"/>
  <c r="F335" i="2"/>
  <c r="J335" i="2"/>
  <c r="N335" i="2"/>
  <c r="K237" i="2"/>
  <c r="K236" i="2"/>
  <c r="K191" i="2"/>
  <c r="K177" i="2"/>
  <c r="K241" i="2"/>
  <c r="I78" i="2"/>
  <c r="I149" i="2"/>
  <c r="G95" i="2"/>
  <c r="G147" i="2"/>
  <c r="J107" i="2"/>
  <c r="O107" i="2" s="1"/>
  <c r="J150" i="2"/>
  <c r="N107" i="2"/>
  <c r="N150" i="2"/>
  <c r="G335" i="2"/>
  <c r="K335" i="2"/>
  <c r="N189" i="2"/>
  <c r="N188" i="2"/>
  <c r="N253" i="2"/>
  <c r="N252" i="2"/>
  <c r="N256" i="2"/>
  <c r="N255" i="2"/>
  <c r="N254" i="2"/>
  <c r="N187" i="2"/>
  <c r="N173" i="2"/>
  <c r="M188" i="2"/>
  <c r="M189" i="2"/>
  <c r="M253" i="2"/>
  <c r="M256" i="2"/>
  <c r="M254" i="2"/>
  <c r="N218" i="2"/>
  <c r="M255" i="2"/>
  <c r="M252" i="2"/>
  <c r="M173" i="2"/>
  <c r="M187" i="2"/>
  <c r="L188" i="2"/>
  <c r="L189" i="2"/>
  <c r="L253" i="2"/>
  <c r="L254" i="2"/>
  <c r="M218" i="2"/>
  <c r="L255" i="2"/>
  <c r="L187" i="2"/>
  <c r="L256" i="2"/>
  <c r="L252" i="2"/>
  <c r="L173" i="2"/>
  <c r="K189" i="2"/>
  <c r="K188" i="2"/>
  <c r="K253" i="2"/>
  <c r="K187" i="2"/>
  <c r="K173" i="2"/>
  <c r="K256" i="2"/>
  <c r="K254" i="2"/>
  <c r="K252" i="2"/>
  <c r="K255" i="2"/>
  <c r="L218" i="2"/>
  <c r="J189" i="2"/>
  <c r="J253" i="2"/>
  <c r="J256" i="2"/>
  <c r="J255" i="2"/>
  <c r="J187" i="2"/>
  <c r="J254" i="2"/>
  <c r="J173" i="2"/>
  <c r="J252" i="2"/>
  <c r="I189" i="2"/>
  <c r="I253" i="2"/>
  <c r="I256" i="2"/>
  <c r="I254" i="2"/>
  <c r="I173" i="2"/>
  <c r="I255" i="2"/>
  <c r="J218" i="2"/>
  <c r="I187" i="2"/>
  <c r="H189" i="2"/>
  <c r="H253" i="2"/>
  <c r="H255" i="2"/>
  <c r="H187" i="2"/>
  <c r="H254" i="2"/>
  <c r="H256" i="2"/>
  <c r="I218" i="2"/>
  <c r="H173" i="2"/>
  <c r="H252" i="2"/>
  <c r="G189" i="2"/>
  <c r="G253" i="2"/>
  <c r="G173" i="2"/>
  <c r="G256" i="2"/>
  <c r="G255" i="2"/>
  <c r="H218" i="2"/>
  <c r="G254" i="2"/>
  <c r="G187" i="2"/>
  <c r="F188" i="2"/>
  <c r="F189" i="2"/>
  <c r="F253" i="2"/>
  <c r="F255" i="2"/>
  <c r="F252" i="2"/>
  <c r="F187" i="2"/>
  <c r="G218" i="2"/>
  <c r="F256" i="2"/>
  <c r="F254" i="2"/>
  <c r="F173" i="2"/>
  <c r="F118" i="21"/>
  <c r="F120" i="21" s="1"/>
  <c r="I114" i="21"/>
  <c r="I116" i="21" s="1"/>
  <c r="M114" i="21"/>
  <c r="M116" i="21" s="1"/>
  <c r="G118" i="21"/>
  <c r="G120" i="21" s="1"/>
  <c r="F114" i="21"/>
  <c r="F116" i="21" s="1"/>
  <c r="J114" i="21"/>
  <c r="J116" i="21" s="1"/>
  <c r="N114" i="21"/>
  <c r="N116" i="21" s="1"/>
  <c r="N118" i="21"/>
  <c r="N120" i="21" s="1"/>
  <c r="K118" i="21"/>
  <c r="K120" i="21" s="1"/>
  <c r="H118" i="21"/>
  <c r="H120" i="21" s="1"/>
  <c r="L118" i="21"/>
  <c r="L120" i="21" s="1"/>
  <c r="G114" i="21"/>
  <c r="G116" i="21" s="1"/>
  <c r="K114" i="21"/>
  <c r="K116" i="21" s="1"/>
  <c r="J118" i="21"/>
  <c r="J120" i="21" s="1"/>
  <c r="I118" i="21"/>
  <c r="I120" i="21" s="1"/>
  <c r="M118" i="21"/>
  <c r="M120" i="21" s="1"/>
  <c r="H114" i="21"/>
  <c r="H116" i="21" s="1"/>
  <c r="L114" i="21"/>
  <c r="L116" i="21" s="1"/>
  <c r="O115" i="13"/>
  <c r="J54" i="12"/>
  <c r="J58" i="12" s="1"/>
  <c r="J116" i="13"/>
  <c r="G54" i="12"/>
  <c r="G58" i="12" s="1"/>
  <c r="K54" i="12"/>
  <c r="K58" i="12" s="1"/>
  <c r="K116" i="13"/>
  <c r="J37" i="12"/>
  <c r="I54" i="12"/>
  <c r="I58" i="12" s="1"/>
  <c r="I116" i="13"/>
  <c r="M54" i="12"/>
  <c r="M58" i="12" s="1"/>
  <c r="F54" i="12"/>
  <c r="F58" i="12" s="1"/>
  <c r="N54" i="12"/>
  <c r="N58" i="12" s="1"/>
  <c r="I22" i="2"/>
  <c r="I180" i="2" s="1"/>
  <c r="H54" i="12"/>
  <c r="H58" i="12" s="1"/>
  <c r="H116" i="13"/>
  <c r="L54" i="12"/>
  <c r="L58" i="12" s="1"/>
  <c r="M116" i="13"/>
  <c r="K51" i="12"/>
  <c r="M51" i="12"/>
  <c r="K118" i="2"/>
  <c r="O122" i="21"/>
  <c r="O124" i="21" s="1"/>
  <c r="O56" i="12"/>
  <c r="G116" i="13"/>
  <c r="L116" i="13"/>
  <c r="H22" i="2"/>
  <c r="H180" i="2" s="1"/>
  <c r="M22" i="2"/>
  <c r="M180" i="2" s="1"/>
  <c r="F116" i="13"/>
  <c r="L22" i="2"/>
  <c r="L180" i="2" s="1"/>
  <c r="K22" i="2"/>
  <c r="K180" i="2" s="1"/>
  <c r="G22" i="2"/>
  <c r="L37" i="12"/>
  <c r="F37" i="12"/>
  <c r="J120" i="13"/>
  <c r="N120" i="13"/>
  <c r="H37" i="12"/>
  <c r="G37" i="12"/>
  <c r="K120" i="13"/>
  <c r="I37" i="12"/>
  <c r="M37" i="12"/>
  <c r="F22" i="2"/>
  <c r="F180" i="2" s="1"/>
  <c r="J22" i="2"/>
  <c r="J180" i="2" s="1"/>
  <c r="N22" i="2"/>
  <c r="N180" i="2" s="1"/>
  <c r="K37" i="12"/>
  <c r="N37" i="12"/>
  <c r="F118" i="2"/>
  <c r="F93" i="2"/>
  <c r="H95" i="2"/>
  <c r="H118" i="2" s="1"/>
  <c r="H78" i="2"/>
  <c r="H93" i="2" s="1"/>
  <c r="G118" i="2"/>
  <c r="G78" i="2"/>
  <c r="K93" i="2"/>
  <c r="M78" i="2"/>
  <c r="N95" i="2"/>
  <c r="N64" i="2"/>
  <c r="I120" i="13"/>
  <c r="M93" i="2" l="1"/>
  <c r="M212" i="2" s="1"/>
  <c r="O148" i="2"/>
  <c r="J118" i="2"/>
  <c r="O118" i="2" s="1"/>
  <c r="J93" i="2"/>
  <c r="O93" i="2" s="1"/>
  <c r="O64" i="2"/>
  <c r="G180" i="2"/>
  <c r="O22" i="2"/>
  <c r="L93" i="2"/>
  <c r="L212" i="2" s="1"/>
  <c r="L346" i="2" s="1"/>
  <c r="M148" i="2"/>
  <c r="N118" i="2"/>
  <c r="N128" i="2" s="1"/>
  <c r="N304" i="2" s="1"/>
  <c r="M118" i="2"/>
  <c r="I118" i="2"/>
  <c r="I148" i="2"/>
  <c r="L148" i="2"/>
  <c r="H148" i="2"/>
  <c r="N237" i="2"/>
  <c r="N236" i="2"/>
  <c r="N177" i="2"/>
  <c r="N191" i="2"/>
  <c r="N241" i="2"/>
  <c r="K215" i="2"/>
  <c r="K245" i="2" s="1"/>
  <c r="K176" i="2"/>
  <c r="K239" i="2"/>
  <c r="F215" i="2"/>
  <c r="F245" i="2" s="1"/>
  <c r="F176" i="2"/>
  <c r="F239" i="2"/>
  <c r="K370" i="2"/>
  <c r="N142" i="2"/>
  <c r="F325" i="2"/>
  <c r="F238" i="2"/>
  <c r="M142" i="2"/>
  <c r="O201" i="2"/>
  <c r="O335" i="2" s="1"/>
  <c r="L142" i="2"/>
  <c r="F200" i="2"/>
  <c r="K212" i="2"/>
  <c r="K346" i="2" s="1"/>
  <c r="K375" i="2"/>
  <c r="K371" i="2"/>
  <c r="F311" i="2"/>
  <c r="M236" i="2"/>
  <c r="M237" i="2"/>
  <c r="M177" i="2"/>
  <c r="M191" i="2"/>
  <c r="M241" i="2"/>
  <c r="J148" i="2"/>
  <c r="L236" i="2"/>
  <c r="L237" i="2"/>
  <c r="L191" i="2"/>
  <c r="L177" i="2"/>
  <c r="L241" i="2"/>
  <c r="M239" i="2"/>
  <c r="L221" i="2"/>
  <c r="H215" i="2"/>
  <c r="H245" i="2" s="1"/>
  <c r="H176" i="2"/>
  <c r="H239" i="2"/>
  <c r="F212" i="2"/>
  <c r="K311" i="2"/>
  <c r="J237" i="2"/>
  <c r="J236" i="2"/>
  <c r="J177" i="2"/>
  <c r="J191" i="2"/>
  <c r="J241" i="2"/>
  <c r="F370" i="2"/>
  <c r="H200" i="2"/>
  <c r="K200" i="2"/>
  <c r="H212" i="2"/>
  <c r="H346" i="2" s="1"/>
  <c r="K325" i="2"/>
  <c r="K238" i="2"/>
  <c r="F375" i="2"/>
  <c r="F371" i="2"/>
  <c r="O214" i="2"/>
  <c r="O348" i="2" s="1"/>
  <c r="N148" i="2"/>
  <c r="H236" i="2"/>
  <c r="H237" i="2"/>
  <c r="H191" i="2"/>
  <c r="H177" i="2"/>
  <c r="H241" i="2"/>
  <c r="N250" i="2"/>
  <c r="N322" i="2"/>
  <c r="N251" i="2"/>
  <c r="N323" i="2"/>
  <c r="N314" i="2"/>
  <c r="N389" i="2"/>
  <c r="N387" i="2"/>
  <c r="N307" i="2"/>
  <c r="N390" i="2"/>
  <c r="N249" i="2"/>
  <c r="N190" i="2"/>
  <c r="N321" i="2"/>
  <c r="N388" i="2"/>
  <c r="N386" i="2"/>
  <c r="M322" i="2"/>
  <c r="M250" i="2"/>
  <c r="M251" i="2"/>
  <c r="M323" i="2"/>
  <c r="M321" i="2"/>
  <c r="M249" i="2"/>
  <c r="M190" i="2"/>
  <c r="M389" i="2"/>
  <c r="M387" i="2"/>
  <c r="M314" i="2"/>
  <c r="M346" i="2"/>
  <c r="N213" i="2"/>
  <c r="N352" i="2"/>
  <c r="M307" i="2"/>
  <c r="M388" i="2"/>
  <c r="M386" i="2"/>
  <c r="M390" i="2"/>
  <c r="L250" i="2"/>
  <c r="L322" i="2"/>
  <c r="L323" i="2"/>
  <c r="L251" i="2"/>
  <c r="L386" i="2"/>
  <c r="L389" i="2"/>
  <c r="L314" i="2"/>
  <c r="L390" i="2"/>
  <c r="M352" i="2"/>
  <c r="M213" i="2"/>
  <c r="L190" i="2"/>
  <c r="L321" i="2"/>
  <c r="L249" i="2"/>
  <c r="L388" i="2"/>
  <c r="L307" i="2"/>
  <c r="L387" i="2"/>
  <c r="K322" i="2"/>
  <c r="K250" i="2"/>
  <c r="K323" i="2"/>
  <c r="K251" i="2"/>
  <c r="K314" i="2"/>
  <c r="K388" i="2"/>
  <c r="L213" i="2"/>
  <c r="L352" i="2"/>
  <c r="K390" i="2"/>
  <c r="K387" i="2"/>
  <c r="K389" i="2"/>
  <c r="K307" i="2"/>
  <c r="K386" i="2"/>
  <c r="K321" i="2"/>
  <c r="K249" i="2"/>
  <c r="K190" i="2"/>
  <c r="J251" i="2"/>
  <c r="J323" i="2"/>
  <c r="J314" i="2"/>
  <c r="J386" i="2"/>
  <c r="J249" i="2"/>
  <c r="J321" i="2"/>
  <c r="J307" i="2"/>
  <c r="J389" i="2"/>
  <c r="J390" i="2"/>
  <c r="J388" i="2"/>
  <c r="J387" i="2"/>
  <c r="I323" i="2"/>
  <c r="I251" i="2"/>
  <c r="I249" i="2"/>
  <c r="I321" i="2"/>
  <c r="I389" i="2"/>
  <c r="I387" i="2"/>
  <c r="I307" i="2"/>
  <c r="J352" i="2"/>
  <c r="J213" i="2"/>
  <c r="I388" i="2"/>
  <c r="I390" i="2"/>
  <c r="I314" i="2"/>
  <c r="H323" i="2"/>
  <c r="H251" i="2"/>
  <c r="H321" i="2"/>
  <c r="H249" i="2"/>
  <c r="I352" i="2"/>
  <c r="I213" i="2"/>
  <c r="H314" i="2"/>
  <c r="H307" i="2"/>
  <c r="H390" i="2"/>
  <c r="H389" i="2"/>
  <c r="H386" i="2"/>
  <c r="H388" i="2"/>
  <c r="H387" i="2"/>
  <c r="G323" i="2"/>
  <c r="G251" i="2"/>
  <c r="O188" i="2"/>
  <c r="O322" i="2" s="1"/>
  <c r="O189" i="2"/>
  <c r="O323" i="2" s="1"/>
  <c r="G388" i="2"/>
  <c r="G390" i="2"/>
  <c r="G314" i="2"/>
  <c r="H352" i="2"/>
  <c r="H213" i="2"/>
  <c r="G307" i="2"/>
  <c r="O253" i="2"/>
  <c r="O387" i="2" s="1"/>
  <c r="O252" i="2"/>
  <c r="O386" i="2" s="1"/>
  <c r="O173" i="2"/>
  <c r="O307" i="2" s="1"/>
  <c r="O256" i="2"/>
  <c r="O390" i="2" s="1"/>
  <c r="O187" i="2"/>
  <c r="O321" i="2" s="1"/>
  <c r="O255" i="2"/>
  <c r="O389" i="2" s="1"/>
  <c r="O254" i="2"/>
  <c r="O388" i="2" s="1"/>
  <c r="G389" i="2"/>
  <c r="G321" i="2"/>
  <c r="G249" i="2"/>
  <c r="G387" i="2"/>
  <c r="F251" i="2"/>
  <c r="F323" i="2"/>
  <c r="F250" i="2"/>
  <c r="F322" i="2"/>
  <c r="F388" i="2"/>
  <c r="F249" i="2"/>
  <c r="F321" i="2"/>
  <c r="F190" i="2"/>
  <c r="F390" i="2"/>
  <c r="F386" i="2"/>
  <c r="F389" i="2"/>
  <c r="F314" i="2"/>
  <c r="F307" i="2"/>
  <c r="G213" i="2"/>
  <c r="G352" i="2"/>
  <c r="F387" i="2"/>
  <c r="O118" i="21"/>
  <c r="O120" i="21" s="1"/>
  <c r="H128" i="2"/>
  <c r="H304" i="2" s="1"/>
  <c r="K33" i="2"/>
  <c r="K43" i="2" s="1"/>
  <c r="O114" i="21"/>
  <c r="O116" i="21" s="1"/>
  <c r="L128" i="2"/>
  <c r="L304" i="2" s="1"/>
  <c r="N33" i="2"/>
  <c r="N43" i="2" s="1"/>
  <c r="K128" i="2"/>
  <c r="K304" i="2" s="1"/>
  <c r="G128" i="2"/>
  <c r="G304" i="2" s="1"/>
  <c r="J128" i="2"/>
  <c r="F128" i="2"/>
  <c r="F304" i="2" s="1"/>
  <c r="M33" i="2"/>
  <c r="M43" i="2" s="1"/>
  <c r="I128" i="2"/>
  <c r="I304" i="2" s="1"/>
  <c r="N51" i="12"/>
  <c r="O37" i="12"/>
  <c r="L51" i="12"/>
  <c r="O54" i="12"/>
  <c r="O58" i="12" s="1"/>
  <c r="H33" i="2"/>
  <c r="H43" i="2" s="1"/>
  <c r="N62" i="2"/>
  <c r="I33" i="2"/>
  <c r="I43" i="2" s="1"/>
  <c r="O180" i="2"/>
  <c r="O314" i="2" s="1"/>
  <c r="O116" i="13"/>
  <c r="L33" i="2"/>
  <c r="L43" i="2" s="1"/>
  <c r="G33" i="2"/>
  <c r="F33" i="2"/>
  <c r="F43" i="2" s="1"/>
  <c r="J33" i="2"/>
  <c r="J43" i="2" s="1"/>
  <c r="N93" i="2"/>
  <c r="N116" i="13"/>
  <c r="M215" i="2" l="1"/>
  <c r="M210" i="2" s="1"/>
  <c r="L200" i="2"/>
  <c r="L239" i="2"/>
  <c r="M220" i="2"/>
  <c r="L215" i="2"/>
  <c r="L245" i="2" s="1"/>
  <c r="J200" i="2"/>
  <c r="M200" i="2"/>
  <c r="J304" i="2"/>
  <c r="O128" i="2"/>
  <c r="O304" i="2" s="1"/>
  <c r="J176" i="2"/>
  <c r="J310" i="2" s="1"/>
  <c r="H210" i="2"/>
  <c r="L220" i="2"/>
  <c r="L354" i="2" s="1"/>
  <c r="M221" i="2"/>
  <c r="M355" i="2" s="1"/>
  <c r="J212" i="2"/>
  <c r="J239" i="2"/>
  <c r="J373" i="2" s="1"/>
  <c r="L176" i="2"/>
  <c r="L310" i="2" s="1"/>
  <c r="J215" i="2"/>
  <c r="J245" i="2" s="1"/>
  <c r="J379" i="2" s="1"/>
  <c r="O220" i="2"/>
  <c r="O354" i="2" s="1"/>
  <c r="O221" i="2"/>
  <c r="O355" i="2" s="1"/>
  <c r="G43" i="2"/>
  <c r="O43" i="2" s="1"/>
  <c r="O33" i="2"/>
  <c r="K210" i="2"/>
  <c r="K344" i="2" s="1"/>
  <c r="M176" i="2"/>
  <c r="M128" i="2"/>
  <c r="M304" i="2" s="1"/>
  <c r="F210" i="2"/>
  <c r="F344" i="2" s="1"/>
  <c r="L129" i="2"/>
  <c r="H129" i="2"/>
  <c r="F129" i="2"/>
  <c r="F346" i="2"/>
  <c r="J346" i="2"/>
  <c r="L210" i="2"/>
  <c r="L344" i="2" s="1"/>
  <c r="J129" i="2"/>
  <c r="K129" i="2"/>
  <c r="N221" i="2"/>
  <c r="N220" i="2"/>
  <c r="N215" i="2"/>
  <c r="N176" i="2"/>
  <c r="N239" i="2"/>
  <c r="N212" i="2"/>
  <c r="H375" i="2"/>
  <c r="H370" i="2"/>
  <c r="M334" i="2"/>
  <c r="H334" i="2"/>
  <c r="J370" i="2"/>
  <c r="M373" i="2"/>
  <c r="L325" i="2"/>
  <c r="L238" i="2"/>
  <c r="M375" i="2"/>
  <c r="M370" i="2"/>
  <c r="F372" i="2"/>
  <c r="K373" i="2"/>
  <c r="N325" i="2"/>
  <c r="N238" i="2"/>
  <c r="H311" i="2"/>
  <c r="K372" i="2"/>
  <c r="K334" i="2"/>
  <c r="M344" i="2"/>
  <c r="J375" i="2"/>
  <c r="J371" i="2"/>
  <c r="L209" i="2"/>
  <c r="L349" i="2"/>
  <c r="L246" i="2"/>
  <c r="M310" i="2"/>
  <c r="L371" i="2"/>
  <c r="M238" i="2"/>
  <c r="M325" i="2"/>
  <c r="F379" i="2"/>
  <c r="F373" i="2"/>
  <c r="K310" i="2"/>
  <c r="N311" i="2"/>
  <c r="O237" i="2"/>
  <c r="O371" i="2" s="1"/>
  <c r="O236" i="2"/>
  <c r="O370" i="2" s="1"/>
  <c r="O191" i="2"/>
  <c r="O325" i="2" s="1"/>
  <c r="O177" i="2"/>
  <c r="O311" i="2" s="1"/>
  <c r="O241" i="2"/>
  <c r="O375" i="2" s="1"/>
  <c r="H238" i="2"/>
  <c r="H325" i="2"/>
  <c r="H379" i="2"/>
  <c r="J238" i="2"/>
  <c r="J325" i="2"/>
  <c r="L379" i="2"/>
  <c r="H373" i="2"/>
  <c r="H349" i="2"/>
  <c r="H209" i="2"/>
  <c r="H246" i="2"/>
  <c r="M245" i="2"/>
  <c r="M349" i="2"/>
  <c r="M209" i="2"/>
  <c r="M246" i="2"/>
  <c r="L375" i="2"/>
  <c r="L370" i="2"/>
  <c r="M311" i="2"/>
  <c r="F310" i="2"/>
  <c r="K349" i="2"/>
  <c r="K209" i="2"/>
  <c r="K246" i="2"/>
  <c r="N370" i="2"/>
  <c r="J334" i="2"/>
  <c r="H371" i="2"/>
  <c r="K379" i="2"/>
  <c r="H344" i="2"/>
  <c r="J311" i="2"/>
  <c r="L334" i="2"/>
  <c r="H310" i="2"/>
  <c r="L373" i="2"/>
  <c r="L355" i="2"/>
  <c r="M354" i="2"/>
  <c r="L311" i="2"/>
  <c r="M371" i="2"/>
  <c r="F334" i="2"/>
  <c r="F349" i="2"/>
  <c r="F209" i="2"/>
  <c r="F246" i="2"/>
  <c r="N200" i="2"/>
  <c r="N375" i="2"/>
  <c r="N371" i="2"/>
  <c r="N384" i="2"/>
  <c r="N385" i="2"/>
  <c r="N47" i="2"/>
  <c r="N51" i="2" s="1"/>
  <c r="N54" i="2" s="1"/>
  <c r="N184" i="2"/>
  <c r="N229" i="2"/>
  <c r="N183" i="2"/>
  <c r="N174" i="2"/>
  <c r="N15" i="12" s="1"/>
  <c r="N22" i="12" s="1"/>
  <c r="N228" i="2"/>
  <c r="N324" i="2"/>
  <c r="N383" i="2"/>
  <c r="M384" i="2"/>
  <c r="M385" i="2"/>
  <c r="M324" i="2"/>
  <c r="M229" i="2"/>
  <c r="M184" i="2"/>
  <c r="M183" i="2"/>
  <c r="M174" i="2"/>
  <c r="M228" i="2"/>
  <c r="M383" i="2"/>
  <c r="N347" i="2"/>
  <c r="L385" i="2"/>
  <c r="L384" i="2"/>
  <c r="L383" i="2"/>
  <c r="M347" i="2"/>
  <c r="L184" i="2"/>
  <c r="L229" i="2"/>
  <c r="L183" i="2"/>
  <c r="L174" i="2"/>
  <c r="L228" i="2"/>
  <c r="L324" i="2"/>
  <c r="K384" i="2"/>
  <c r="K385" i="2"/>
  <c r="K184" i="2"/>
  <c r="K183" i="2"/>
  <c r="K174" i="2"/>
  <c r="K229" i="2"/>
  <c r="K228" i="2"/>
  <c r="K383" i="2"/>
  <c r="L347" i="2"/>
  <c r="K47" i="2"/>
  <c r="K51" i="2" s="1"/>
  <c r="K54" i="2" s="1"/>
  <c r="K324" i="2"/>
  <c r="J385" i="2"/>
  <c r="J174" i="2"/>
  <c r="J229" i="2"/>
  <c r="J184" i="2"/>
  <c r="J228" i="2"/>
  <c r="J183" i="2"/>
  <c r="J383" i="2"/>
  <c r="I385" i="2"/>
  <c r="J347" i="2"/>
  <c r="I174" i="2"/>
  <c r="I229" i="2"/>
  <c r="I228" i="2"/>
  <c r="I383" i="2"/>
  <c r="H385" i="2"/>
  <c r="I347" i="2"/>
  <c r="H383" i="2"/>
  <c r="H184" i="2"/>
  <c r="H174" i="2"/>
  <c r="H229" i="2"/>
  <c r="H183" i="2"/>
  <c r="H228" i="2"/>
  <c r="O250" i="2"/>
  <c r="O384" i="2" s="1"/>
  <c r="G385" i="2"/>
  <c r="O251" i="2"/>
  <c r="O385" i="2" s="1"/>
  <c r="G229" i="2"/>
  <c r="G174" i="2"/>
  <c r="G15" i="12" s="1"/>
  <c r="G22" i="12" s="1"/>
  <c r="G228" i="2"/>
  <c r="G383" i="2"/>
  <c r="O190" i="2"/>
  <c r="O324" i="2" s="1"/>
  <c r="O249" i="2"/>
  <c r="O383" i="2" s="1"/>
  <c r="O213" i="2"/>
  <c r="O347" i="2" s="1"/>
  <c r="H347" i="2"/>
  <c r="F384" i="2"/>
  <c r="F385" i="2"/>
  <c r="G347" i="2"/>
  <c r="F383" i="2"/>
  <c r="F228" i="2"/>
  <c r="F183" i="2"/>
  <c r="F184" i="2"/>
  <c r="F174" i="2"/>
  <c r="F229" i="2"/>
  <c r="F324" i="2"/>
  <c r="M47" i="2"/>
  <c r="M51" i="2" s="1"/>
  <c r="H47" i="2"/>
  <c r="H51" i="2" s="1"/>
  <c r="N129" i="2"/>
  <c r="J62" i="18"/>
  <c r="N62" i="18"/>
  <c r="N13" i="12"/>
  <c r="I47" i="2"/>
  <c r="I51" i="2" s="1"/>
  <c r="L47" i="2"/>
  <c r="L51" i="2" s="1"/>
  <c r="G47" i="2"/>
  <c r="M15" i="12"/>
  <c r="M22" i="12" s="1"/>
  <c r="J47" i="2"/>
  <c r="J51" i="2" s="1"/>
  <c r="F47" i="2"/>
  <c r="F51" i="2" s="1"/>
  <c r="J62" i="2"/>
  <c r="J349" i="2" l="1"/>
  <c r="J246" i="2"/>
  <c r="J380" i="2" s="1"/>
  <c r="J209" i="2"/>
  <c r="J210" i="2"/>
  <c r="J344" i="2" s="1"/>
  <c r="G51" i="2"/>
  <c r="O51" i="2" s="1"/>
  <c r="O47" i="2"/>
  <c r="M129" i="2"/>
  <c r="O200" i="2"/>
  <c r="O334" i="2" s="1"/>
  <c r="F343" i="2"/>
  <c r="K343" i="2"/>
  <c r="J343" i="2"/>
  <c r="H380" i="2"/>
  <c r="L380" i="2"/>
  <c r="N346" i="2"/>
  <c r="N354" i="2"/>
  <c r="O215" i="2"/>
  <c r="O349" i="2" s="1"/>
  <c r="O176" i="2"/>
  <c r="O310" i="2" s="1"/>
  <c r="O239" i="2"/>
  <c r="O373" i="2" s="1"/>
  <c r="O212" i="2"/>
  <c r="O346" i="2" s="1"/>
  <c r="M380" i="2"/>
  <c r="M379" i="2"/>
  <c r="H343" i="2"/>
  <c r="J372" i="2"/>
  <c r="L372" i="2"/>
  <c r="N373" i="2"/>
  <c r="N355" i="2"/>
  <c r="N334" i="2"/>
  <c r="M343" i="2"/>
  <c r="O238" i="2"/>
  <c r="O372" i="2" s="1"/>
  <c r="L343" i="2"/>
  <c r="N310" i="2"/>
  <c r="F380" i="2"/>
  <c r="K380" i="2"/>
  <c r="H372" i="2"/>
  <c r="M372" i="2"/>
  <c r="N372" i="2"/>
  <c r="N349" i="2"/>
  <c r="N209" i="2"/>
  <c r="N246" i="2"/>
  <c r="N210" i="2"/>
  <c r="N245" i="2"/>
  <c r="N317" i="2"/>
  <c r="N363" i="2"/>
  <c r="N362" i="2"/>
  <c r="N318" i="2"/>
  <c r="N231" i="2"/>
  <c r="N198" i="2"/>
  <c r="N181" i="2"/>
  <c r="N199" i="2"/>
  <c r="N230" i="2"/>
  <c r="N308" i="2"/>
  <c r="N225" i="2"/>
  <c r="N140" i="2"/>
  <c r="N158" i="2"/>
  <c r="N157" i="2" s="1"/>
  <c r="N182" i="2"/>
  <c r="N224" i="2"/>
  <c r="N175" i="2"/>
  <c r="M225" i="2"/>
  <c r="N219" i="2"/>
  <c r="M175" i="2"/>
  <c r="M182" i="2"/>
  <c r="M158" i="2"/>
  <c r="M157" i="2" s="1"/>
  <c r="M140" i="2"/>
  <c r="M224" i="2"/>
  <c r="M318" i="2"/>
  <c r="M362" i="2"/>
  <c r="M363" i="2"/>
  <c r="M231" i="2"/>
  <c r="M199" i="2"/>
  <c r="M308" i="2"/>
  <c r="M198" i="2"/>
  <c r="M230" i="2"/>
  <c r="M181" i="2"/>
  <c r="M317" i="2"/>
  <c r="L199" i="2"/>
  <c r="L231" i="2"/>
  <c r="L181" i="2"/>
  <c r="L308" i="2"/>
  <c r="L230" i="2"/>
  <c r="L198" i="2"/>
  <c r="L317" i="2"/>
  <c r="L363" i="2"/>
  <c r="M219" i="2"/>
  <c r="L225" i="2"/>
  <c r="L140" i="2"/>
  <c r="L224" i="2"/>
  <c r="L182" i="2"/>
  <c r="L175" i="2"/>
  <c r="L158" i="2"/>
  <c r="L157" i="2" s="1"/>
  <c r="L362" i="2"/>
  <c r="L318" i="2"/>
  <c r="K363" i="2"/>
  <c r="K181" i="2"/>
  <c r="K230" i="2"/>
  <c r="K231" i="2"/>
  <c r="K198" i="2"/>
  <c r="K199" i="2"/>
  <c r="K308" i="2"/>
  <c r="K225" i="2"/>
  <c r="L219" i="2"/>
  <c r="K182" i="2"/>
  <c r="K224" i="2"/>
  <c r="K175" i="2"/>
  <c r="K317" i="2"/>
  <c r="K362" i="2"/>
  <c r="K318" i="2"/>
  <c r="J363" i="2"/>
  <c r="J317" i="2"/>
  <c r="J231" i="2"/>
  <c r="J230" i="2"/>
  <c r="J181" i="2"/>
  <c r="J198" i="2"/>
  <c r="J308" i="2"/>
  <c r="J199" i="2"/>
  <c r="J225" i="2"/>
  <c r="J224" i="2"/>
  <c r="J182" i="2"/>
  <c r="J175" i="2"/>
  <c r="J158" i="2"/>
  <c r="J157" i="2" s="1"/>
  <c r="J140" i="2"/>
  <c r="J362" i="2"/>
  <c r="J318" i="2"/>
  <c r="I363" i="2"/>
  <c r="I199" i="2"/>
  <c r="I231" i="2"/>
  <c r="I181" i="2"/>
  <c r="I308" i="2"/>
  <c r="I198" i="2"/>
  <c r="I230" i="2"/>
  <c r="I225" i="2"/>
  <c r="J219" i="2"/>
  <c r="I140" i="2"/>
  <c r="I182" i="2"/>
  <c r="I175" i="2"/>
  <c r="I158" i="2"/>
  <c r="I157" i="2" s="1"/>
  <c r="I362" i="2"/>
  <c r="H317" i="2"/>
  <c r="H363" i="2"/>
  <c r="I219" i="2"/>
  <c r="H225" i="2"/>
  <c r="H224" i="2"/>
  <c r="H182" i="2"/>
  <c r="H175" i="2"/>
  <c r="H158" i="2"/>
  <c r="H157" i="2" s="1"/>
  <c r="H140" i="2"/>
  <c r="H230" i="2"/>
  <c r="H181" i="2"/>
  <c r="H198" i="2"/>
  <c r="H231" i="2"/>
  <c r="H308" i="2"/>
  <c r="H199" i="2"/>
  <c r="H54" i="2"/>
  <c r="H362" i="2"/>
  <c r="H318" i="2"/>
  <c r="G308" i="2"/>
  <c r="G181" i="2"/>
  <c r="G199" i="2"/>
  <c r="G230" i="2"/>
  <c r="G231" i="2"/>
  <c r="G198" i="2"/>
  <c r="G225" i="2"/>
  <c r="H219" i="2"/>
  <c r="G175" i="2"/>
  <c r="G140" i="2"/>
  <c r="G158" i="2"/>
  <c r="G157" i="2" s="1"/>
  <c r="G182" i="2"/>
  <c r="O229" i="2"/>
  <c r="O363" i="2" s="1"/>
  <c r="O184" i="2"/>
  <c r="O318" i="2" s="1"/>
  <c r="O183" i="2"/>
  <c r="O317" i="2" s="1"/>
  <c r="O174" i="2"/>
  <c r="O308" i="2" s="1"/>
  <c r="O228" i="2"/>
  <c r="O362" i="2" s="1"/>
  <c r="G362" i="2"/>
  <c r="G363" i="2"/>
  <c r="F231" i="2"/>
  <c r="F198" i="2"/>
  <c r="F181" i="2"/>
  <c r="F199" i="2"/>
  <c r="F230" i="2"/>
  <c r="F308" i="2"/>
  <c r="F318" i="2"/>
  <c r="F225" i="2"/>
  <c r="G219" i="2"/>
  <c r="F175" i="2"/>
  <c r="F224" i="2"/>
  <c r="F182" i="2"/>
  <c r="F317" i="2"/>
  <c r="F363" i="2"/>
  <c r="F362" i="2"/>
  <c r="M54" i="2"/>
  <c r="K15" i="12"/>
  <c r="K22" i="12" s="1"/>
  <c r="K24" i="12" s="1"/>
  <c r="I15" i="12"/>
  <c r="I22" i="12" s="1"/>
  <c r="I25" i="12" s="1"/>
  <c r="I62" i="18"/>
  <c r="M62" i="18"/>
  <c r="O62" i="18"/>
  <c r="H15" i="12"/>
  <c r="H22" i="12" s="1"/>
  <c r="O62" i="2"/>
  <c r="J54" i="2"/>
  <c r="I54" i="2"/>
  <c r="G54" i="2"/>
  <c r="L54" i="2"/>
  <c r="L15" i="12"/>
  <c r="F54" i="2"/>
  <c r="J15" i="12"/>
  <c r="F15" i="12"/>
  <c r="M62" i="2"/>
  <c r="G24" i="12"/>
  <c r="G25" i="12"/>
  <c r="I62" i="2"/>
  <c r="O140" i="2" l="1"/>
  <c r="O158" i="2"/>
  <c r="O157" i="2" s="1"/>
  <c r="O219" i="2"/>
  <c r="O353" i="2" s="1"/>
  <c r="N141" i="2"/>
  <c r="N139" i="2" s="1"/>
  <c r="N162" i="2" s="1"/>
  <c r="N203" i="2" s="1"/>
  <c r="N197" i="2" s="1"/>
  <c r="O129" i="2"/>
  <c r="N344" i="2"/>
  <c r="O209" i="2"/>
  <c r="O343" i="2" s="1"/>
  <c r="O246" i="2"/>
  <c r="O380" i="2" s="1"/>
  <c r="N380" i="2"/>
  <c r="N343" i="2"/>
  <c r="O245" i="2"/>
  <c r="O379" i="2" s="1"/>
  <c r="N379" i="2"/>
  <c r="O210" i="2"/>
  <c r="O344" i="2" s="1"/>
  <c r="N309" i="2"/>
  <c r="N333" i="2"/>
  <c r="N365" i="2"/>
  <c r="N358" i="2"/>
  <c r="N359" i="2"/>
  <c r="N315" i="2"/>
  <c r="N208" i="2"/>
  <c r="N316" i="2"/>
  <c r="N332" i="2"/>
  <c r="N364" i="2"/>
  <c r="M141" i="2"/>
  <c r="M139" i="2" s="1"/>
  <c r="M162" i="2" s="1"/>
  <c r="M203" i="2" s="1"/>
  <c r="M337" i="2" s="1"/>
  <c r="M315" i="2"/>
  <c r="M333" i="2"/>
  <c r="M316" i="2"/>
  <c r="M208" i="2"/>
  <c r="M364" i="2"/>
  <c r="M365" i="2"/>
  <c r="M358" i="2"/>
  <c r="M309" i="2"/>
  <c r="N353" i="2"/>
  <c r="M332" i="2"/>
  <c r="M359" i="2"/>
  <c r="L316" i="2"/>
  <c r="L208" i="2"/>
  <c r="M353" i="2"/>
  <c r="L315" i="2"/>
  <c r="L358" i="2"/>
  <c r="L332" i="2"/>
  <c r="L365" i="2"/>
  <c r="L141" i="2"/>
  <c r="L139" i="2" s="1"/>
  <c r="L162" i="2" s="1"/>
  <c r="L364" i="2"/>
  <c r="L333" i="2"/>
  <c r="L309" i="2"/>
  <c r="L359" i="2"/>
  <c r="K316" i="2"/>
  <c r="K208" i="2"/>
  <c r="K333" i="2"/>
  <c r="L353" i="2"/>
  <c r="K332" i="2"/>
  <c r="K315" i="2"/>
  <c r="K309" i="2"/>
  <c r="K359" i="2"/>
  <c r="K365" i="2"/>
  <c r="K358" i="2"/>
  <c r="K364" i="2"/>
  <c r="J359" i="2"/>
  <c r="J358" i="2"/>
  <c r="J332" i="2"/>
  <c r="J309" i="2"/>
  <c r="J333" i="2"/>
  <c r="J315" i="2"/>
  <c r="J208" i="2"/>
  <c r="J316" i="2"/>
  <c r="J364" i="2"/>
  <c r="J365" i="2"/>
  <c r="I316" i="2"/>
  <c r="I208" i="2"/>
  <c r="I359" i="2"/>
  <c r="I315" i="2"/>
  <c r="I364" i="2"/>
  <c r="I365" i="2"/>
  <c r="I332" i="2"/>
  <c r="I333" i="2"/>
  <c r="I309" i="2"/>
  <c r="J353" i="2"/>
  <c r="H365" i="2"/>
  <c r="H316" i="2"/>
  <c r="H208" i="2"/>
  <c r="H332" i="2"/>
  <c r="H358" i="2"/>
  <c r="H333" i="2"/>
  <c r="H315" i="2"/>
  <c r="H359" i="2"/>
  <c r="H364" i="2"/>
  <c r="H309" i="2"/>
  <c r="I353" i="2"/>
  <c r="G359" i="2"/>
  <c r="G333" i="2"/>
  <c r="G332" i="2"/>
  <c r="G315" i="2"/>
  <c r="O181" i="2"/>
  <c r="O315" i="2" s="1"/>
  <c r="O230" i="2"/>
  <c r="O364" i="2" s="1"/>
  <c r="O231" i="2"/>
  <c r="O365" i="2" s="1"/>
  <c r="O199" i="2"/>
  <c r="O333" i="2" s="1"/>
  <c r="O198" i="2"/>
  <c r="O332" i="2" s="1"/>
  <c r="G309" i="2"/>
  <c r="G365" i="2"/>
  <c r="O225" i="2"/>
  <c r="O359" i="2" s="1"/>
  <c r="O175" i="2"/>
  <c r="O309" i="2" s="1"/>
  <c r="O182" i="2"/>
  <c r="O316" i="2" s="1"/>
  <c r="O224" i="2"/>
  <c r="O358" i="2" s="1"/>
  <c r="G316" i="2"/>
  <c r="G208" i="2"/>
  <c r="H353" i="2"/>
  <c r="G364" i="2"/>
  <c r="F309" i="2"/>
  <c r="F315" i="2"/>
  <c r="G353" i="2"/>
  <c r="F332" i="2"/>
  <c r="F208" i="2"/>
  <c r="F316" i="2"/>
  <c r="F359" i="2"/>
  <c r="F364" i="2"/>
  <c r="F358" i="2"/>
  <c r="F333" i="2"/>
  <c r="F365" i="2"/>
  <c r="K25" i="12"/>
  <c r="I24" i="12"/>
  <c r="L62" i="18"/>
  <c r="H62" i="18"/>
  <c r="F22" i="12"/>
  <c r="F25" i="12" s="1"/>
  <c r="J22" i="12"/>
  <c r="J24" i="12" s="1"/>
  <c r="L22" i="12"/>
  <c r="I34" i="12"/>
  <c r="K62" i="2"/>
  <c r="O15" i="12"/>
  <c r="O54" i="2"/>
  <c r="N60" i="12"/>
  <c r="N25" i="12"/>
  <c r="N24" i="12"/>
  <c r="L60" i="12"/>
  <c r="L61" i="12"/>
  <c r="L62" i="2"/>
  <c r="M60" i="12"/>
  <c r="M61" i="12"/>
  <c r="H62" i="2"/>
  <c r="K61" i="12"/>
  <c r="K60" i="12"/>
  <c r="O141" i="2" l="1"/>
  <c r="O139" i="2" s="1"/>
  <c r="O162" i="2" s="1"/>
  <c r="O164" i="2" s="1"/>
  <c r="O165" i="2" s="1"/>
  <c r="N233" i="2"/>
  <c r="N232" i="2"/>
  <c r="N366" i="2" s="1"/>
  <c r="N337" i="2"/>
  <c r="M197" i="2"/>
  <c r="N342" i="2"/>
  <c r="N331" i="2"/>
  <c r="M233" i="2"/>
  <c r="M232" i="2"/>
  <c r="M342" i="2"/>
  <c r="L342" i="2"/>
  <c r="L164" i="2"/>
  <c r="L203" i="2"/>
  <c r="K342" i="2"/>
  <c r="J342" i="2"/>
  <c r="I342" i="2"/>
  <c r="H342" i="2"/>
  <c r="G342" i="2"/>
  <c r="O208" i="2"/>
  <c r="O342" i="2" s="1"/>
  <c r="F342" i="2"/>
  <c r="J25" i="12"/>
  <c r="G62" i="18"/>
  <c r="K62" i="18"/>
  <c r="F24" i="12"/>
  <c r="O22" i="12"/>
  <c r="G34" i="12"/>
  <c r="F31" i="12"/>
  <c r="F34" i="12" s="1"/>
  <c r="J34" i="12"/>
  <c r="F62" i="2"/>
  <c r="N61" i="12"/>
  <c r="G62" i="2"/>
  <c r="O203" i="2" l="1"/>
  <c r="O337" i="2" s="1"/>
  <c r="O303" i="2"/>
  <c r="N211" i="2"/>
  <c r="N345" i="2" s="1"/>
  <c r="M366" i="2"/>
  <c r="N367" i="2"/>
  <c r="M331" i="2"/>
  <c r="M367" i="2"/>
  <c r="M211" i="2"/>
  <c r="M345" i="2" s="1"/>
  <c r="L232" i="2"/>
  <c r="L337" i="2"/>
  <c r="L197" i="2"/>
  <c r="L233" i="2"/>
  <c r="L303" i="2"/>
  <c r="L165" i="2"/>
  <c r="M163" i="2"/>
  <c r="M164" i="2" s="1"/>
  <c r="F62" i="18"/>
  <c r="I40" i="12"/>
  <c r="I39" i="12"/>
  <c r="O197" i="2" l="1"/>
  <c r="O331" i="2" s="1"/>
  <c r="O232" i="2"/>
  <c r="O366" i="2" s="1"/>
  <c r="O233" i="2"/>
  <c r="O367" i="2" s="1"/>
  <c r="L367" i="2"/>
  <c r="M303" i="2"/>
  <c r="N163" i="2"/>
  <c r="N164" i="2" s="1"/>
  <c r="M165" i="2"/>
  <c r="L331" i="2"/>
  <c r="L211" i="2"/>
  <c r="L366" i="2"/>
  <c r="F39" i="12"/>
  <c r="F40" i="12"/>
  <c r="N34" i="12"/>
  <c r="J40" i="12"/>
  <c r="J39" i="12"/>
  <c r="G39" i="12"/>
  <c r="G40" i="12"/>
  <c r="O211" i="2" l="1"/>
  <c r="O345" i="2" s="1"/>
  <c r="L345" i="2"/>
  <c r="N303" i="2"/>
  <c r="N165" i="2"/>
  <c r="F51" i="12"/>
  <c r="J51" i="12" l="1"/>
  <c r="G51" i="12"/>
  <c r="H51" i="12"/>
  <c r="N39" i="12"/>
  <c r="N40" i="12"/>
  <c r="J60" i="12" l="1"/>
  <c r="J61" i="12"/>
  <c r="F60" i="12"/>
  <c r="F61" i="12"/>
  <c r="O51" i="12"/>
  <c r="K34" i="12"/>
  <c r="I51" i="12" l="1"/>
  <c r="I61" i="12" s="1"/>
  <c r="G61" i="12"/>
  <c r="G60" i="12"/>
  <c r="H61" i="12"/>
  <c r="H60" i="12"/>
  <c r="I60" i="12" l="1"/>
  <c r="O61" i="12"/>
  <c r="O60" i="12"/>
  <c r="K40" i="12"/>
  <c r="K39" i="12"/>
  <c r="I64" i="18"/>
  <c r="I93" i="18" s="1"/>
  <c r="I129" i="18" s="1"/>
  <c r="J193" i="2" l="1"/>
  <c r="I144" i="2"/>
  <c r="I142" i="2" s="1"/>
  <c r="I141" i="2" s="1"/>
  <c r="I139" i="2" s="1"/>
  <c r="I162" i="2" s="1"/>
  <c r="I203" i="2" s="1"/>
  <c r="J144" i="2"/>
  <c r="J142" i="2" s="1"/>
  <c r="J141" i="2" s="1"/>
  <c r="J139" i="2" s="1"/>
  <c r="J162" i="2" s="1"/>
  <c r="J203" i="2" s="1"/>
  <c r="I193" i="2"/>
  <c r="I252" i="2"/>
  <c r="I64" i="2"/>
  <c r="G64" i="18"/>
  <c r="G93" i="18" s="1"/>
  <c r="G129" i="18" s="1"/>
  <c r="J233" i="2" l="1"/>
  <c r="J232" i="2"/>
  <c r="J337" i="2"/>
  <c r="J197" i="2"/>
  <c r="I233" i="2"/>
  <c r="I197" i="2"/>
  <c r="I232" i="2"/>
  <c r="I337" i="2"/>
  <c r="I327" i="2"/>
  <c r="I188" i="2"/>
  <c r="I236" i="2"/>
  <c r="I237" i="2"/>
  <c r="I177" i="2"/>
  <c r="I191" i="2"/>
  <c r="I241" i="2"/>
  <c r="G144" i="2"/>
  <c r="G142" i="2" s="1"/>
  <c r="G141" i="2" s="1"/>
  <c r="G139" i="2" s="1"/>
  <c r="G162" i="2" s="1"/>
  <c r="H193" i="2"/>
  <c r="G193" i="2"/>
  <c r="H144" i="2"/>
  <c r="H142" i="2" s="1"/>
  <c r="H141" i="2" s="1"/>
  <c r="H139" i="2" s="1"/>
  <c r="H162" i="2" s="1"/>
  <c r="H203" i="2" s="1"/>
  <c r="G252" i="2"/>
  <c r="I386" i="2"/>
  <c r="J327" i="2"/>
  <c r="J188" i="2"/>
  <c r="G64" i="2"/>
  <c r="I93" i="2"/>
  <c r="H337" i="2" l="1"/>
  <c r="H233" i="2"/>
  <c r="H232" i="2"/>
  <c r="H197" i="2"/>
  <c r="I366" i="2"/>
  <c r="I211" i="2"/>
  <c r="I331" i="2"/>
  <c r="J366" i="2"/>
  <c r="J211" i="2"/>
  <c r="G164" i="2"/>
  <c r="G203" i="2"/>
  <c r="J331" i="2"/>
  <c r="I367" i="2"/>
  <c r="J367" i="2"/>
  <c r="G237" i="2"/>
  <c r="G236" i="2"/>
  <c r="G191" i="2"/>
  <c r="G177" i="2"/>
  <c r="G241" i="2"/>
  <c r="H327" i="2"/>
  <c r="H188" i="2"/>
  <c r="I311" i="2"/>
  <c r="J250" i="2"/>
  <c r="J190" i="2"/>
  <c r="J322" i="2"/>
  <c r="G386" i="2"/>
  <c r="I371" i="2"/>
  <c r="I375" i="2"/>
  <c r="I370" i="2"/>
  <c r="I221" i="2"/>
  <c r="I220" i="2"/>
  <c r="I215" i="2"/>
  <c r="I176" i="2"/>
  <c r="I239" i="2"/>
  <c r="I212" i="2"/>
  <c r="J220" i="2"/>
  <c r="I200" i="2"/>
  <c r="J221" i="2"/>
  <c r="I184" i="2"/>
  <c r="I183" i="2"/>
  <c r="I224" i="2"/>
  <c r="G327" i="2"/>
  <c r="G188" i="2"/>
  <c r="I325" i="2"/>
  <c r="I238" i="2"/>
  <c r="I250" i="2"/>
  <c r="I322" i="2"/>
  <c r="I190" i="2"/>
  <c r="G93" i="2"/>
  <c r="I129" i="2"/>
  <c r="H331" i="2" l="1"/>
  <c r="I345" i="2"/>
  <c r="H211" i="2"/>
  <c r="H366" i="2"/>
  <c r="G233" i="2"/>
  <c r="G337" i="2"/>
  <c r="G197" i="2"/>
  <c r="G232" i="2"/>
  <c r="H367" i="2"/>
  <c r="J345" i="2"/>
  <c r="G303" i="2"/>
  <c r="H163" i="2"/>
  <c r="H164" i="2" s="1"/>
  <c r="G165" i="2"/>
  <c r="I317" i="2"/>
  <c r="J354" i="2"/>
  <c r="I349" i="2"/>
  <c r="I209" i="2"/>
  <c r="I246" i="2"/>
  <c r="I245" i="2"/>
  <c r="I210" i="2"/>
  <c r="G311" i="2"/>
  <c r="I318" i="2"/>
  <c r="G325" i="2"/>
  <c r="G238" i="2"/>
  <c r="G221" i="2"/>
  <c r="G220" i="2"/>
  <c r="G176" i="2"/>
  <c r="G215" i="2"/>
  <c r="G239" i="2"/>
  <c r="G212" i="2"/>
  <c r="H221" i="2"/>
  <c r="G200" i="2"/>
  <c r="H220" i="2"/>
  <c r="G184" i="2"/>
  <c r="G183" i="2"/>
  <c r="G224" i="2"/>
  <c r="I384" i="2"/>
  <c r="G322" i="2"/>
  <c r="G190" i="2"/>
  <c r="G250" i="2"/>
  <c r="I346" i="2"/>
  <c r="I354" i="2"/>
  <c r="J324" i="2"/>
  <c r="H322" i="2"/>
  <c r="H250" i="2"/>
  <c r="H190" i="2"/>
  <c r="I324" i="2"/>
  <c r="I372" i="2"/>
  <c r="J355" i="2"/>
  <c r="I373" i="2"/>
  <c r="I355" i="2"/>
  <c r="J384" i="2"/>
  <c r="G370" i="2"/>
  <c r="I358" i="2"/>
  <c r="I334" i="2"/>
  <c r="I310" i="2"/>
  <c r="G375" i="2"/>
  <c r="G371" i="2"/>
  <c r="G129" i="2"/>
  <c r="G331" i="2" l="1"/>
  <c r="H345" i="2"/>
  <c r="G367" i="2"/>
  <c r="G366" i="2"/>
  <c r="G211" i="2"/>
  <c r="I163" i="2"/>
  <c r="I164" i="2" s="1"/>
  <c r="H165" i="2"/>
  <c r="H303" i="2"/>
  <c r="H384" i="2"/>
  <c r="G317" i="2"/>
  <c r="H355" i="2"/>
  <c r="G310" i="2"/>
  <c r="I380" i="2"/>
  <c r="G384" i="2"/>
  <c r="G318" i="2"/>
  <c r="G346" i="2"/>
  <c r="G354" i="2"/>
  <c r="I343" i="2"/>
  <c r="H354" i="2"/>
  <c r="G373" i="2"/>
  <c r="G355" i="2"/>
  <c r="I344" i="2"/>
  <c r="H324" i="2"/>
  <c r="G324" i="2"/>
  <c r="G358" i="2"/>
  <c r="G334" i="2"/>
  <c r="G349" i="2"/>
  <c r="G209" i="2"/>
  <c r="G246" i="2"/>
  <c r="G245" i="2"/>
  <c r="G210" i="2"/>
  <c r="G372" i="2"/>
  <c r="I379" i="2"/>
  <c r="H120" i="13"/>
  <c r="I303" i="2" l="1"/>
  <c r="J163" i="2"/>
  <c r="J164" i="2" s="1"/>
  <c r="I165" i="2"/>
  <c r="G345" i="2"/>
  <c r="G379" i="2"/>
  <c r="G380" i="2"/>
  <c r="G343" i="2"/>
  <c r="G344" i="2"/>
  <c r="O120" i="13"/>
  <c r="J303" i="2" l="1"/>
  <c r="J165" i="2"/>
  <c r="H34" i="12"/>
  <c r="H13" i="12"/>
  <c r="O13" i="12" l="1"/>
  <c r="O34" i="12"/>
  <c r="H39" i="12"/>
  <c r="H40" i="12"/>
  <c r="H24" i="12"/>
  <c r="H25" i="12"/>
  <c r="O39" i="12" l="1"/>
  <c r="O40" i="12"/>
  <c r="O24" i="12"/>
  <c r="O25" i="12"/>
  <c r="L120" i="13"/>
  <c r="M120" i="13"/>
  <c r="L34" i="12" l="1"/>
  <c r="M13" i="12"/>
  <c r="M34" i="12"/>
  <c r="L13" i="12" l="1"/>
  <c r="M39" i="12"/>
  <c r="M40" i="12"/>
  <c r="L39" i="12"/>
  <c r="L40" i="12"/>
  <c r="M25" i="12"/>
  <c r="M24" i="12"/>
  <c r="L25" i="12" l="1"/>
  <c r="L24" i="12"/>
  <c r="U105" i="20" l="1"/>
  <c r="U107" i="20"/>
  <c r="O52" i="13"/>
  <c r="O53" i="13"/>
  <c r="O53" i="21"/>
  <c r="O186" i="21" s="1"/>
  <c r="O52" i="21" l="1"/>
  <c r="O185" i="21" s="1"/>
</calcChain>
</file>

<file path=xl/sharedStrings.xml><?xml version="1.0" encoding="utf-8"?>
<sst xmlns="http://schemas.openxmlformats.org/spreadsheetml/2006/main" count="2918" uniqueCount="1546">
  <si>
    <t>Current Assets</t>
  </si>
  <si>
    <t>Inventories</t>
  </si>
  <si>
    <t>Short-Term Investments</t>
  </si>
  <si>
    <t>Cash &amp; Near Cash Items</t>
  </si>
  <si>
    <t>Other Current Assets</t>
  </si>
  <si>
    <t>Trade Receivable</t>
  </si>
  <si>
    <t>Other Short-Term Receivables (Non-Trade)</t>
  </si>
  <si>
    <t>Non-Current Assets</t>
  </si>
  <si>
    <t>Biological Assets</t>
  </si>
  <si>
    <t>Intangible Assets</t>
  </si>
  <si>
    <t>Property, Plant &amp; Equipment</t>
  </si>
  <si>
    <t>Other Non-Current Assets</t>
  </si>
  <si>
    <t>Total Assets</t>
  </si>
  <si>
    <t>Trade Payables</t>
  </si>
  <si>
    <t>Short-Term Borrowings</t>
  </si>
  <si>
    <t>Investment Properties</t>
  </si>
  <si>
    <t>Other Current Liabilities</t>
  </si>
  <si>
    <t>Other Short-Term Payables (Non-Trade)</t>
  </si>
  <si>
    <t>Non-Current Liabilities</t>
  </si>
  <si>
    <t>Other Non-Current Assets (not listed above)</t>
  </si>
  <si>
    <t>Other Current Liabilities (not listed above)</t>
  </si>
  <si>
    <t>Other Current Assets (not listed above)</t>
  </si>
  <si>
    <t>Long-Term Borrowings</t>
  </si>
  <si>
    <t>Other Non-Current Liabilities</t>
  </si>
  <si>
    <t>Long-Term Payables (Non-Trade)</t>
  </si>
  <si>
    <t>Other Non-Current Liabilities (not listed above)</t>
  </si>
  <si>
    <t>Net Assets</t>
  </si>
  <si>
    <t>Shareholder Equity</t>
  </si>
  <si>
    <t>Share Capital &amp; Additional Paid-In Capital</t>
  </si>
  <si>
    <t>Minority Interest</t>
  </si>
  <si>
    <t>Other Equity</t>
  </si>
  <si>
    <t>Deferred Income Tax Liabilities (Long-Term)</t>
  </si>
  <si>
    <t>Balance Sheet Input Template</t>
  </si>
  <si>
    <t>Cash from Operating Activities</t>
  </si>
  <si>
    <t>Depreciation &amp; Amortization</t>
  </si>
  <si>
    <t>Add: Changes in Working Capital</t>
  </si>
  <si>
    <t>Add: Non-Cash Adjustments</t>
  </si>
  <si>
    <t>Change in Trade Receivables</t>
  </si>
  <si>
    <t>Change in Inventories</t>
  </si>
  <si>
    <t>Change in Trade Payables</t>
  </si>
  <si>
    <t>Cash from Investing Activities</t>
  </si>
  <si>
    <t>Cash from Financing Activities</t>
  </si>
  <si>
    <t>Dividend Paid</t>
  </si>
  <si>
    <t>Net Change in Cash</t>
  </si>
  <si>
    <t>Profit &amp; Loss Input Template</t>
  </si>
  <si>
    <t>Revenue</t>
  </si>
  <si>
    <t>Cost of Revenue</t>
  </si>
  <si>
    <t>Operating Expenses</t>
  </si>
  <si>
    <t>General &amp; Administrative Expenses</t>
  </si>
  <si>
    <t>Other Operating Expenses</t>
  </si>
  <si>
    <t>Royalty Income</t>
  </si>
  <si>
    <t>Other Non-Operating Income/(Expenses)</t>
  </si>
  <si>
    <t>Financial Income</t>
  </si>
  <si>
    <t>Financial Expenses</t>
  </si>
  <si>
    <t>Share of results of associated companies, net of tax</t>
  </si>
  <si>
    <t>Share of results of joint ventures, net of tax</t>
  </si>
  <si>
    <t>Foreign Exchange Gain/(Loss), net</t>
  </si>
  <si>
    <t>Non-Operating Income/(Expenses)</t>
  </si>
  <si>
    <t>Income Tax Expense</t>
  </si>
  <si>
    <t>Financial Year Ending</t>
  </si>
  <si>
    <t>Basic Information</t>
  </si>
  <si>
    <t xml:space="preserve">Distinct Industry Type (DIT) Code </t>
  </si>
  <si>
    <t>DIT Description</t>
  </si>
  <si>
    <t>Quarter Ending</t>
  </si>
  <si>
    <t>Remark for System Developer</t>
  </si>
  <si>
    <t>(to ask at registration if Club DIT applies - i.e. if more than 3 DIT and none of it contributes &gt;50% of revenue alone. And any combination of the DITs under the same Club DIT contributes &gt;50% of revenue.)</t>
  </si>
  <si>
    <t>Item</t>
  </si>
  <si>
    <t>Operation Info Input Template</t>
  </si>
  <si>
    <t>Unit</t>
  </si>
  <si>
    <t>measure by amount of production</t>
  </si>
  <si>
    <t>Period</t>
  </si>
  <si>
    <t>Trailing 12 Months</t>
  </si>
  <si>
    <t>Reporting Currency</t>
  </si>
  <si>
    <t>Previous Financial Year</t>
  </si>
  <si>
    <t>Previous Financial Year -1</t>
  </si>
  <si>
    <t>Previous Financial Year -2</t>
  </si>
  <si>
    <t>Previous Financial Year -3</t>
  </si>
  <si>
    <t>Reporting Unit</t>
  </si>
  <si>
    <t>USD</t>
  </si>
  <si>
    <t>All Section A Basic Info should automatically be generated upon user's registration (i.e. user should enter these basic info as part of registration)</t>
  </si>
  <si>
    <t>To ask at completed form submission. Select from 1 of the 5 GBCs in that DIT.</t>
  </si>
  <si>
    <t>DIT</t>
  </si>
  <si>
    <t>Financial Info Input Template</t>
  </si>
  <si>
    <t>User ID</t>
  </si>
  <si>
    <t>Elimination</t>
  </si>
  <si>
    <t>All expenses to be negative entries.</t>
  </si>
  <si>
    <t>Selling &amp; Marketing Expenses</t>
  </si>
  <si>
    <t>Ending</t>
  </si>
  <si>
    <t>Total Liabilities</t>
  </si>
  <si>
    <t>Total Liabilities &amp; Equity</t>
  </si>
  <si>
    <t>check</t>
  </si>
  <si>
    <t>Opening Cash</t>
  </si>
  <si>
    <t>Ending Cash</t>
  </si>
  <si>
    <t>%</t>
  </si>
  <si>
    <t>Notes to Users:</t>
  </si>
  <si>
    <t>Club DIT and DIT are mutually exclusive. I.e. The form can only be either DIT or Club DIT.</t>
  </si>
  <si>
    <t>To ask at form download request.</t>
  </si>
  <si>
    <t>Basic Info to be auto-generated based on entries at form download request interface.</t>
  </si>
  <si>
    <t>Please input in the grey cells only.</t>
  </si>
  <si>
    <t>(A) About the User</t>
  </si>
  <si>
    <t>(B) Analysis Period</t>
  </si>
  <si>
    <t>Form Download Request Date</t>
  </si>
  <si>
    <t>Gross Profit Margin</t>
  </si>
  <si>
    <t>Net Profit Margin</t>
  </si>
  <si>
    <t>EBITDA (Operating Cash Flow) Margin</t>
  </si>
  <si>
    <t>Current Ratio</t>
  </si>
  <si>
    <t>Interest Coverage Ratio</t>
  </si>
  <si>
    <t>Total Liabilities to Total Assets Ratio</t>
  </si>
  <si>
    <t>Cash Available for Debt Servicing (CADS)</t>
  </si>
  <si>
    <t>Gross Debt</t>
  </si>
  <si>
    <t>Use EBITDA/Interest Expense</t>
  </si>
  <si>
    <t>Gross Debt to Equity Ratio</t>
  </si>
  <si>
    <t>days</t>
  </si>
  <si>
    <t>Average Trade Receivables</t>
  </si>
  <si>
    <t>Average Inventory</t>
  </si>
  <si>
    <t>Average Trade Payables</t>
  </si>
  <si>
    <t>Working Capital</t>
  </si>
  <si>
    <t>Unless available, no average for same quarter 1 year ago and previous financial year -3.</t>
  </si>
  <si>
    <t>x</t>
  </si>
  <si>
    <t>To ask at form download request. If this is too tricky, let's fix all comparison currency to USD.</t>
  </si>
  <si>
    <t>Extrapolate quarter EBITDA.</t>
  </si>
  <si>
    <t>Typical Financial Size Metric</t>
  </si>
  <si>
    <t>Net Profit/(Loss)</t>
  </si>
  <si>
    <t>CELL Color Code in Operation &amp; Financial Input Templates</t>
  </si>
  <si>
    <t>Empty Cells</t>
  </si>
  <si>
    <t>input</t>
  </si>
  <si>
    <t>Input Cells - Negative Entry</t>
  </si>
  <si>
    <t>"Division" Formula Cells</t>
  </si>
  <si>
    <t>"Subtraction" Formula Cells</t>
  </si>
  <si>
    <t>"Reference" Cells</t>
  </si>
  <si>
    <t>Checking Cells</t>
  </si>
  <si>
    <t>FONT Color Code in Reporting Templates</t>
  </si>
  <si>
    <t>Entry</t>
  </si>
  <si>
    <t>Auto-generated based on chosen Comparison Currency</t>
  </si>
  <si>
    <t>Workings</t>
  </si>
  <si>
    <t>Formula Cells</t>
  </si>
  <si>
    <t>Reference</t>
  </si>
  <si>
    <t>Reference Cells from "Operation_Workings" and "Financial_Workings" Only.</t>
  </si>
  <si>
    <t>Feed</t>
  </si>
  <si>
    <t>Auto-generated based on GBC Reporting Currency vs Comparison Currency</t>
  </si>
  <si>
    <t>To be auto-generated by system.</t>
  </si>
  <si>
    <t>Work Flow</t>
  </si>
  <si>
    <t>Item No.</t>
  </si>
  <si>
    <t>A</t>
  </si>
  <si>
    <t>A.1</t>
  </si>
  <si>
    <t>A.1.1</t>
  </si>
  <si>
    <t>A.1.2</t>
  </si>
  <si>
    <t>A.2</t>
  </si>
  <si>
    <t>A.3</t>
  </si>
  <si>
    <t>A.3.1</t>
  </si>
  <si>
    <t>A.3.2</t>
  </si>
  <si>
    <t>A.4</t>
  </si>
  <si>
    <t>A.4.1</t>
  </si>
  <si>
    <t>A.4.2</t>
  </si>
  <si>
    <t>B</t>
  </si>
  <si>
    <t>B.1</t>
  </si>
  <si>
    <t>B.1.1</t>
  </si>
  <si>
    <t>B.1.3</t>
  </si>
  <si>
    <t>B.2</t>
  </si>
  <si>
    <t>B.2.1</t>
  </si>
  <si>
    <t>B.2.2</t>
  </si>
  <si>
    <t>C</t>
  </si>
  <si>
    <t>C.1</t>
  </si>
  <si>
    <t>C.1.1</t>
  </si>
  <si>
    <t>C.1.2</t>
  </si>
  <si>
    <t>C.1.3</t>
  </si>
  <si>
    <t>D</t>
  </si>
  <si>
    <t>D.1</t>
  </si>
  <si>
    <t>D.2</t>
  </si>
  <si>
    <t>E</t>
  </si>
  <si>
    <t>E.1</t>
  </si>
  <si>
    <t>E.2</t>
  </si>
  <si>
    <t>E.3</t>
  </si>
  <si>
    <t>Attributable to:</t>
  </si>
  <si>
    <t>Controlling Shareholders</t>
  </si>
  <si>
    <t>less: Export Taxes, Sales Tax</t>
  </si>
  <si>
    <t>B.3</t>
  </si>
  <si>
    <t>F</t>
  </si>
  <si>
    <t>G</t>
  </si>
  <si>
    <t>G.1</t>
  </si>
  <si>
    <t>G.2</t>
  </si>
  <si>
    <t>G.3</t>
  </si>
  <si>
    <t>G.4</t>
  </si>
  <si>
    <t>G.5</t>
  </si>
  <si>
    <t>G.6</t>
  </si>
  <si>
    <t>H</t>
  </si>
  <si>
    <t>I</t>
  </si>
  <si>
    <t>J</t>
  </si>
  <si>
    <t>K</t>
  </si>
  <si>
    <t>L</t>
  </si>
  <si>
    <t>L.1</t>
  </si>
  <si>
    <t>L.2</t>
  </si>
  <si>
    <t>Restricted Cash (Current)</t>
  </si>
  <si>
    <t>Prepaid Expenses &amp; Advances (Current)</t>
  </si>
  <si>
    <t>Deferred Expenses (Current)</t>
  </si>
  <si>
    <t>Current Financial Assets</t>
  </si>
  <si>
    <r>
      <t>Long-Term Financial Assets</t>
    </r>
    <r>
      <rPr>
        <strike/>
        <sz val="10"/>
        <rFont val="Calibri"/>
        <family val="2"/>
        <scheme val="minor"/>
      </rPr>
      <t/>
    </r>
  </si>
  <si>
    <t>Investment in Associated Companies/Joint Ventures</t>
  </si>
  <si>
    <t>Restricted Cash (Non-Current)</t>
  </si>
  <si>
    <t>Long-Term Receivables (Non-Trade)</t>
  </si>
  <si>
    <t>Prepaid Expenses &amp; Advances (Non-Current)</t>
  </si>
  <si>
    <t>Deferred Expenses (Non-Current)</t>
  </si>
  <si>
    <t>M</t>
  </si>
  <si>
    <t>M.1</t>
  </si>
  <si>
    <t>M.2</t>
  </si>
  <si>
    <t>M.3</t>
  </si>
  <si>
    <t>M.4</t>
  </si>
  <si>
    <t>M.5</t>
  </si>
  <si>
    <t>M.5.1</t>
  </si>
  <si>
    <t>M.5.2</t>
  </si>
  <si>
    <t>M.5.3</t>
  </si>
  <si>
    <t>M.5.4</t>
  </si>
  <si>
    <t>M.5.5</t>
  </si>
  <si>
    <t>M.5.6</t>
  </si>
  <si>
    <t>M.5.7</t>
  </si>
  <si>
    <t>O</t>
  </si>
  <si>
    <t>O.1</t>
  </si>
  <si>
    <t>O.2</t>
  </si>
  <si>
    <t>O.3</t>
  </si>
  <si>
    <t>O.4</t>
  </si>
  <si>
    <t>O.5</t>
  </si>
  <si>
    <t>O.6</t>
  </si>
  <si>
    <t>O.7</t>
  </si>
  <si>
    <t>O.7.1</t>
  </si>
  <si>
    <t>O.7.2</t>
  </si>
  <si>
    <t>O.7.3</t>
  </si>
  <si>
    <t>O.7.4</t>
  </si>
  <si>
    <t>O.7.5</t>
  </si>
  <si>
    <t>O.7.6</t>
  </si>
  <si>
    <t>P</t>
  </si>
  <si>
    <t>Q</t>
  </si>
  <si>
    <t>Current Liabilities</t>
  </si>
  <si>
    <t>Q.1</t>
  </si>
  <si>
    <t>Q.2</t>
  </si>
  <si>
    <t>Q.3</t>
  </si>
  <si>
    <t>Current Financial Liabilities</t>
  </si>
  <si>
    <t>Q.4</t>
  </si>
  <si>
    <t>Q.4.1</t>
  </si>
  <si>
    <t>Q.4.2</t>
  </si>
  <si>
    <t>Deferred Income Tax Liabilities (Current)</t>
  </si>
  <si>
    <t>Q.4.3</t>
  </si>
  <si>
    <t>Accrued Expenses (Current)</t>
  </si>
  <si>
    <t>Q.4.4</t>
  </si>
  <si>
    <t>Q.4.5</t>
  </si>
  <si>
    <t>Sales Advances (Current)</t>
  </si>
  <si>
    <t>Q.4.6</t>
  </si>
  <si>
    <t>R</t>
  </si>
  <si>
    <t>R.1</t>
  </si>
  <si>
    <t>R.2</t>
  </si>
  <si>
    <t>Long-Term Financial Liabilities</t>
  </si>
  <si>
    <t>R.3</t>
  </si>
  <si>
    <t>R.3.1</t>
  </si>
  <si>
    <t>R.3.2</t>
  </si>
  <si>
    <t>R.3.3</t>
  </si>
  <si>
    <t>R.3.4</t>
  </si>
  <si>
    <t>Sales Advances (Non-Current)</t>
  </si>
  <si>
    <t>R.3.5</t>
  </si>
  <si>
    <t>S</t>
  </si>
  <si>
    <t>T</t>
  </si>
  <si>
    <t>T.1</t>
  </si>
  <si>
    <t>T.2</t>
  </si>
  <si>
    <t>Non-Redeemable Preference Share</t>
  </si>
  <si>
    <t>T.3</t>
  </si>
  <si>
    <t>T.4</t>
  </si>
  <si>
    <t>Reserves</t>
  </si>
  <si>
    <t>T.5</t>
  </si>
  <si>
    <t>T.6</t>
  </si>
  <si>
    <t>U</t>
  </si>
  <si>
    <t>V</t>
  </si>
  <si>
    <t>V.1</t>
  </si>
  <si>
    <t>V.2</t>
  </si>
  <si>
    <t>V.3</t>
  </si>
  <si>
    <t>V.3.1</t>
  </si>
  <si>
    <t>V.3.2</t>
  </si>
  <si>
    <t>V.3.3</t>
  </si>
  <si>
    <t>V.3.4</t>
  </si>
  <si>
    <t>V.4</t>
  </si>
  <si>
    <t>V.4.1</t>
  </si>
  <si>
    <t>V.4.2</t>
  </si>
  <si>
    <t>Change in Other Current Assets</t>
  </si>
  <si>
    <t>Change in Other Non-Current Assets</t>
  </si>
  <si>
    <t>Change in Other Current Liabilities</t>
  </si>
  <si>
    <t>Change in Other Non-Current Liabilities</t>
  </si>
  <si>
    <t>Net Proceed/(Expenses) on Sale of Assets/Capex</t>
  </si>
  <si>
    <t>W</t>
  </si>
  <si>
    <t>W.1</t>
  </si>
  <si>
    <t>W.2</t>
  </si>
  <si>
    <t>Net Purchase/Sale of Investments</t>
  </si>
  <si>
    <t>W.3</t>
  </si>
  <si>
    <t>Net Investment/Divestment in Associates/ Joint Ventures</t>
  </si>
  <si>
    <t>X</t>
  </si>
  <si>
    <t>X.1</t>
  </si>
  <si>
    <t>Change in Share Capital</t>
  </si>
  <si>
    <t>X.2</t>
  </si>
  <si>
    <t>X.3</t>
  </si>
  <si>
    <t>Change in Borrowings</t>
  </si>
  <si>
    <t>Y</t>
  </si>
  <si>
    <t>Z</t>
  </si>
  <si>
    <t>AB</t>
  </si>
  <si>
    <t>Financial_Workings</t>
  </si>
  <si>
    <t>(not to be visible to Users)</t>
  </si>
  <si>
    <t>F.A</t>
  </si>
  <si>
    <t>F.A.1</t>
  </si>
  <si>
    <t>F.A.2</t>
  </si>
  <si>
    <t>F.A.3</t>
  </si>
  <si>
    <t>F.A.4</t>
  </si>
  <si>
    <t>F.A.5</t>
  </si>
  <si>
    <t>F.B</t>
  </si>
  <si>
    <t>Profitability Ratios Comparison</t>
  </si>
  <si>
    <t>F.B.1</t>
  </si>
  <si>
    <t>F.B.2</t>
  </si>
  <si>
    <t>F.B.3</t>
  </si>
  <si>
    <t>F.B.4</t>
  </si>
  <si>
    <t>F.B.5</t>
  </si>
  <si>
    <t>F.C</t>
  </si>
  <si>
    <t>Liquidity Ratios Comparison</t>
  </si>
  <si>
    <t>F.C.1</t>
  </si>
  <si>
    <t>F.C.2</t>
  </si>
  <si>
    <t>F.C.3</t>
  </si>
  <si>
    <t>F.C.4</t>
  </si>
  <si>
    <t>F.C.5</t>
  </si>
  <si>
    <t>F.C.6</t>
  </si>
  <si>
    <t>F.C.7</t>
  </si>
  <si>
    <t>F.C.8</t>
  </si>
  <si>
    <t>F.D</t>
  </si>
  <si>
    <t>Leveraging Ratios Comparison</t>
  </si>
  <si>
    <t>F.D.1</t>
  </si>
  <si>
    <t>F.D.2</t>
  </si>
  <si>
    <t>F.D.3</t>
  </si>
  <si>
    <t>F.D.4</t>
  </si>
  <si>
    <t>F.D.5</t>
  </si>
  <si>
    <t>F.D.6</t>
  </si>
  <si>
    <t>F.D.7</t>
  </si>
  <si>
    <t>F.D.8</t>
  </si>
  <si>
    <t>All data in Financial_Workings Template are from Financial_Input Only.</t>
  </si>
  <si>
    <t>Operation_Workings</t>
  </si>
  <si>
    <t>Retained Earnings/(Losses)</t>
  </si>
  <si>
    <t>Gross Profit/(Loss)</t>
  </si>
  <si>
    <t>Operating Profit/(Loss)</t>
  </si>
  <si>
    <t>Pretax Profit/(Loss)</t>
  </si>
  <si>
    <t>Profit/(Loss) from Continued Operations</t>
  </si>
  <si>
    <t>Profit/(Loss) from Discontinued Operations</t>
  </si>
  <si>
    <t>Net Profit/(Loss) for the Year</t>
  </si>
  <si>
    <t>Other Operating Income</t>
  </si>
  <si>
    <t>Tax Assets (Current)</t>
  </si>
  <si>
    <t>Tax Assets (Non-Current)</t>
  </si>
  <si>
    <t>Description</t>
  </si>
  <si>
    <t>Rule</t>
  </si>
  <si>
    <t>A1</t>
  </si>
  <si>
    <t>A2</t>
  </si>
  <si>
    <t>B1</t>
  </si>
  <si>
    <t>B2</t>
  </si>
  <si>
    <t>B3</t>
  </si>
  <si>
    <t>B4</t>
  </si>
  <si>
    <t>B5</t>
  </si>
  <si>
    <t>C1</t>
  </si>
  <si>
    <t>C2</t>
  </si>
  <si>
    <t>C3</t>
  </si>
  <si>
    <t>C4</t>
  </si>
  <si>
    <t>C5</t>
  </si>
  <si>
    <t>Financial_Checkpoints (FCP)</t>
  </si>
  <si>
    <t>FCP_A</t>
  </si>
  <si>
    <t>Ref Row</t>
  </si>
  <si>
    <t>reference</t>
  </si>
  <si>
    <t>FCP_B</t>
  </si>
  <si>
    <t>Input Template</t>
  </si>
  <si>
    <t>FCP_C</t>
  </si>
  <si>
    <t>FCP_D</t>
  </si>
  <si>
    <t>D1</t>
  </si>
  <si>
    <t>D2</t>
  </si>
  <si>
    <t>FCP_E</t>
  </si>
  <si>
    <t>E1</t>
  </si>
  <si>
    <t>E2</t>
  </si>
  <si>
    <t>E3</t>
  </si>
  <si>
    <t>E4</t>
  </si>
  <si>
    <t>E5</t>
  </si>
  <si>
    <t>E6</t>
  </si>
  <si>
    <t>E7</t>
  </si>
  <si>
    <t>E8</t>
  </si>
  <si>
    <t>Pass = 0</t>
  </si>
  <si>
    <t>Fail = 1</t>
  </si>
  <si>
    <t>Reference Items from Input Template</t>
  </si>
  <si>
    <t>A.1.3</t>
  </si>
  <si>
    <t>Sales Contribution</t>
  </si>
  <si>
    <t>Logic Check: To satisfy within a given threshold.</t>
  </si>
  <si>
    <t>Link Check: To ensure correct link from input template in workings.</t>
  </si>
  <si>
    <t>Formula Check: To ensure correct formula within workings.</t>
  </si>
  <si>
    <t>No. of Reporting Period in a Year</t>
  </si>
  <si>
    <t>B.1.2</t>
  </si>
  <si>
    <t>"Average" Formula Cells</t>
  </si>
  <si>
    <t>AA.1</t>
  </si>
  <si>
    <t>AA.2</t>
  </si>
  <si>
    <t>V.3.5</t>
  </si>
  <si>
    <t>Add: Changes in Other Non-Current Assets &amp; Liabilities</t>
  </si>
  <si>
    <t>Link: A1 = AB</t>
  </si>
  <si>
    <t>Formula: A2 = S + T</t>
  </si>
  <si>
    <t>Link: B1 = A</t>
  </si>
  <si>
    <t>Link &amp; Formula: B2 = H - G.2 + AA.1</t>
  </si>
  <si>
    <t>Link: B3 = L</t>
  </si>
  <si>
    <t>Link &amp; Formula: B4 = P - S</t>
  </si>
  <si>
    <t>Link &amp; Formula: B5 = M - Q</t>
  </si>
  <si>
    <t>Link &amp; Formula: C1 = C/A</t>
  </si>
  <si>
    <t>Formula: C2 = B2/A</t>
  </si>
  <si>
    <t>Link &amp; Formula: C1 = L/A</t>
  </si>
  <si>
    <t>D3</t>
  </si>
  <si>
    <t>Formula:
Qtr: D3 = -D8/B*365/4
Year: D3 = -D8/B*365</t>
  </si>
  <si>
    <t>D4</t>
  </si>
  <si>
    <t>Formula: D4 = D1+D2-D3</t>
  </si>
  <si>
    <t>D5</t>
  </si>
  <si>
    <t>Link &amp; Formula: D5 = M/Q</t>
  </si>
  <si>
    <t>D6</t>
  </si>
  <si>
    <t>For first period during "1st" input, it will be first period Trade Receivables</t>
  </si>
  <si>
    <t>D7</t>
  </si>
  <si>
    <t>For first period during "1st" input, it will be first period Inventory</t>
  </si>
  <si>
    <t>D8</t>
  </si>
  <si>
    <t>For first period during "1st" input, it will be first period Trade Payables</t>
  </si>
  <si>
    <t>Formula: E1 = E7/E8</t>
  </si>
  <si>
    <t>Link &amp; Formula: E2 = B2/G.2</t>
  </si>
  <si>
    <t>Formula:
Qtr: E3 = E6/B2*4
Year: E3 = E6/B2</t>
  </si>
  <si>
    <t>Link &amp; Formula: E4 = S/P</t>
  </si>
  <si>
    <t>Link &amp; Formula: E5 = E6/T</t>
  </si>
  <si>
    <t>Link &amp; Formula: E6 = Q.2 + R.1</t>
  </si>
  <si>
    <t>CADS = EBITDA - change in Working Capital – Taxes</t>
  </si>
  <si>
    <t>Debt Servicing Amount (Short-Term Borrowings &amp; Interest)</t>
  </si>
  <si>
    <t>Formula: B2 + G.2 + V.4</t>
  </si>
  <si>
    <t>Link &amp; Formula: 
Qtr: E8 = -G.2 + Q.2/4
Year: E8 = -G.2 + Q.2</t>
  </si>
  <si>
    <t>Use formula: EBIT/(Total Assets-Current Liabilities)</t>
  </si>
  <si>
    <t>Use formula: EBIT/Total Assets</t>
  </si>
  <si>
    <t>Link &amp; Formula: C4 = (H - G.1 - G.2)/(P - Q)</t>
  </si>
  <si>
    <t>Link &amp; Formula: C5 = (H - G.1 - G.2)/P</t>
  </si>
  <si>
    <t>Operating Expenses Breakdown</t>
  </si>
  <si>
    <t>B.3.1</t>
  </si>
  <si>
    <t>B.3.2</t>
  </si>
  <si>
    <t>B.1.5</t>
  </si>
  <si>
    <t>B.1.6</t>
  </si>
  <si>
    <t>R.3.6</t>
  </si>
  <si>
    <t>Accrued Expenses (Non-Current)</t>
  </si>
  <si>
    <t>(C) User Account Currency &amp; Televisory Report Currency</t>
  </si>
  <si>
    <t>User Account Currency</t>
  </si>
  <si>
    <t>Televisory Report Currency</t>
  </si>
  <si>
    <t>Applicable Latest Quarter for Comparison</t>
  </si>
  <si>
    <t>To ask at form download request. This is to appear in input template column J</t>
  </si>
  <si>
    <t>To ask at form download request. This is to appear for GBC and Peer's current quarter.</t>
  </si>
  <si>
    <t>BB.1</t>
  </si>
  <si>
    <t>Total Subordinated Debts</t>
  </si>
  <si>
    <t>Shareholder Loans</t>
  </si>
  <si>
    <t>Director Loans</t>
  </si>
  <si>
    <t>Other Subordinated Debts</t>
  </si>
  <si>
    <t>Common Financial Ratios Reviewed by Lenders</t>
  </si>
  <si>
    <t>F.E</t>
  </si>
  <si>
    <t>Risk Grading Ratios</t>
  </si>
  <si>
    <t>F.E.1</t>
  </si>
  <si>
    <t>NPAT before Extraordinary Item &amp; Minority Interest/Net Sales x 100%</t>
  </si>
  <si>
    <t>F.E.2</t>
  </si>
  <si>
    <t>Leverage = TNW/Debt Servicing Amount</t>
  </si>
  <si>
    <t>F.E.3</t>
  </si>
  <si>
    <t>Leverage = Total Liabilities/TNW</t>
  </si>
  <si>
    <t>F.E.4</t>
  </si>
  <si>
    <t>Cash Flow = CADS/Debt Servicing Amount</t>
  </si>
  <si>
    <t>CADS/(Interest Expense + Short Term Debt + Current Portion of Long Term Debt) x 100%</t>
  </si>
  <si>
    <t>F.E.5</t>
  </si>
  <si>
    <t>Sales/Total Assets x 100%</t>
  </si>
  <si>
    <t>F.E.6</t>
  </si>
  <si>
    <t>Activity = Net Sales Growth</t>
  </si>
  <si>
    <t>(Net Sales Period 2 - Net Sales Period 1)/Net Sales Period 1 x 100%</t>
  </si>
  <si>
    <t>F.E.7</t>
  </si>
  <si>
    <t>Liquidity = Liquid Assets/Adjusted Current Liabilities</t>
  </si>
  <si>
    <t>Liquid Assets = Cash &amp; Near Cash.  Adjusted Current Liabilities = Trade Payables +Short Term Debts + Current Portion of Long Term Debt + Tax Payable + Interest Payable</t>
  </si>
  <si>
    <t>F.E.8</t>
  </si>
  <si>
    <t>Size = Tangible Net Worth (TNW)</t>
  </si>
  <si>
    <t>Total Assets - Intangible Assets - Total Liabilities</t>
  </si>
  <si>
    <t>F.F</t>
  </si>
  <si>
    <t>Growth Ratios</t>
  </si>
  <si>
    <t>F.F.1</t>
  </si>
  <si>
    <t>Sales Growth</t>
  </si>
  <si>
    <t>For first time input, output for first period (quarter &amp; year) will not be available. In subsequent input, system should automatically generate them.</t>
  </si>
  <si>
    <t>F.F.2</t>
  </si>
  <si>
    <t xml:space="preserve">Net Income Growth </t>
  </si>
  <si>
    <t>F.F.3</t>
  </si>
  <si>
    <t>Total Assets Growth</t>
  </si>
  <si>
    <t>F.F.4</t>
  </si>
  <si>
    <t>Total Tangible Assets Growth</t>
  </si>
  <si>
    <t>F.G</t>
  </si>
  <si>
    <t>Performance Ratios</t>
  </si>
  <si>
    <t>F.G.1</t>
  </si>
  <si>
    <t>NPAT before Extraordinary Item &amp; Minority Interest/Total Assets x 100%</t>
  </si>
  <si>
    <t>F.G.2</t>
  </si>
  <si>
    <t>NPAT before Extraordinary Item &amp; Minority Interest/Tangible Assets x 100%</t>
  </si>
  <si>
    <t>F.H</t>
  </si>
  <si>
    <t>Coverage Ratio</t>
  </si>
  <si>
    <t>F.H.1</t>
  </si>
  <si>
    <t>Interest refers to Gross Interest Expenses and Short-Term Debt refers to all interest bearing debts, including bills payable.</t>
  </si>
  <si>
    <t>F.H.2</t>
  </si>
  <si>
    <t>EBIT/Interest Expenses</t>
  </si>
  <si>
    <t>F.H.3</t>
  </si>
  <si>
    <t>F.H.4</t>
  </si>
  <si>
    <t>EBITDA/Interest Expenses</t>
  </si>
  <si>
    <t>F.H.5</t>
  </si>
  <si>
    <t>F.H.6</t>
  </si>
  <si>
    <t>CADS/Interest Expenses</t>
  </si>
  <si>
    <t>F.I</t>
  </si>
  <si>
    <t>Liquidity Ratios</t>
  </si>
  <si>
    <t>F.I.1</t>
  </si>
  <si>
    <t>Working Capital = Current Assets - Current Liabilities</t>
  </si>
  <si>
    <t>F.I.2</t>
  </si>
  <si>
    <t>Quick Ratio</t>
  </si>
  <si>
    <t>F.I.3</t>
  </si>
  <si>
    <t>F.I.4</t>
  </si>
  <si>
    <t>Liquid Assets/Total Assets</t>
  </si>
  <si>
    <t>Liquid Assets = Cash + FD + Govt Securities + Marketable Securities</t>
  </si>
  <si>
    <t>F.I.5</t>
  </si>
  <si>
    <t>Liquid Assets/(ST Debt + Current Portion of LT Debt)</t>
  </si>
  <si>
    <t>F.I.6</t>
  </si>
  <si>
    <t>Liquid Assets/Total Current Assets</t>
  </si>
  <si>
    <t>F.I.7</t>
  </si>
  <si>
    <t>Liquid Assets/Adjusted Current Liabilities</t>
  </si>
  <si>
    <t>F.J</t>
  </si>
  <si>
    <t>Leverage Ratios</t>
  </si>
  <si>
    <t>F.J.1</t>
  </si>
  <si>
    <t>Total Liabilities/Tangible Net Worth</t>
  </si>
  <si>
    <t>F.J.2</t>
  </si>
  <si>
    <t>Total Senior Liabilities/(TNW + Subordinated Debt)</t>
  </si>
  <si>
    <t>(ST Borrowings + LT Borrowings - Subordinated Debt)/(TNW + Subordinated Debt)</t>
  </si>
  <si>
    <t>F.K</t>
  </si>
  <si>
    <t>Activity Ratios</t>
  </si>
  <si>
    <t>F.K.1</t>
  </si>
  <si>
    <t>F.K.2</t>
  </si>
  <si>
    <t>F.K.3</t>
  </si>
  <si>
    <t>F.K.4</t>
  </si>
  <si>
    <t>F.K.5</t>
  </si>
  <si>
    <t>F.K.6</t>
  </si>
  <si>
    <t>F.K.7</t>
  </si>
  <si>
    <t>COGS/Sales</t>
  </si>
  <si>
    <t>F.K.8</t>
  </si>
  <si>
    <t>Link &amp; Formula:
Qtr: D1 = D6/A*365/4
Year: D1 = D6/A*365</t>
  </si>
  <si>
    <t>Link &amp; Formula:
Qtr: D2 = -D7/B*365/4
Year: D2 = -D7/B*365</t>
  </si>
  <si>
    <t>Link &amp; Formula: D6 = Average(M.3 of current period, M.3 of prior period)</t>
  </si>
  <si>
    <t>Link &amp; Formula: D7 = Average(M.4 of current period, M.4 of prior period)</t>
  </si>
  <si>
    <t>Link &amp; Formula: D8 = Average(Q.1 of current period, Q.1 of prior period)</t>
  </si>
  <si>
    <t>FCP_F</t>
  </si>
  <si>
    <t>F1</t>
  </si>
  <si>
    <t>Link: F1 = C3</t>
  </si>
  <si>
    <t>F2</t>
  </si>
  <si>
    <t>Formula: Qtr: F2 = F8/(E8*4)
Year: F2 = F8/E8</t>
  </si>
  <si>
    <t>F3</t>
  </si>
  <si>
    <t>Link &amp; Formula: F3 = S/F8</t>
  </si>
  <si>
    <t>F4</t>
  </si>
  <si>
    <t>Link: F4 = I5</t>
  </si>
  <si>
    <t>F5</t>
  </si>
  <si>
    <t>Link &amp; Formula: A/P</t>
  </si>
  <si>
    <t>F6</t>
  </si>
  <si>
    <t>Link: F6 = G1</t>
  </si>
  <si>
    <t>F7</t>
  </si>
  <si>
    <t>Link: F7 = J7</t>
  </si>
  <si>
    <t>F8</t>
  </si>
  <si>
    <t>Link &amp; Formula: F8 = P - Q.2 - S</t>
  </si>
  <si>
    <t>FCP_G</t>
  </si>
  <si>
    <t>G1</t>
  </si>
  <si>
    <t>Link &amp; Formula: (A of current period - A of prior period)/A of prior period</t>
  </si>
  <si>
    <t>G2</t>
  </si>
  <si>
    <t>Link &amp; Formula: (L of current period - L of prior period)/L of prior period</t>
  </si>
  <si>
    <t>G3</t>
  </si>
  <si>
    <t>Link &amp; Formula: (P of current period - P of prior period)/P of prior period</t>
  </si>
  <si>
    <t>G4</t>
  </si>
  <si>
    <t>Link &amp; Formula: ((P-Q.2) of current period - (P-Q.2) of prior period)/(P - Q.2) of prior period</t>
  </si>
  <si>
    <t>FCP_H</t>
  </si>
  <si>
    <t>H1</t>
  </si>
  <si>
    <t>Link &amp; Formula: H1 = L/P</t>
  </si>
  <si>
    <t>H2</t>
  </si>
  <si>
    <t>Link &amp; Formula: H2 = L/F8</t>
  </si>
  <si>
    <t>FCP_I</t>
  </si>
  <si>
    <t>I1</t>
  </si>
  <si>
    <t>Link &amp; Formula: I1 = (H - G.2)/E8</t>
  </si>
  <si>
    <t>I2</t>
  </si>
  <si>
    <t>Link &amp; Formula: I2 = (H - G.2)/G.2</t>
  </si>
  <si>
    <t>I3</t>
  </si>
  <si>
    <t>Formula: I3 = B2/E8</t>
  </si>
  <si>
    <t>I4</t>
  </si>
  <si>
    <t>Formula: I4 = B2/G.2</t>
  </si>
  <si>
    <t>I5</t>
  </si>
  <si>
    <t>Formula: I5 = E7/E8</t>
  </si>
  <si>
    <t>I6</t>
  </si>
  <si>
    <t>Formula: I6 = E7/G.2</t>
  </si>
  <si>
    <t>FCP_J</t>
  </si>
  <si>
    <t>J1</t>
  </si>
  <si>
    <t>Link &amp; Formula: J1 = M - Q</t>
  </si>
  <si>
    <t>J2</t>
  </si>
  <si>
    <t>Link &amp; Formula: J2 = (M - M.4)/Q</t>
  </si>
  <si>
    <t>J3</t>
  </si>
  <si>
    <t>Link: J3 = D5</t>
  </si>
  <si>
    <t>J4</t>
  </si>
  <si>
    <t>Link &amp; Formula: J4 = M.1/P</t>
  </si>
  <si>
    <t>J5</t>
  </si>
  <si>
    <t>Link &amp; Formula: J5 = M.1/Q.2</t>
  </si>
  <si>
    <t>J6</t>
  </si>
  <si>
    <t>Link &amp; Formula: J6 = M.1/M</t>
  </si>
  <si>
    <t>J7</t>
  </si>
  <si>
    <t>Link &amp; Formula: J7 = M.1/(Q.1+Q.2+Q.4.2-G.2)</t>
  </si>
  <si>
    <t>FCP_K</t>
  </si>
  <si>
    <t>K1</t>
  </si>
  <si>
    <t>Link &amp; Formula: K1 = S/F8</t>
  </si>
  <si>
    <t>K2</t>
  </si>
  <si>
    <t>Link &amp; Formula: K2 = (Q.2 + R.1 - BB.1)/(BB.1 + F8)</t>
  </si>
  <si>
    <t>FCP_L</t>
  </si>
  <si>
    <t>L1</t>
  </si>
  <si>
    <t>Link: L1 = D1</t>
  </si>
  <si>
    <t>L2</t>
  </si>
  <si>
    <t>Link: L2 = D2</t>
  </si>
  <si>
    <t>L3</t>
  </si>
  <si>
    <t>Link: L3 = D3</t>
  </si>
  <si>
    <t>L4</t>
  </si>
  <si>
    <t>Link &amp; Formula: Qtr: L4 = M.4/(A*4)*365
Year: L4 = M.4/A*365</t>
  </si>
  <si>
    <t>L5</t>
  </si>
  <si>
    <t>Link &amp; Formula: Qtr: L5 = M.3/(A*4)*365
Year: L5 = M.3/A*365</t>
  </si>
  <si>
    <t>L6</t>
  </si>
  <si>
    <t>Link &amp; Formula: Qtr: L6 = M.3/(A*4)
Year: L6 = M.3/A</t>
  </si>
  <si>
    <t>L7</t>
  </si>
  <si>
    <t>Link &amp; Formula:L7 = B/A</t>
  </si>
  <si>
    <t>L8</t>
  </si>
  <si>
    <t>Link &amp; Formula: L8 = (E.1 + E.2)/A</t>
  </si>
  <si>
    <t>Company</t>
  </si>
  <si>
    <t>Chart Placement</t>
  </si>
  <si>
    <t>Chart Primary Title</t>
  </si>
  <si>
    <t>Sub-Sub-Section</t>
  </si>
  <si>
    <t>Chart Secondary Title (or Y-Axis)</t>
  </si>
  <si>
    <t>Benchmark Summary</t>
  </si>
  <si>
    <t>Title</t>
  </si>
  <si>
    <t>Quarterly Comparison</t>
  </si>
  <si>
    <t>A.5</t>
  </si>
  <si>
    <t>A.5.1</t>
  </si>
  <si>
    <t>A.5.2</t>
  </si>
  <si>
    <t>A.6</t>
  </si>
  <si>
    <t>A.6.1</t>
  </si>
  <si>
    <t>A.6.2</t>
  </si>
  <si>
    <t>A.7.1</t>
  </si>
  <si>
    <t>A.7.2</t>
  </si>
  <si>
    <t>A.8</t>
  </si>
  <si>
    <t>B.1.4</t>
  </si>
  <si>
    <t>C.2</t>
  </si>
  <si>
    <t>C.2.1</t>
  </si>
  <si>
    <t>C.2.2</t>
  </si>
  <si>
    <t>C.3</t>
  </si>
  <si>
    <t>C.3.1</t>
  </si>
  <si>
    <t>C.3.2</t>
  </si>
  <si>
    <t>C.3.3</t>
  </si>
  <si>
    <t>Revenue - Others</t>
  </si>
  <si>
    <t>Operating EBITDA after Adjustment</t>
  </si>
  <si>
    <t>Financial EBITDA after Adjustment</t>
  </si>
  <si>
    <t>Difference between Operating &amp; Financial EBITDA</t>
  </si>
  <si>
    <t>Adjustment for Non-DIT:</t>
  </si>
  <si>
    <t>Cross Input Templates Reconciliation Checks</t>
  </si>
  <si>
    <t>Template</t>
  </si>
  <si>
    <t>Total Operation EBITDA</t>
  </si>
  <si>
    <t>Total Financial EBITDA</t>
  </si>
  <si>
    <t>Upper Threshold Test</t>
  </si>
  <si>
    <t>Opex Difference Check</t>
  </si>
  <si>
    <t>Total Revenue (from Financial Input)</t>
  </si>
  <si>
    <t>Revenue Difference Check</t>
  </si>
  <si>
    <t>checks</t>
  </si>
  <si>
    <t>EBITDA RECONCILIATION</t>
  </si>
  <si>
    <t>REVENUE RECONCILIATION</t>
  </si>
  <si>
    <t>DIT Revenue</t>
  </si>
  <si>
    <t>Non-DIT Revenue</t>
  </si>
  <si>
    <t>Total Revenue from Financial Input Template</t>
  </si>
  <si>
    <t>Difference between Operating &amp; Financial Revenue</t>
  </si>
  <si>
    <t>OPERATING EXPENSES RECONCILIATION</t>
  </si>
  <si>
    <t>DIT Operating Expenses</t>
  </si>
  <si>
    <t>Non-DIT Operating Expenses</t>
  </si>
  <si>
    <t>From Operation Templates</t>
  </si>
  <si>
    <t>From Financial Templates</t>
  </si>
  <si>
    <t>Total Operating Expenses from Financial Input Template</t>
  </si>
  <si>
    <t>Total Revenue (from Operation Input)</t>
  </si>
  <si>
    <t>Chart Location No.</t>
  </si>
  <si>
    <t>Chart Type</t>
  </si>
  <si>
    <t>Bar</t>
  </si>
  <si>
    <t>Stack Bar</t>
  </si>
  <si>
    <t>AA</t>
  </si>
  <si>
    <t>Depreciation &amp; Dividend</t>
  </si>
  <si>
    <t>Financial Comparison Chart #1</t>
  </si>
  <si>
    <t>Financial Comparison Chart #2</t>
  </si>
  <si>
    <t>Financial Comparison Chart #3</t>
  </si>
  <si>
    <t>Financial Comparison Chart #4</t>
  </si>
  <si>
    <t>Financial Comparison Chart #5</t>
  </si>
  <si>
    <t>Financial Comparison Chart #6</t>
  </si>
  <si>
    <t>User Input</t>
  </si>
  <si>
    <t xml:space="preserve">Standard Input </t>
  </si>
  <si>
    <t>Value</t>
  </si>
  <si>
    <t>SOUOI</t>
  </si>
  <si>
    <t>EOUOI</t>
  </si>
  <si>
    <t>SOOI</t>
  </si>
  <si>
    <t>EOOI</t>
  </si>
  <si>
    <t>SOOCS</t>
  </si>
  <si>
    <t>EOOCS</t>
  </si>
  <si>
    <t>SOOWD</t>
  </si>
  <si>
    <t>EOOWD</t>
  </si>
  <si>
    <t>SOFI</t>
  </si>
  <si>
    <t>FCS1</t>
  </si>
  <si>
    <t>EOFI</t>
  </si>
  <si>
    <t>FCS2</t>
  </si>
  <si>
    <t>SOFWD</t>
  </si>
  <si>
    <t>EOFWD</t>
  </si>
  <si>
    <t>SOFCP</t>
  </si>
  <si>
    <t>EOFCP</t>
  </si>
  <si>
    <t>SOCCK</t>
  </si>
  <si>
    <t>EOCCK</t>
  </si>
  <si>
    <t>SORQ</t>
  </si>
  <si>
    <t>EORQ</t>
  </si>
  <si>
    <t>SORY</t>
  </si>
  <si>
    <t>EORY</t>
  </si>
  <si>
    <t>SOOCQ</t>
  </si>
  <si>
    <t>EOOCQ</t>
  </si>
  <si>
    <t>SOFCQ</t>
  </si>
  <si>
    <t>EOFCQ</t>
  </si>
  <si>
    <t>SOOCY</t>
  </si>
  <si>
    <t>EOOCY</t>
  </si>
  <si>
    <t>SOFCY</t>
  </si>
  <si>
    <t>EOFCY</t>
  </si>
  <si>
    <t>SOS</t>
  </si>
  <si>
    <t>EOS</t>
  </si>
  <si>
    <t>description</t>
  </si>
  <si>
    <t>code</t>
  </si>
  <si>
    <t>User_Operation_Input</t>
  </si>
  <si>
    <t xml:space="preserve">Start Of User_Opn_Input </t>
  </si>
  <si>
    <t>End Of User_Opn_Input</t>
  </si>
  <si>
    <t>Start Of  Opeartional Input</t>
  </si>
  <si>
    <t>End Of Operational Input</t>
  </si>
  <si>
    <t>Start Of Opeartional Working Details</t>
  </si>
  <si>
    <t>End Of Operational Working Detail</t>
  </si>
  <si>
    <t>Start Of Operational Checks</t>
  </si>
  <si>
    <t>End Of Operational Checks</t>
  </si>
  <si>
    <t>Start Of  Financial Input</t>
  </si>
  <si>
    <t>End Of Financial  Input</t>
  </si>
  <si>
    <t>Start Of  Financial Working Details</t>
  </si>
  <si>
    <t>End Of Financial  Working Detail</t>
  </si>
  <si>
    <t xml:space="preserve"> Financial  Checks-1</t>
  </si>
  <si>
    <t>Financial  Checks-2</t>
  </si>
  <si>
    <t>Start Of  Financial CkeckPoints</t>
  </si>
  <si>
    <t>End Of Financial  CheckPoints</t>
  </si>
  <si>
    <t>Reporting_Qtr</t>
  </si>
  <si>
    <t>Start Of Reporting Quarter</t>
  </si>
  <si>
    <t>End Of Reporting Quarter</t>
  </si>
  <si>
    <t>Reporting_Year</t>
  </si>
  <si>
    <t>Start Of Reporting Year</t>
  </si>
  <si>
    <t>End OF Reporting Year</t>
  </si>
  <si>
    <t>Chart_Qtr</t>
  </si>
  <si>
    <t>Start Of  Operational Chart Quarter</t>
  </si>
  <si>
    <t>End Of Operational Chart Quarter</t>
  </si>
  <si>
    <t>Start Of  Financial Chart Quarter</t>
  </si>
  <si>
    <t>End Of Financial Chart Quarter</t>
  </si>
  <si>
    <t>Chart_Year</t>
  </si>
  <si>
    <t>Start Of Operational Chart Year</t>
  </si>
  <si>
    <t>End Of Operaional Chart Year</t>
  </si>
  <si>
    <t>Start Of Financial Chart Year</t>
  </si>
  <si>
    <t>End Of Financial  Chart Year</t>
  </si>
  <si>
    <t>Summary</t>
  </si>
  <si>
    <t xml:space="preserve">Start Of Summary </t>
  </si>
  <si>
    <t>End Of Summary</t>
  </si>
  <si>
    <t>CrossCheck</t>
  </si>
  <si>
    <t>Start Of CrossCheck</t>
  </si>
  <si>
    <t xml:space="preserve">End Of CrossCheck </t>
  </si>
  <si>
    <t>Current Financial Year Ending</t>
  </si>
  <si>
    <t>INSTRUCTIONS FOR TELEVISORY TEAM</t>
  </si>
  <si>
    <t>Please enter full name of the company</t>
  </si>
  <si>
    <t>This must match the code in the DIT List</t>
  </si>
  <si>
    <t>This must match the description in the DIT List</t>
  </si>
  <si>
    <t>Use key operation area if not headquarter as reference point.</t>
  </si>
  <si>
    <t>Use key operation areas as reference point.</t>
  </si>
  <si>
    <t>Can be state in primary or secondary country.</t>
  </si>
  <si>
    <t>This must be either 2 or 4.</t>
  </si>
  <si>
    <t>This must be in word format.</t>
  </si>
  <si>
    <t>Date format must be DD-MMM-YY</t>
  </si>
  <si>
    <t>No entry required. It's a placeholder.</t>
  </si>
  <si>
    <t>This must be either in full name or in FX symbol and both must match that in the Televisory_FX Rates_ForConversion_Output file.</t>
  </si>
  <si>
    <t xml:space="preserve">Date format must be DD-MMM-YY. Choose the calendar quarter (Mar, Jun, Sep, Dec) that is closest to the company's current quarter ending. Eg. If company's current quarter ending is 31 Jan 2015, then the applicable quarter is 31 Dec 2014. If it's on 28 Feb 2015, the applicable quarter will be 31 Mar 2015. </t>
  </si>
  <si>
    <t>Please follow the color code shown here strictly to avoid confusing system developer.</t>
  </si>
  <si>
    <t>Default row. Do not alter.</t>
  </si>
  <si>
    <t>North America</t>
  </si>
  <si>
    <t>Latin America</t>
  </si>
  <si>
    <t>Asia Pacific</t>
  </si>
  <si>
    <t>Middle East &amp; Africa</t>
  </si>
  <si>
    <t>No action required. This is system developer's metadata requirement.</t>
  </si>
  <si>
    <t>A placeholder for user. For GBCs and listco, this must be USD as USD is the common currency used in the system.</t>
  </si>
  <si>
    <t>Sector Code</t>
  </si>
  <si>
    <t>Sector Description</t>
  </si>
  <si>
    <r>
      <t xml:space="preserve">This can be in millions, billions or thousands. </t>
    </r>
    <r>
      <rPr>
        <sz val="10"/>
        <color theme="9"/>
        <rFont val="Calibri"/>
        <family val="2"/>
        <scheme val="minor"/>
      </rPr>
      <t>This will apply to the reporting tabs currency unit as well.</t>
    </r>
  </si>
  <si>
    <t>A.4.3</t>
  </si>
  <si>
    <t>B.1.7</t>
  </si>
  <si>
    <t>Owned</t>
  </si>
  <si>
    <t>Leased</t>
  </si>
  <si>
    <t xml:space="preserve">Sustainability </t>
  </si>
  <si>
    <t xml:space="preserve">Europe </t>
  </si>
  <si>
    <t>Production Facilities by  Region</t>
  </si>
  <si>
    <t>A.9</t>
  </si>
  <si>
    <t>A.9.1</t>
  </si>
  <si>
    <t>A.9.2</t>
  </si>
  <si>
    <t>A.9.3</t>
  </si>
  <si>
    <t>Other  Operating Expense</t>
  </si>
  <si>
    <t>B.1.8</t>
  </si>
  <si>
    <t>B.4</t>
  </si>
  <si>
    <t>B.4.1</t>
  </si>
  <si>
    <t>B.4.2</t>
  </si>
  <si>
    <t>Sale Revenue - By Region</t>
  </si>
  <si>
    <t>C.3.4</t>
  </si>
  <si>
    <t>C.3.5</t>
  </si>
  <si>
    <t>C.4</t>
  </si>
  <si>
    <t>C.4.1</t>
  </si>
  <si>
    <t>C.4.2</t>
  </si>
  <si>
    <t>B.1.9</t>
  </si>
  <si>
    <t>CAPEX</t>
  </si>
  <si>
    <t>B.5</t>
  </si>
  <si>
    <t>Order Book</t>
  </si>
  <si>
    <t>B.5.1</t>
  </si>
  <si>
    <t>Fixed Assets By Region</t>
  </si>
  <si>
    <t>Research &amp; Development Expense</t>
  </si>
  <si>
    <t>A.9.4</t>
  </si>
  <si>
    <t>A.9.5</t>
  </si>
  <si>
    <t>B.5.2</t>
  </si>
  <si>
    <t>B.6</t>
  </si>
  <si>
    <t>B.6.1</t>
  </si>
  <si>
    <t>C.5</t>
  </si>
  <si>
    <t>C.5.1</t>
  </si>
  <si>
    <t>C.5.2</t>
  </si>
  <si>
    <t>EBITDA Margin</t>
  </si>
  <si>
    <t>USD Million</t>
  </si>
  <si>
    <t>Million</t>
  </si>
  <si>
    <t>SOUFI</t>
  </si>
  <si>
    <t>UFCS1</t>
  </si>
  <si>
    <t>EOUFI</t>
  </si>
  <si>
    <t>UFCS2</t>
  </si>
  <si>
    <t>Latest Reported Quarter</t>
  </si>
  <si>
    <t>Business Primary Location - Country</t>
  </si>
  <si>
    <t>Business Secondary Location - Country</t>
  </si>
  <si>
    <t>Business Primary Location - State</t>
  </si>
  <si>
    <t>Business Secondary Location - State</t>
  </si>
  <si>
    <t>User_Financial_Input</t>
  </si>
  <si>
    <t>Start Of User_Financial_Input</t>
  </si>
  <si>
    <t>End Of User Financial  Input</t>
  </si>
  <si>
    <t xml:space="preserve"> UserFinancial  Checks-1</t>
  </si>
  <si>
    <t>UserFinancial  Checks-2</t>
  </si>
  <si>
    <t>Financial_Standard</t>
  </si>
  <si>
    <t>Pension &amp; Post Retirement Liabilities (Current)</t>
  </si>
  <si>
    <t>Use (Average Trade Receivables/Sales)*365/4 to annualize for quarter</t>
  </si>
  <si>
    <t xml:space="preserve">Use (Average Inventory/COGS)*365/4 to annualize for quarter </t>
  </si>
  <si>
    <t>Use (Average Trade Payables/COGS)*365/4 to annualize for quarter</t>
  </si>
  <si>
    <t>Cash Conversion Cycle (Annualized)</t>
  </si>
  <si>
    <t>Divide quarterly short term borrowings by 4 to annualize.</t>
  </si>
  <si>
    <t>TNW/(Interest Expense + Short Term Debt + Current Portion of Long Term Debt) x 100%.  Multiply quarter Debt Servicing Amount by 4 to annualize.</t>
  </si>
  <si>
    <t>Total Liabilities/Tangible Net Worth x 100%</t>
  </si>
  <si>
    <t>(Current Assets - Inventory)/Current Liabilities</t>
  </si>
  <si>
    <t>Current Assets/Current Liabilities</t>
  </si>
  <si>
    <t>Adjusted Current Liabilities = Trade Payables +Short Term Debts + Current Portion of Long Term Debt + Tax Payable + Interest Payable</t>
  </si>
  <si>
    <t>Inventory/Sales x 365. Multiply quarter sales by 4 to annualize.</t>
  </si>
  <si>
    <t>Trade Receivable/Sales x 365. Multiply quarter sales by 4 to annualize.</t>
  </si>
  <si>
    <t>Multiply quarter sales by 4 to annualize.</t>
  </si>
  <si>
    <t>Always use if(is number()…) condition in your computation.</t>
  </si>
  <si>
    <t>Sheet Name</t>
  </si>
  <si>
    <t>row No</t>
  </si>
  <si>
    <t>Operation Profile</t>
  </si>
  <si>
    <t>User Account Currency &amp; Televisory Report Currency always need to be in FX Codes (In Upper Case)</t>
  </si>
  <si>
    <t>255 - 242 -204</t>
  </si>
  <si>
    <t>112 -173 -71</t>
  </si>
  <si>
    <t>68  -114 - 196</t>
  </si>
  <si>
    <t>237 - 125 - 49</t>
  </si>
  <si>
    <t>204 - 51 -153</t>
  </si>
  <si>
    <t>255 - 0 - 0</t>
  </si>
  <si>
    <t>255 - 255 - 0</t>
  </si>
  <si>
    <t>123 - 123 - 123</t>
  </si>
  <si>
    <t>(RGB CODE)</t>
  </si>
  <si>
    <t>Do not alter anything in this tab.</t>
  </si>
  <si>
    <r>
      <rPr>
        <sz val="10"/>
        <color theme="9"/>
        <rFont val="Calibri"/>
        <family val="2"/>
        <scheme val="minor"/>
      </rPr>
      <t>User_Financial_Input</t>
    </r>
    <r>
      <rPr>
        <sz val="10"/>
        <color rgb="FFFF0000"/>
        <rFont val="Calibri"/>
        <family val="2"/>
        <scheme val="minor"/>
      </rPr>
      <t xml:space="preserve"> template is common across all DITs.</t>
    </r>
  </si>
  <si>
    <t>Input Cells</t>
  </si>
  <si>
    <t>Leave blank cells as blank. System will treat these blanks as zero.</t>
  </si>
  <si>
    <t>All expense data and dividend paid must be negative entries.</t>
  </si>
  <si>
    <t>Please always refer to AutoConversion Dictionary on classification when in doubt.</t>
  </si>
  <si>
    <t>For companies with 2 reporting periods, please note the following for consistency</t>
  </si>
  <si>
    <t xml:space="preserve">Quarterly input in P&amp;L: split the half year results equally into 2 quarters. If current half year not completed, the current quarter results shall mirror that of previous quarter. If the full year figures are not out yet, 3Q shall mirror that of 2Q. Please state this under remark column. </t>
  </si>
  <si>
    <t>Please DO NOT make any reference to any External Link in cells.</t>
  </si>
  <si>
    <t>Metadata</t>
  </si>
  <si>
    <t>Ensure metadata SOUFI is at cell A13</t>
  </si>
  <si>
    <t>Ensure metadata EOUFI is at cell A166.</t>
  </si>
  <si>
    <t>Ensure metadata UFCS1 is at cell A131.</t>
  </si>
  <si>
    <t>Ensure metadata UFCS2 is at cell A167.</t>
  </si>
  <si>
    <t>Note, if current quarter is the last quarter of the financial year, there is no need to update the latest FY results as column O will reflect it.</t>
  </si>
  <si>
    <t>Sections</t>
  </si>
  <si>
    <t>There must be 3 main sections only.</t>
  </si>
  <si>
    <t>Section A: Operation Profile (or Production Profile) covering capacity, production volume, sales volume, staff strength and any other relevant parameters.</t>
  </si>
  <si>
    <t>Non-DIT revenue should either be referred to as "Non-Core" or "Non-D.I.T(D.I.T name) Revenue</t>
  </si>
  <si>
    <t>In Cases where Non-D.I.T revenue is substantial (i.e., &gt;15%), please also provide a breakdown of "Depreciation by Operating Segments".</t>
  </si>
  <si>
    <t>Unit Column D:</t>
  </si>
  <si>
    <t>Create the drop down Unit Options in 1 cell and link it to the rest of the relevant cells. Please make sure they are the same as given in the Unit_Map sheet.</t>
  </si>
  <si>
    <t>Note: Sometimes the "DATA VALIDATION" may not allow the user to select input options from another worksheet, in such cases please use the formula provided below and then change the cell numbers in order to match those of the "UNIT MAP"</t>
  </si>
  <si>
    <t>"=Unit_Map!$A$2:$A$4"</t>
  </si>
  <si>
    <t>Use acronyms that are commonly understood only if not spell the full words.</t>
  </si>
  <si>
    <r>
      <t xml:space="preserve">Currency unit should be the same as user account currency in BasicInfo tab </t>
    </r>
    <r>
      <rPr>
        <sz val="10"/>
        <color theme="9"/>
        <rFont val="Calibri"/>
        <family val="2"/>
        <scheme val="minor"/>
      </rPr>
      <t xml:space="preserve">and be XXX million or XXX 000 or XXX thousands format (eg. JPY Million, JPY 000, JPY thousands). </t>
    </r>
  </si>
  <si>
    <t>Using the Formula as highlighted in Red in column D will allow the developer to conform to the aforementioned point</t>
  </si>
  <si>
    <t>Currency reporting unit must be highlighted in red and referencing formula is consistent for all DITs.</t>
  </si>
  <si>
    <t>Region Breakdown</t>
  </si>
  <si>
    <t>Only use the following regions. You can bifurcate each of them but do not club them. In the event that region breakdown is not as relevant, then use domestic and international market.</t>
  </si>
  <si>
    <t>Europe</t>
  </si>
  <si>
    <t>Ensure the Unit_Map contains all units and corresponding conversion values in cells as given in dropdown in User_Operation_Input tab.</t>
  </si>
  <si>
    <r>
      <t>Standard Input units refer to units you want to show in Operation_</t>
    </r>
    <r>
      <rPr>
        <sz val="10"/>
        <color theme="9"/>
        <rFont val="Calibri"/>
        <family val="2"/>
        <scheme val="minor"/>
      </rPr>
      <t>Standard tab (previously Operation_Input tab).</t>
    </r>
  </si>
  <si>
    <t>Value should be reciprocal of standard input value as the conversion is through multiplication formula.</t>
  </si>
  <si>
    <t>Financial_Standard tab is common across all DITs. You should always copy both User_Financial_Input and Financial_Standard sheets together whether you create a new DITMT.</t>
  </si>
  <si>
    <t>All input cells must be linked to the corresponding cells in User_Financial_Input and multiply by reporting unit value "1" in the Unit Map tab. DO NOT use other reporting unit value as the common reporting unit in DITMT is in Million. The reporting units in Unit_Map are meant for system developer.</t>
  </si>
  <si>
    <t>All expense data and dividend paid must be negative entries and red in color.</t>
  </si>
  <si>
    <t>Ensure metadata SOFI is at cell A13</t>
  </si>
  <si>
    <t>Ensure metadata EOFI is at cell A166.</t>
  </si>
  <si>
    <t>Ensure metadata FCS1 is at cell A131.</t>
  </si>
  <si>
    <t>Ensure metadata FCS2 is at cell A167.</t>
  </si>
  <si>
    <t>Ensure metadata SOFWD is at cell A174.</t>
  </si>
  <si>
    <t>Ensure metadata EOFWD is at cell A258</t>
  </si>
  <si>
    <t>Ensure metadata SOFCP is at cell A271</t>
  </si>
  <si>
    <t>Ensure metadata EOFCP is at cell A392</t>
  </si>
  <si>
    <t>EBITDA Reconciliation is to reconcile the values in Operation and Financial tabs. Logic used must right.</t>
  </si>
  <si>
    <t>Scroll down for other instructions.</t>
  </si>
  <si>
    <t xml:space="preserve">Enter metadata SOCCK at column A where 1 EBITDA Reconciliation starts. </t>
  </si>
  <si>
    <t>NOTE: PLEASE ENSURE THAT THE IS NUMBER FORMULAS IN CROSS CHECKS ARE FOLLOWED.</t>
  </si>
  <si>
    <t>Pension &amp; Post Retirement Liabilities (Non-Current)</t>
  </si>
  <si>
    <t>NEVER ALTER Workings Section</t>
  </si>
  <si>
    <t>DO NOT USE N/A in reference formulas in the input cells.</t>
  </si>
  <si>
    <t xml:space="preserve">Do not alter anything in this tab. </t>
  </si>
  <si>
    <t>"Multiplication" Formula Cell</t>
  </si>
  <si>
    <t>0 - 176 - 240</t>
  </si>
  <si>
    <t>Reporting Currency Unit</t>
  </si>
  <si>
    <t>In order to avoid Threshold failures at any time, please ensure that the EBITDA reconciliation follows the format provided between rows 5 to 24.</t>
  </si>
  <si>
    <t>226 - 239 - 218</t>
  </si>
  <si>
    <t>Please incorporate  Unit Maps for Currency per Unit Parameter wherever applicable</t>
  </si>
  <si>
    <t>252-228-214</t>
  </si>
  <si>
    <t>Negative Rows</t>
  </si>
  <si>
    <t>NEG-RO</t>
  </si>
  <si>
    <t>NEG-RO-S</t>
  </si>
  <si>
    <t xml:space="preserve">Total Cash OPEX </t>
  </si>
  <si>
    <t>The currency unit map in yellow cells is compulsory. Formula and Location is standard across all DIT.</t>
  </si>
  <si>
    <t>Please ensure O11 is linked to J11 and date format is same</t>
  </si>
  <si>
    <r>
      <t xml:space="preserve">Default row. Please ensure cell J11 and N11 are linked correctly to BasicInfo tab C18 &amp; C19 respectively. Adjust the number of days in cell F9 to i9 (i.e. 90 or 91 or 92) to match company's quarters. </t>
    </r>
    <r>
      <rPr>
        <sz val="10"/>
        <color theme="9"/>
        <rFont val="Calibri"/>
        <family val="2"/>
        <scheme val="minor"/>
      </rPr>
      <t>Do not change the date format.</t>
    </r>
  </si>
  <si>
    <t xml:space="preserve">Default row. Please ensure cell F9 and O9 are linked correctly to User_Financial_Input F11 - O11 </t>
  </si>
  <si>
    <t xml:space="preserve">Default row. Please ensure cell F11 and O11 are linked correctly to User_Financial_Input F11 - O11 </t>
  </si>
  <si>
    <t xml:space="preserve"> Please ensure cell F4 and O4 are linked correctly to User_Financial_Input cells F11 - O11 </t>
  </si>
  <si>
    <t>Default link to BasicInfo tab. Should be Highlighted in Red</t>
  </si>
  <si>
    <t>Default reference formula. Compulsory. Should be highlighted in Red</t>
  </si>
  <si>
    <t>Please ensure the checks are linked to relevant cells in Row 19 &amp; 30 in the User_Financial_Input tab.</t>
  </si>
  <si>
    <t>Please ensure the check si linked to relevant cells in Row 13 in the User_Financial_Input tab.</t>
  </si>
  <si>
    <t>221-235-247</t>
  </si>
  <si>
    <t>Financial Input Header Cells [J10, J11, N10, N11]</t>
  </si>
  <si>
    <t>For +ve Entry (and -ve only in case of Asset &amp; Liability Figures)</t>
  </si>
  <si>
    <t>"Sum" Formula Cells across the Rows.</t>
  </si>
  <si>
    <t>"Sum" Formula Cells across the Columns.</t>
  </si>
  <si>
    <t>To ask at completed form submission. Select from 1 of the 5 key criteria (by country, state, production size, revenue, total asset size)</t>
  </si>
  <si>
    <t>Ensure metadata NEG-RO is used at cells A20, A21, A22, A31, A32, A33, A39 and A60</t>
  </si>
  <si>
    <t>In capital intensive DITs asset distribution among segments may be considered. Similarly, in relevant DITs parameters discussing capital deployment, raw material consumption, order books, etc. may also be included. Please note that in certain cases some of the information may need to be Derived.</t>
  </si>
  <si>
    <t>Ensure metadata NEG-RO-S is used at cells A20, A21, A22, A31, A32, A33, A39 and A60</t>
  </si>
  <si>
    <t>EBITDA Reconciliation:</t>
  </si>
  <si>
    <t>Enter metadata EOCCK at column A, last row of threshold test.</t>
  </si>
  <si>
    <t>Revenue Reconciliation is to reconcile the values in Operation and Financial Input tabs. Logic used must right.</t>
  </si>
  <si>
    <t>Operating Expenses Reconciliation is to reconcile the values in Operation and Financial Input tabs. Logic used must right.</t>
  </si>
  <si>
    <t>Employees by Region</t>
  </si>
  <si>
    <t>B.1.10</t>
  </si>
  <si>
    <t>"Drop Down"</t>
  </si>
  <si>
    <t>Output Cell Cash Flow</t>
  </si>
  <si>
    <t>Cash Flow Statement Output Template</t>
  </si>
  <si>
    <t>Other Operating Income Difference Check</t>
  </si>
  <si>
    <t>Other Operating Income (from Operation Input)</t>
  </si>
  <si>
    <t>Other Operating Income (from Financial Input)</t>
  </si>
  <si>
    <t>Other Non - DIT Operating Income</t>
  </si>
  <si>
    <t>Please ensure the check si linked to relevant cells in Row 26 in the User_Financial_Input tab.</t>
  </si>
  <si>
    <r>
      <t>Adjustment for</t>
    </r>
    <r>
      <rPr>
        <i/>
        <sz val="10"/>
        <color theme="1"/>
        <rFont val="Calibri"/>
        <family val="2"/>
        <scheme val="minor"/>
      </rPr>
      <t>Non-Operating Cash Flow:</t>
    </r>
  </si>
  <si>
    <t>Other Operating Income by Segment</t>
  </si>
  <si>
    <t>COGS + Other Operating Expense (from Financial Input)</t>
  </si>
  <si>
    <t>Other Non - DIT OPEX</t>
  </si>
  <si>
    <t>Industrial Machinery &amp; Engineering Sector</t>
  </si>
  <si>
    <t>Total employees</t>
  </si>
  <si>
    <t>Energy used</t>
  </si>
  <si>
    <t>Mwh</t>
  </si>
  <si>
    <t>Other Non - core expenses</t>
  </si>
  <si>
    <t>Growth CAPEX</t>
  </si>
  <si>
    <t>Maintenace CAPEX</t>
  </si>
  <si>
    <t>C.2.3</t>
  </si>
  <si>
    <t>C.3.6</t>
  </si>
  <si>
    <t>Sales by Trade</t>
  </si>
  <si>
    <t>Export</t>
  </si>
  <si>
    <t>Sales &amp; Marketing expenses</t>
  </si>
  <si>
    <t>Revenue by Segment</t>
  </si>
  <si>
    <t>Opening order book position</t>
  </si>
  <si>
    <t>New orders received during the period</t>
  </si>
  <si>
    <t>Closing order book position</t>
  </si>
  <si>
    <t>A.5.3</t>
  </si>
  <si>
    <t>Domestic</t>
  </si>
  <si>
    <t>B.7</t>
  </si>
  <si>
    <t>B.7.1</t>
  </si>
  <si>
    <t>B.7.2</t>
  </si>
  <si>
    <t>qtrly data in line with 2014</t>
  </si>
  <si>
    <t>qtrly employee data extrapolated from 2014</t>
  </si>
  <si>
    <t>Sales and service center for 2011 and 2012 in line with 2013</t>
  </si>
  <si>
    <t>The ratio is assumed in line with 2014 for previous years</t>
  </si>
  <si>
    <t>Sustainability metrics</t>
  </si>
  <si>
    <t>Capex by segment</t>
  </si>
  <si>
    <t>Depreciation by segment</t>
  </si>
  <si>
    <t>B.6.2</t>
  </si>
  <si>
    <t>O.A</t>
  </si>
  <si>
    <t>O.A.1</t>
  </si>
  <si>
    <t>O.A.1.1</t>
  </si>
  <si>
    <t>O.A.1.2</t>
  </si>
  <si>
    <t>O.A.1.3</t>
  </si>
  <si>
    <t>O.A.1.4</t>
  </si>
  <si>
    <t>O.A.2</t>
  </si>
  <si>
    <t>O.A.2.1</t>
  </si>
  <si>
    <t>O.A.2.2</t>
  </si>
  <si>
    <t>O.A.3</t>
  </si>
  <si>
    <t>O.A.3.1</t>
  </si>
  <si>
    <t>O.A.3.2</t>
  </si>
  <si>
    <t>O.A.4</t>
  </si>
  <si>
    <t>O.A.4.1</t>
  </si>
  <si>
    <t>O.A.4.2</t>
  </si>
  <si>
    <t>O.A.4.3</t>
  </si>
  <si>
    <t>O.A.5</t>
  </si>
  <si>
    <t>O.A.5.1</t>
  </si>
  <si>
    <t>O.A.5.2</t>
  </si>
  <si>
    <t>O.A.6</t>
  </si>
  <si>
    <t>O.A.6.1</t>
  </si>
  <si>
    <t>O.A.6.2</t>
  </si>
  <si>
    <t>O.A.6.3</t>
  </si>
  <si>
    <t>O.A.7</t>
  </si>
  <si>
    <t>O.A.7.2</t>
  </si>
  <si>
    <t>O.A.7.3</t>
  </si>
  <si>
    <t>O.A.8</t>
  </si>
  <si>
    <t>O.A.8.1</t>
  </si>
  <si>
    <t>O.A.8.2</t>
  </si>
  <si>
    <t>O.A.8.3</t>
  </si>
  <si>
    <t>O.A.9.1</t>
  </si>
  <si>
    <t>O.A.9.2</t>
  </si>
  <si>
    <t>Closing order book position-Original equipments</t>
  </si>
  <si>
    <t>New orders received during the period-original equipments</t>
  </si>
  <si>
    <t>Closing order book position-Aftersales serivce and components</t>
  </si>
  <si>
    <t>New order book position-Aftersales serivce and components</t>
  </si>
  <si>
    <t>O.B</t>
  </si>
  <si>
    <t>O.B.1.1</t>
  </si>
  <si>
    <t>O.B.1.2</t>
  </si>
  <si>
    <t>O.B.1.3</t>
  </si>
  <si>
    <t>O.B.1.4</t>
  </si>
  <si>
    <t>O.B.1.5</t>
  </si>
  <si>
    <t>O.B.1.6</t>
  </si>
  <si>
    <t>O.B.1.7</t>
  </si>
  <si>
    <t>O.B.1.8</t>
  </si>
  <si>
    <t>O.B.2</t>
  </si>
  <si>
    <t>O.B.2.1</t>
  </si>
  <si>
    <t>O.B.2.2</t>
  </si>
  <si>
    <t>O.B.2.3</t>
  </si>
  <si>
    <t>O.B.2.4</t>
  </si>
  <si>
    <t>O.B.2.5</t>
  </si>
  <si>
    <t>O.B.3.1</t>
  </si>
  <si>
    <t>O.B.3.2</t>
  </si>
  <si>
    <t>O.B.3</t>
  </si>
  <si>
    <t>O.B.4</t>
  </si>
  <si>
    <t>O.B.4.1</t>
  </si>
  <si>
    <t>O.B.4.2</t>
  </si>
  <si>
    <t>O.B.4.3</t>
  </si>
  <si>
    <t>O.C</t>
  </si>
  <si>
    <t>O.C.1</t>
  </si>
  <si>
    <t>O.C.2</t>
  </si>
  <si>
    <t>O.C.3</t>
  </si>
  <si>
    <t>O.C.4</t>
  </si>
  <si>
    <t>O.C.1.1</t>
  </si>
  <si>
    <t>O.C.1.2</t>
  </si>
  <si>
    <t>O.C.1.3</t>
  </si>
  <si>
    <t>O.C.2.1</t>
  </si>
  <si>
    <t>O.C.2.2</t>
  </si>
  <si>
    <t>O.C.2.3</t>
  </si>
  <si>
    <t>O.C.2.4</t>
  </si>
  <si>
    <t>O.C.3.1</t>
  </si>
  <si>
    <t>O.C.3.2</t>
  </si>
  <si>
    <t>O.C.3.3</t>
  </si>
  <si>
    <t>O.C.4.1</t>
  </si>
  <si>
    <t>O.C.4.2</t>
  </si>
  <si>
    <t>Total Revenue</t>
  </si>
  <si>
    <t>Third Party Manufacturer</t>
  </si>
  <si>
    <t>Others(Unclasiified)</t>
  </si>
  <si>
    <t>Total Research &amp; Development Facilities</t>
  </si>
  <si>
    <t>Residential</t>
  </si>
  <si>
    <t>Non Core</t>
  </si>
  <si>
    <t>Distribution Channel</t>
  </si>
  <si>
    <t>Distribution Profile</t>
  </si>
  <si>
    <t>Energy Consumption</t>
  </si>
  <si>
    <t>Green House Gas Emission</t>
  </si>
  <si>
    <t>Water Consumption</t>
  </si>
  <si>
    <t>Waste Produced</t>
  </si>
  <si>
    <t>Others(Unclassified</t>
  </si>
  <si>
    <t>Sales Revenue by End User</t>
  </si>
  <si>
    <t>After Sales Services</t>
  </si>
  <si>
    <t>Other Non -Core Revenue</t>
  </si>
  <si>
    <t>Core</t>
  </si>
  <si>
    <t>Distributors</t>
  </si>
  <si>
    <t>Retail Stores</t>
  </si>
  <si>
    <t>Cost of Sales</t>
  </si>
  <si>
    <t>Total Capital Employed</t>
  </si>
  <si>
    <t>Capital Employed Profile</t>
  </si>
  <si>
    <t>Capital Employed by Segment</t>
  </si>
  <si>
    <t>Climate Control Equipment &amp; System</t>
  </si>
  <si>
    <t>A.8.1</t>
  </si>
  <si>
    <t>A.8.2</t>
  </si>
  <si>
    <t>Cost Of Sales Breakdown</t>
  </si>
  <si>
    <t>Cost Of Raw Material Consumed</t>
  </si>
  <si>
    <t>Labour Cost</t>
  </si>
  <si>
    <t>B.2.3</t>
  </si>
  <si>
    <t>B.2.4</t>
  </si>
  <si>
    <t>Lennox International Inc.</t>
  </si>
  <si>
    <t>United States</t>
  </si>
  <si>
    <t>Multiple</t>
  </si>
  <si>
    <t>Texas</t>
  </si>
  <si>
    <t>December</t>
  </si>
  <si>
    <t>A.7</t>
  </si>
  <si>
    <t>Non-Core</t>
  </si>
  <si>
    <t>Other(Unclassified)</t>
  </si>
  <si>
    <t>Rent Expenses</t>
  </si>
  <si>
    <t>Personnel Expenses</t>
  </si>
  <si>
    <t>Cash OPEX by End User</t>
  </si>
  <si>
    <t>B.4.3</t>
  </si>
  <si>
    <t>B.3.3</t>
  </si>
  <si>
    <t>B.6.3</t>
  </si>
  <si>
    <t>Others(Iunclassified)</t>
  </si>
  <si>
    <t>Production Facilities Profile</t>
  </si>
  <si>
    <t>Total Production Facilities</t>
  </si>
  <si>
    <t>Production Facilities by Ownership</t>
  </si>
  <si>
    <t>Product Range Profile</t>
  </si>
  <si>
    <t>Climate Control Systems</t>
  </si>
  <si>
    <t>Refrigerators</t>
  </si>
  <si>
    <t>Employees Profile</t>
  </si>
  <si>
    <t>Employees by Function</t>
  </si>
  <si>
    <t>Sales &amp; Marketing</t>
  </si>
  <si>
    <t>Production</t>
  </si>
  <si>
    <t>Administrative</t>
  </si>
  <si>
    <t>Commercial &amp; Industrial</t>
  </si>
  <si>
    <t>Distribution Centres &amp; Sales Office</t>
  </si>
  <si>
    <t>Flurocarbon/Chemicals,Refrigerants Consumption</t>
  </si>
  <si>
    <t>Cash OPEX - Climate Control Equipment &amp; System</t>
  </si>
  <si>
    <t>A.1.2.1</t>
  </si>
  <si>
    <t>A.1.2.2</t>
  </si>
  <si>
    <t>A.1.2.3</t>
  </si>
  <si>
    <t>A.1.3.1</t>
  </si>
  <si>
    <t>A.1.3.2</t>
  </si>
  <si>
    <t>A.1.3.3</t>
  </si>
  <si>
    <t>A.1.3.4</t>
  </si>
  <si>
    <t>A.1.3.5</t>
  </si>
  <si>
    <t>A.1.3.6</t>
  </si>
  <si>
    <t>A.5.2.1</t>
  </si>
  <si>
    <t>A.5.2.2</t>
  </si>
  <si>
    <t>A.5.2.3</t>
  </si>
  <si>
    <t>A.5.2.4</t>
  </si>
  <si>
    <t>A.5.2.5</t>
  </si>
  <si>
    <t>A.5.2.6</t>
  </si>
  <si>
    <t>A.5.3.1</t>
  </si>
  <si>
    <t>A.5.3.2</t>
  </si>
  <si>
    <t>A.5.3.3</t>
  </si>
  <si>
    <t>A.5.3.4</t>
  </si>
  <si>
    <t>A.7.1.1</t>
  </si>
  <si>
    <t>A.7.1.2</t>
  </si>
  <si>
    <t>A.7.2.1</t>
  </si>
  <si>
    <t>A.7.2.2</t>
  </si>
  <si>
    <t>A.7.2.3</t>
  </si>
  <si>
    <t>A.8.2.1</t>
  </si>
  <si>
    <t>A.8.2.2</t>
  </si>
  <si>
    <t>A.8.2.3</t>
  </si>
  <si>
    <t>Fixed Asset Profile</t>
  </si>
  <si>
    <t>Fixed Assets Breakdown</t>
  </si>
  <si>
    <t>Land &amp; Buildings</t>
  </si>
  <si>
    <t>Plant &amp; Machinery</t>
  </si>
  <si>
    <t>Other Fixed Asset</t>
  </si>
  <si>
    <t>A.6.2.1</t>
  </si>
  <si>
    <t>A.6.2.2</t>
  </si>
  <si>
    <t>A.6.2.3</t>
  </si>
  <si>
    <t>A.6.1.4</t>
  </si>
  <si>
    <t>A.6.1.5</t>
  </si>
  <si>
    <t>A.6.1.6</t>
  </si>
  <si>
    <t>O.A.6.4</t>
  </si>
  <si>
    <t>O.A.6.5</t>
  </si>
  <si>
    <t>O.A.7.4</t>
  </si>
  <si>
    <t>O.A.8.4</t>
  </si>
  <si>
    <t>O.A.8.5</t>
  </si>
  <si>
    <t>Other Direct Manufacturing Cost</t>
  </si>
  <si>
    <t>After Sales Services &amp; Components</t>
  </si>
  <si>
    <t>O.C.2.5</t>
  </si>
  <si>
    <t>O.C.2.6</t>
  </si>
  <si>
    <t>Minimum Product Capacity</t>
  </si>
  <si>
    <t>Maximum Product Capacity</t>
  </si>
  <si>
    <t>A.3.1.1</t>
  </si>
  <si>
    <t>A.3.1.2</t>
  </si>
  <si>
    <t>Other Dealers</t>
  </si>
  <si>
    <t>Total Fixed Assets</t>
  </si>
  <si>
    <t>A.6.3</t>
  </si>
  <si>
    <t>A.6.3.1</t>
  </si>
  <si>
    <t>A.6.3.2</t>
  </si>
  <si>
    <t>A.6.3.3</t>
  </si>
  <si>
    <t>Intellectual Property</t>
  </si>
  <si>
    <t>Patent</t>
  </si>
  <si>
    <t>Trademark</t>
  </si>
  <si>
    <t>Energy</t>
  </si>
  <si>
    <t>Third Party Services</t>
  </si>
  <si>
    <t>Depreciation</t>
  </si>
  <si>
    <t>B.2.5</t>
  </si>
  <si>
    <t>B.2.6</t>
  </si>
  <si>
    <t>Other Non Cash Expenses</t>
  </si>
  <si>
    <t>Cash  OPEX - Other Non Core</t>
  </si>
  <si>
    <t>Revenue per Employee</t>
  </si>
  <si>
    <t>Total No. of Employee</t>
  </si>
  <si>
    <t>Cash Opex per Employee</t>
  </si>
  <si>
    <t>Net Fixed Assets</t>
  </si>
  <si>
    <t>Operating Cost Comparison</t>
  </si>
  <si>
    <t>Sales &amp; Margins Comparison</t>
  </si>
  <si>
    <t>Operation Yield Comparison</t>
  </si>
  <si>
    <t>Tot. Prod. Facl.</t>
  </si>
  <si>
    <t>South America</t>
  </si>
  <si>
    <t>Employee Profile</t>
  </si>
  <si>
    <t>Energy Cost</t>
  </si>
  <si>
    <t>Revenue by End User</t>
  </si>
  <si>
    <t>Net F.A.</t>
  </si>
  <si>
    <t>Accumulated Depreciation</t>
  </si>
  <si>
    <t>Gross F.A.</t>
  </si>
  <si>
    <t>O.A.9</t>
  </si>
  <si>
    <t>Return on Capital Employed (Annualized)</t>
  </si>
  <si>
    <t>Return on Total Assets (Annualized)</t>
  </si>
  <si>
    <t>Trade Receivable Turnover Period (Annualized)</t>
  </si>
  <si>
    <t>Inventory Turnover Period (Annualized)</t>
  </si>
  <si>
    <t>Trade Payables Turnover Period (Annualized)</t>
  </si>
  <si>
    <t>Debt Service Coverage Ratio (DSCR) (Annualized)</t>
  </si>
  <si>
    <t>Gross Debt to EBITDA (Annualized)</t>
  </si>
  <si>
    <t>Activity = Sales/Total Assets (Annualized)</t>
  </si>
  <si>
    <t>Return on Assets = Net Profit/Total Assets (Annualized)</t>
  </si>
  <si>
    <t>EBIT/Debt Servicing Amount (Annualized)</t>
  </si>
  <si>
    <t>EBITDA/Debt Servicing Amount (Annualized)</t>
  </si>
  <si>
    <t>CADS/Debt Servicing Amount (Annualized)</t>
  </si>
  <si>
    <t>Inventory Turnover Period over Sales (Annualized)</t>
  </si>
  <si>
    <t>Trade Payables Turnover Period over Sales (Annualized)</t>
  </si>
  <si>
    <t>Trade Receivable/Sales (Annualized)</t>
  </si>
  <si>
    <t>O.B.4.4</t>
  </si>
  <si>
    <t>Other Non Cash Operating Expense</t>
  </si>
  <si>
    <t>Depreciation_Operation_Standard</t>
  </si>
  <si>
    <t>Total Revenue from Operation_Standard Template</t>
  </si>
  <si>
    <t>Total Operating Expenses from Operation_Standard Template</t>
  </si>
  <si>
    <t>Operation_Standard</t>
  </si>
  <si>
    <t>Always add an additional row that link directly to the Operation_Standard Revenue. This is to counter any unavailability of data.</t>
  </si>
  <si>
    <t>Product Range Profile-Air Conditioning System</t>
  </si>
  <si>
    <t>Ton</t>
  </si>
  <si>
    <t>RCU</t>
  </si>
  <si>
    <t>A.8.3</t>
  </si>
  <si>
    <t>Lb</t>
  </si>
  <si>
    <t>Mt</t>
  </si>
  <si>
    <t>Kg</t>
  </si>
  <si>
    <t>Sh. Tn</t>
  </si>
  <si>
    <t>kWh</t>
  </si>
  <si>
    <t>GJ</t>
  </si>
  <si>
    <t>MWh</t>
  </si>
  <si>
    <t>KJ</t>
  </si>
  <si>
    <t>MJ</t>
  </si>
  <si>
    <t>TJ</t>
  </si>
  <si>
    <t>Sustainability Metrics</t>
  </si>
  <si>
    <t>Research &amp; Development Expenses</t>
  </si>
  <si>
    <t>International</t>
  </si>
  <si>
    <t>RCU-S</t>
  </si>
  <si>
    <t>Peer or GBC</t>
  </si>
  <si>
    <t>Current Quarter</t>
  </si>
  <si>
    <t>Difference</t>
  </si>
  <si>
    <t>Peer or GBC data are assumed to be generated from BO. For Basic, apply GBC. For Premium, apply Peer. Blue shaded section will not appear in the DITMT.</t>
  </si>
  <si>
    <t>Show the difference on the EBITDA bridge chart</t>
  </si>
  <si>
    <t>EBITDA Bridge - YoY Comparison</t>
  </si>
  <si>
    <t>Previous Quarter - 3</t>
  </si>
  <si>
    <t>General &amp; Administrative Exp.</t>
  </si>
  <si>
    <t>O.C.1.4</t>
  </si>
  <si>
    <t>O.C.1.5</t>
  </si>
  <si>
    <t xml:space="preserve">% Europe </t>
  </si>
  <si>
    <t>% Asia Pacific</t>
  </si>
  <si>
    <t>% North America</t>
  </si>
  <si>
    <t>% South America</t>
  </si>
  <si>
    <t>% Middle East &amp; Africa</t>
  </si>
  <si>
    <t>Min. Cap.-Air Conditioning System</t>
  </si>
  <si>
    <t>Max. Cap.-Air Conditioning System</t>
  </si>
  <si>
    <t>Tot. Empl.</t>
  </si>
  <si>
    <t>O.A.7.1</t>
  </si>
  <si>
    <t>% Commercial &amp; Industrial</t>
  </si>
  <si>
    <t>% Residential</t>
  </si>
  <si>
    <t>% Other(Unclassified)</t>
  </si>
  <si>
    <t>Count</t>
  </si>
  <si>
    <t>Tot. Distribution Channels</t>
  </si>
  <si>
    <t>% Retail Stores</t>
  </si>
  <si>
    <t>O.B.1</t>
  </si>
  <si>
    <t>% Labour Cost</t>
  </si>
  <si>
    <t>% Energy Cost</t>
  </si>
  <si>
    <t>% Third Party Services</t>
  </si>
  <si>
    <t>% Other Direct Manufacturing Cost</t>
  </si>
  <si>
    <t>O.C.1.6</t>
  </si>
  <si>
    <t>USD 000</t>
  </si>
  <si>
    <t>Empl.</t>
  </si>
  <si>
    <t>Air-conditioning, Freezing &amp; Heating Equipment Manufacturing</t>
  </si>
  <si>
    <t>O.B.1.9</t>
  </si>
  <si>
    <t>O.B.1.10</t>
  </si>
  <si>
    <t>O.C.5</t>
  </si>
  <si>
    <t>O.C.5.1</t>
  </si>
  <si>
    <t>O.C.5.2</t>
  </si>
  <si>
    <t>O.C.5.3</t>
  </si>
  <si>
    <t>SOQC</t>
  </si>
  <si>
    <t>EOQC</t>
  </si>
  <si>
    <t>SOYC</t>
  </si>
  <si>
    <t>EOYC</t>
  </si>
  <si>
    <t>Order Book Profile</t>
  </si>
  <si>
    <t>Book to Bill Ratio</t>
  </si>
  <si>
    <t>Gross Fixed Assets</t>
  </si>
  <si>
    <t>% Production</t>
  </si>
  <si>
    <t>% Administrative</t>
  </si>
  <si>
    <t>% Owned</t>
  </si>
  <si>
    <t>% Leased</t>
  </si>
  <si>
    <t>% International</t>
  </si>
  <si>
    <t>% Domestic</t>
  </si>
  <si>
    <t>Unit D Reporting Currency Unit</t>
  </si>
  <si>
    <t>Start of Quarter Comparision</t>
  </si>
  <si>
    <t>End of Quarter Comparision</t>
  </si>
  <si>
    <t>Start of Year Comparision</t>
  </si>
  <si>
    <t>End of Year Comparision</t>
  </si>
  <si>
    <t>Total Distribution Channels</t>
  </si>
  <si>
    <t>EBQH</t>
  </si>
  <si>
    <t>EBYH</t>
  </si>
  <si>
    <t>EBITDA Bridge - Comparison to Peer (% of Revenue)</t>
  </si>
  <si>
    <t>Other Operating Revenue</t>
  </si>
  <si>
    <t>OPEX (from Operation Input)</t>
  </si>
  <si>
    <t>EBITDA (Operating &amp; Non-Operating Cashflow)</t>
  </si>
  <si>
    <t>Return on Tangible Equity = Net Profit/TNW (Annualized)</t>
  </si>
  <si>
    <t>SG&amp;A/Sales</t>
  </si>
  <si>
    <t>COGS + Other Operating Expense (from Financial Standard)</t>
  </si>
  <si>
    <t>OPEX (from Operation Standard)</t>
  </si>
  <si>
    <t>Total Revenue (from Financial Standard)</t>
  </si>
  <si>
    <t>Total Revenue (from Operation Standard)</t>
  </si>
  <si>
    <t>Other Operating Income (from Financial Standard)</t>
  </si>
  <si>
    <t>Other Operating Income (from Operation Standard)</t>
  </si>
  <si>
    <t>BB</t>
  </si>
  <si>
    <t>BB.2</t>
  </si>
  <si>
    <t>BB.3</t>
  </si>
  <si>
    <t>Televisory Standard Unit</t>
  </si>
  <si>
    <t>Opening Order Book Position</t>
  </si>
  <si>
    <t>New Orders Received during the Period</t>
  </si>
  <si>
    <t>Closing Order Book Position</t>
  </si>
  <si>
    <t>Asset Profile</t>
  </si>
  <si>
    <t>Distribution Channel by Type</t>
  </si>
  <si>
    <t>A.7.3</t>
  </si>
  <si>
    <t>A.7.3.1</t>
  </si>
  <si>
    <t>A.7.3.2</t>
  </si>
  <si>
    <t>A.7.3.3</t>
  </si>
  <si>
    <t>Green House Gas Emission (CO2e)</t>
  </si>
  <si>
    <t>Cost of Sales (Excl. D&amp;A)</t>
  </si>
  <si>
    <t>Other Cash Operating Expenses</t>
  </si>
  <si>
    <t>Depreciation &amp; Amortization Expenses</t>
  </si>
  <si>
    <t>Other Non Cash Operating Expenses</t>
  </si>
  <si>
    <t>Other Non - AC, Freezing &amp; Heating Eqpt. Mfg.</t>
  </si>
  <si>
    <t>CAPEX Profile</t>
  </si>
  <si>
    <t>Total CAPEX</t>
  </si>
  <si>
    <t>CAPEX by Type</t>
  </si>
  <si>
    <t>Total Employee Expenses</t>
  </si>
  <si>
    <t>B.4.2.1</t>
  </si>
  <si>
    <t>B.4.2.2</t>
  </si>
  <si>
    <t>B.4.2.3</t>
  </si>
  <si>
    <t>B.4.2.4</t>
  </si>
  <si>
    <t>Addition to P,P&amp;E</t>
  </si>
  <si>
    <t>Addition to Intangibles</t>
  </si>
  <si>
    <t>Acquisition of Business</t>
  </si>
  <si>
    <t>Other Non - AC, Freezing &amp; Heating Eqpt. Mfg. Expenses</t>
  </si>
  <si>
    <t>AC, Freezing &amp; Heating Eqpt. Mfg.</t>
  </si>
  <si>
    <t>Revenue Profile</t>
  </si>
  <si>
    <t>Original Equipment Sales</t>
  </si>
  <si>
    <t>C.1.3.1</t>
  </si>
  <si>
    <t>C.1.3.2</t>
  </si>
  <si>
    <t>Revenue by Region</t>
  </si>
  <si>
    <t>Revenue by Trade</t>
  </si>
  <si>
    <t>Other Operating Income (OOI) by Segment</t>
  </si>
  <si>
    <t>O.A.1.5</t>
  </si>
  <si>
    <t>Total R &amp; D Facl.</t>
  </si>
  <si>
    <t>Bill to Book Ratio</t>
  </si>
  <si>
    <t>O.A.5.3</t>
  </si>
  <si>
    <t>% Sales &amp; Marketing</t>
  </si>
  <si>
    <t>Empl. Productivity (M.V.A / Empl.)</t>
  </si>
  <si>
    <t>M.V.A to Rev.</t>
  </si>
  <si>
    <t>Empl. Cost Competitiveness</t>
  </si>
  <si>
    <t>Tot. OPEX</t>
  </si>
  <si>
    <t>Tot. Cash OPEX</t>
  </si>
  <si>
    <t>Selling &amp; Marketing Exp.</t>
  </si>
  <si>
    <t>Rental Exp.</t>
  </si>
  <si>
    <t>Other Cash OPEX</t>
  </si>
  <si>
    <t>Other Non Cash OPEX</t>
  </si>
  <si>
    <t>% of Cash OPEX</t>
  </si>
  <si>
    <t>% of OPEX</t>
  </si>
  <si>
    <t>% Addition to P,P&amp;E</t>
  </si>
  <si>
    <t>% Addition to Intangibles</t>
  </si>
  <si>
    <t>% Acquisition of Business</t>
  </si>
  <si>
    <t>Tot. CAPEX</t>
  </si>
  <si>
    <t>Cost of Sales Breakdown</t>
  </si>
  <si>
    <t>% Cost of R.M. Consumed</t>
  </si>
  <si>
    <t>Net F.A / Empl.</t>
  </si>
  <si>
    <t>Rev. / Net F.A. (Annualized)</t>
  </si>
  <si>
    <t>EBITDA / Gross F.A. (Annualized)</t>
  </si>
  <si>
    <t>M.V.A / Net F.A. (Annualized)</t>
  </si>
  <si>
    <t>OPEX as % of Rev.</t>
  </si>
  <si>
    <t>Tot. Rev.</t>
  </si>
  <si>
    <t>OOI- AC, Freezing &amp; Heating Eqpt. Mfg.</t>
  </si>
  <si>
    <t>EBITDA Comparison</t>
  </si>
  <si>
    <t>Avg. Rev. / Dist. Channel</t>
  </si>
  <si>
    <t>Avg. Rev. / Empl.</t>
  </si>
  <si>
    <t>Tot. EBITDA</t>
  </si>
  <si>
    <t>Avg. EBITDA / Dist. Channel</t>
  </si>
  <si>
    <t>Avg. EBITDA / Empl.</t>
  </si>
  <si>
    <t>O.C.5.4</t>
  </si>
  <si>
    <t>O.A.5.4</t>
  </si>
  <si>
    <t>O.A.5.5</t>
  </si>
  <si>
    <t>O.A.3.3</t>
  </si>
  <si>
    <t>O.A.7.5</t>
  </si>
  <si>
    <t>O.A.9.3</t>
  </si>
  <si>
    <t>O.B.3.3</t>
  </si>
  <si>
    <t>O.B.3.4</t>
  </si>
  <si>
    <t>O.B.3.5</t>
  </si>
  <si>
    <t>O.B.3.6</t>
  </si>
  <si>
    <t>O.B.4.5</t>
  </si>
  <si>
    <t>O.B.4.6</t>
  </si>
  <si>
    <t>O.B.4.7</t>
  </si>
  <si>
    <t>O.C.1.7</t>
  </si>
  <si>
    <t>Order Execution Rate</t>
  </si>
  <si>
    <t>O.A.4.4</t>
  </si>
  <si>
    <t>Tot. Orders Available for Execution</t>
  </si>
  <si>
    <t>O.A.3.4</t>
  </si>
  <si>
    <t>O.B.1.11</t>
  </si>
  <si>
    <t>O.B.1.12</t>
  </si>
  <si>
    <t>% Empl. Exp. to Rev.</t>
  </si>
  <si>
    <t>Avg. Empl. Exp. / Empl.</t>
  </si>
  <si>
    <t>O.B.1.13</t>
  </si>
  <si>
    <t>Avg. Cash OPEX / Dist. Channel</t>
  </si>
  <si>
    <t>O.B.1.14</t>
  </si>
  <si>
    <t>O.A.4.5</t>
  </si>
  <si>
    <t>R &amp; D Exp.</t>
  </si>
  <si>
    <t>R &amp;D Exp.</t>
  </si>
  <si>
    <t>Avg. Cash OPEX / Sales Office</t>
  </si>
  <si>
    <t>O.C.1.8</t>
  </si>
  <si>
    <t>Avg. Rev. / Sales Office</t>
  </si>
  <si>
    <t>O.C.5.5</t>
  </si>
  <si>
    <t>Avg. EBITDA / Sales Office</t>
  </si>
  <si>
    <t>Operational Comparison Chart #1</t>
  </si>
  <si>
    <t>Operational Comparison Chart #2</t>
  </si>
  <si>
    <t>Operational Comparison Chart #3</t>
  </si>
  <si>
    <t>Operational Comparison Chart #4</t>
  </si>
  <si>
    <t>Operational Comparison Chart #5</t>
  </si>
  <si>
    <t>Operational Comparison Chart #6</t>
  </si>
  <si>
    <t>Operational Comparison Chart #7</t>
  </si>
  <si>
    <t>Operational Comparison Chart #8</t>
  </si>
  <si>
    <t>Operational Comparison Chart #9</t>
  </si>
  <si>
    <t>Operational Comparison Chart #10</t>
  </si>
  <si>
    <t>Operational Comparison Chart #11</t>
  </si>
  <si>
    <t>Operational Comparison Chart #12</t>
  </si>
  <si>
    <t>Operational Comparison Chart #13</t>
  </si>
  <si>
    <t>Operational Comparison Chart #14</t>
  </si>
  <si>
    <t>Operational Comparison Chart #15</t>
  </si>
  <si>
    <t>Operational Comparison Chart #16</t>
  </si>
  <si>
    <t>Operational Comparison Chart #17</t>
  </si>
  <si>
    <t>Operational Comparison Chart #18</t>
  </si>
  <si>
    <t>Operational Comparison Chart #19</t>
  </si>
  <si>
    <t>Operational Comparison Chart #20</t>
  </si>
  <si>
    <t>Operational Comparison Chart #21</t>
  </si>
  <si>
    <t>Operational Comparison Chart #22</t>
  </si>
  <si>
    <t>Operational Comparison Chart #23</t>
  </si>
  <si>
    <t>Operational Comparison Chart #24</t>
  </si>
  <si>
    <t>Operational Comparison Chart #25</t>
  </si>
  <si>
    <t>Financial Comparison Chart #7</t>
  </si>
  <si>
    <t>Financial Comparison Chart #8</t>
  </si>
  <si>
    <t>Financial Comparison Chart #9</t>
  </si>
  <si>
    <t>Financial Comparison Chart #10</t>
  </si>
  <si>
    <t>Financial Comparison Chart #11</t>
  </si>
  <si>
    <t>Financial Comparison Chart #12</t>
  </si>
  <si>
    <t>Financial Comparison Chart #13</t>
  </si>
  <si>
    <t>Financial Comparison Chart #14</t>
  </si>
  <si>
    <t>Financial Comparison Chart #15</t>
  </si>
  <si>
    <t>Financial Comparison Chart #16</t>
  </si>
  <si>
    <t>Financial Comparison Chart #17</t>
  </si>
  <si>
    <t>Financial Comparison Chart #18</t>
  </si>
  <si>
    <t>Order Book Position</t>
  </si>
  <si>
    <t>Revenue Breakdown by Segment</t>
  </si>
  <si>
    <t>EBITDA / Gross Fixed Assets (Annualized)</t>
  </si>
  <si>
    <t>% Selling &amp; Marketing Expense to Revenue</t>
  </si>
  <si>
    <t>Cash OPEX Breakdown</t>
  </si>
  <si>
    <t>Total Employees</t>
  </si>
  <si>
    <t>% Cost of Sales (Excl. D&amp;A) to Revenue</t>
  </si>
  <si>
    <t>Sub-Sub Section</t>
  </si>
  <si>
    <t>Note</t>
  </si>
  <si>
    <t>EBITDA - Peer or GBC</t>
  </si>
  <si>
    <t>EBITDA - Current Quarter</t>
  </si>
  <si>
    <t>R &amp; D Expense</t>
  </si>
  <si>
    <t>S, G &amp; A Expense</t>
  </si>
  <si>
    <t>OOI</t>
  </si>
  <si>
    <t>Total EBITDA</t>
  </si>
  <si>
    <t>Original Equipment (OEM)</t>
  </si>
  <si>
    <t>Revenue Breakdown by Region</t>
  </si>
  <si>
    <t>Revenue Breakdown by End User</t>
  </si>
  <si>
    <t>Revenue Breakdown by Trade</t>
  </si>
  <si>
    <t>Revenue Breakdown</t>
  </si>
  <si>
    <t>Resellers (Dealers/Distributors)</t>
  </si>
  <si>
    <t>% Resellers (Dealers/Distributors)</t>
  </si>
  <si>
    <t>Fluorocarbon/Refrigerants Consumption</t>
  </si>
  <si>
    <t>Other Comparable</t>
  </si>
  <si>
    <t>Green house gas emission (Co2e)</t>
  </si>
  <si>
    <t>O.A.4.6</t>
  </si>
  <si>
    <t xml:space="preserve">(Execution rate x Book to Bill x COS) / S&amp;M + 1 </t>
  </si>
  <si>
    <t>Units</t>
  </si>
  <si>
    <t>Number</t>
  </si>
  <si>
    <t>Selling &amp; Marketing ("S&amp;M") Expenses</t>
  </si>
  <si>
    <t>New Order Received to S&amp;M Exp.</t>
  </si>
  <si>
    <t>S&amp;M Exp. to New Order Received</t>
  </si>
  <si>
    <t>Others (Unclassified)</t>
  </si>
  <si>
    <t>% Others (Unclassified)</t>
  </si>
  <si>
    <t>% CAPEX to Rev.</t>
  </si>
  <si>
    <t>O.B.1.15</t>
  </si>
  <si>
    <t>Avg. Cash OPEX / Empl.</t>
  </si>
  <si>
    <t>O.B.1.16</t>
  </si>
  <si>
    <t>Order Backlog to Rev. Ratio(Annualized)</t>
  </si>
  <si>
    <t>S&amp;M Exp. to New Orders Received</t>
  </si>
  <si>
    <t>O.B.3.7</t>
  </si>
  <si>
    <t>CAPEX to D&amp;A</t>
  </si>
  <si>
    <t>Cost of Goods Sold (Excl. D&amp;A)</t>
  </si>
  <si>
    <t>% OOI to Rev.</t>
  </si>
  <si>
    <t>Financial Comparison Chart #19</t>
  </si>
  <si>
    <t>Financial Comparison Chart #20</t>
  </si>
  <si>
    <t>Financial Comparison Chart #21</t>
  </si>
  <si>
    <t>Financial Comparison Chart #22</t>
  </si>
  <si>
    <t>Financial Comparison Chart #23</t>
  </si>
  <si>
    <t>Total Sales Office</t>
  </si>
  <si>
    <t>Tot. Sales Offices</t>
  </si>
  <si>
    <t>Total Sales Offices</t>
  </si>
  <si>
    <t>M.V.A to Revenue</t>
  </si>
  <si>
    <t>% CAPEX to Revenue</t>
  </si>
  <si>
    <t>Book to Bill ("B2B") Ratio</t>
  </si>
  <si>
    <t>Manufacturing Value Added ("M.V.A") Profile</t>
  </si>
  <si>
    <t>M.V.A</t>
  </si>
  <si>
    <t>% Original Equipment Sales</t>
  </si>
  <si>
    <t>New Order Received to Selling &amp; Marketing Expense</t>
  </si>
  <si>
    <t>Please Note that this parameter has been taken for WhatIf Calcualtion</t>
  </si>
  <si>
    <t xml:space="preserve">(Execution RatexB2BxCOGS(Excl. D&amp;A))/S&amp;M + 1 </t>
  </si>
  <si>
    <t>Kindly clarify about the parameter used</t>
  </si>
  <si>
    <t>% After Sales Services</t>
  </si>
  <si>
    <t>This parameter is a multiplier to be used for calculations in Whatif template (as there is restrictions from IT on the use of any other numerical operator other than multiplication in the Whatif ). We can discuss further on the same.</t>
  </si>
  <si>
    <t>Operational Comparison Chart #26</t>
  </si>
  <si>
    <t>% Research &amp; Development Expense to Revenue</t>
  </si>
  <si>
    <t>Manufacturing Value Added ("M.V.A")</t>
  </si>
  <si>
    <t>Total Cash OPEX</t>
  </si>
  <si>
    <t>Net Fixed Assets / Employee</t>
  </si>
  <si>
    <t>Avg. Employee Expense</t>
  </si>
  <si>
    <t>Avg. Revenue / Sales Office</t>
  </si>
  <si>
    <t>EBITDA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</si>
</sst>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_(* \(#,##0.00\);_(* &quot;-&quot;??_);_(@_)"/>
    <numFmt numFmtId="164" formatCode="_ * #,##0.00_ ;_ * \-#,##0.00_ ;_ * &quot;-&quot;??_ ;_ @_ "/>
    <numFmt numFmtId="165" formatCode="00000000"/>
    <numFmt numFmtId="166" formatCode="mmm\-yyyy"/>
    <numFmt numFmtId="167" formatCode="yyyy"/>
    <numFmt numFmtId="168" formatCode="#,##0.0"/>
    <numFmt numFmtId="169" formatCode="_(* #,##0.0_);_(* \(#,##0.0\);_(* &quot;-&quot;??_);_(@_)"/>
    <numFmt numFmtId="170" formatCode="_(* #,##0_);_(* \(#,##0\);_(* &quot;-&quot;??_);_(@_)"/>
    <numFmt numFmtId="171" formatCode="[$-409]d\-mmm\-yyyy;@"/>
    <numFmt numFmtId="172" formatCode="0.0%"/>
    <numFmt numFmtId="173" formatCode="_(* #,##0.000_);_(* \(#,##0.000\);_(* &quot;-&quot;??_);_(@_)"/>
    <numFmt numFmtId="174" formatCode="_(* #,##0.0_);_(* \(#,##0.0\);_(* &quot;-&quot;?_);_(@_)"/>
    <numFmt numFmtId="175" formatCode="[$-409]d\-mmm\-yy;@"/>
    <numFmt numFmtId="176" formatCode="#,##0.00_ ;[Red]\-#,##0.00\ "/>
    <numFmt numFmtId="177" formatCode="_ * #,##0.000_ ;_ * \-#,##0.000_ ;_ * &quot;-&quot;??_ ;_ @_ "/>
    <numFmt numFmtId="178" formatCode="0.000"/>
    <numFmt numFmtId="179" formatCode="0.00000000E+00"/>
    <numFmt numFmtId="180" formatCode="0.00\x"/>
  </numFmts>
  <fonts count="41" x14ac:knownFonts="1">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sz val="8"/>
      <color theme="1"/>
      <name val="Calibri"/>
      <family val="2"/>
      <scheme val="minor"/>
    </font>
    <font>
      <sz val="10"/>
      <color indexed="8"/>
      <name val="Arial"/>
      <family val="2"/>
    </font>
    <font>
      <i/>
      <sz val="10"/>
      <color theme="1"/>
      <name val="Calibri"/>
      <family val="2"/>
      <scheme val="minor"/>
    </font>
    <font>
      <i/>
      <sz val="10"/>
      <color theme="9"/>
      <name val="Calibri"/>
      <family val="2"/>
      <scheme val="minor"/>
    </font>
    <font>
      <sz val="10"/>
      <color theme="1"/>
      <name val="Calibri"/>
      <family val="2"/>
      <scheme val="minor"/>
    </font>
    <font>
      <sz val="10"/>
      <color rgb="FF0000FF"/>
      <name val="Calibri"/>
      <family val="2"/>
      <scheme val="minor"/>
    </font>
    <font>
      <sz val="9"/>
      <color theme="1"/>
      <name val="Calibri"/>
      <family val="2"/>
      <scheme val="minor"/>
    </font>
    <font>
      <sz val="10"/>
      <name val="Calibri"/>
      <family val="2"/>
      <scheme val="minor"/>
    </font>
    <font>
      <b/>
      <sz val="10"/>
      <color theme="1"/>
      <name val="Calibri"/>
      <family val="2"/>
      <scheme val="minor"/>
    </font>
    <font>
      <b/>
      <i/>
      <sz val="10"/>
      <color theme="1"/>
      <name val="Calibri"/>
      <family val="2"/>
      <scheme val="minor"/>
    </font>
    <font>
      <b/>
      <sz val="10"/>
      <color rgb="FFFF0000"/>
      <name val="Calibri"/>
      <family val="2"/>
      <scheme val="minor"/>
    </font>
    <font>
      <b/>
      <sz val="10"/>
      <name val="Calibri"/>
      <family val="2"/>
      <scheme val="minor"/>
    </font>
    <font>
      <b/>
      <u/>
      <sz val="10"/>
      <color theme="1"/>
      <name val="Calibri"/>
      <family val="2"/>
      <scheme val="minor"/>
    </font>
    <font>
      <sz val="10"/>
      <color rgb="FFFF0000"/>
      <name val="Calibri"/>
      <family val="2"/>
      <scheme val="minor"/>
    </font>
    <font>
      <sz val="10"/>
      <color theme="9"/>
      <name val="Calibri"/>
      <family val="2"/>
      <scheme val="minor"/>
    </font>
    <font>
      <sz val="10"/>
      <color theme="5"/>
      <name val="Calibri"/>
      <family val="2"/>
      <scheme val="minor"/>
    </font>
    <font>
      <b/>
      <u/>
      <sz val="11"/>
      <color theme="1"/>
      <name val="Calibri"/>
      <family val="2"/>
      <scheme val="minor"/>
    </font>
    <font>
      <strike/>
      <sz val="10"/>
      <name val="Calibri"/>
      <family val="2"/>
      <scheme val="minor"/>
    </font>
    <font>
      <b/>
      <i/>
      <sz val="10"/>
      <color rgb="FFFF0000"/>
      <name val="Calibri"/>
      <family val="2"/>
      <scheme val="minor"/>
    </font>
    <font>
      <sz val="9"/>
      <color theme="9"/>
      <name val="Calibri"/>
      <family val="2"/>
      <scheme val="minor"/>
    </font>
    <font>
      <i/>
      <sz val="10"/>
      <color rgb="FF0000FF"/>
      <name val="Calibri"/>
      <family val="2"/>
      <scheme val="minor"/>
    </font>
    <font>
      <i/>
      <sz val="10"/>
      <name val="Calibri"/>
      <family val="2"/>
      <scheme val="minor"/>
    </font>
    <font>
      <b/>
      <sz val="12"/>
      <color rgb="FFFF0000"/>
      <name val="Calibri"/>
      <family val="2"/>
      <scheme val="minor"/>
    </font>
    <font>
      <b/>
      <sz val="10"/>
      <color theme="9"/>
      <name val="Calibri"/>
      <family val="2"/>
      <scheme val="minor"/>
    </font>
    <font>
      <b/>
      <sz val="11"/>
      <color theme="1"/>
      <name val="Calibri"/>
      <family val="2"/>
      <scheme val="minor"/>
    </font>
    <font>
      <sz val="11"/>
      <color theme="0"/>
      <name val="Calibri"/>
      <family val="2"/>
      <scheme val="minor"/>
    </font>
    <font>
      <b/>
      <sz val="16"/>
      <color rgb="FF0000FF"/>
      <name val="Calibri"/>
      <family val="2"/>
      <scheme val="minor"/>
    </font>
    <font>
      <u/>
      <sz val="10"/>
      <color theme="1"/>
      <name val="Calibri"/>
      <family val="2"/>
      <scheme val="minor"/>
    </font>
    <font>
      <u/>
      <sz val="10"/>
      <name val="Calibri"/>
      <family val="2"/>
      <scheme val="minor"/>
    </font>
    <font>
      <sz val="10"/>
      <color rgb="FF00B050"/>
      <name val="Calibri"/>
      <family val="2"/>
      <scheme val="minor"/>
    </font>
    <font>
      <b/>
      <i/>
      <sz val="10"/>
      <name val="Calibri"/>
      <family val="2"/>
      <scheme val="minor"/>
    </font>
    <font>
      <b/>
      <sz val="10"/>
      <color rgb="FF00B050"/>
      <name val="Calibri"/>
      <family val="2"/>
      <scheme val="minor"/>
    </font>
    <font>
      <b/>
      <sz val="10"/>
      <color theme="8"/>
      <name val="Calibri"/>
      <family val="2"/>
      <scheme val="minor"/>
    </font>
    <font>
      <sz val="10"/>
      <color indexed="8"/>
      <name val="Calibri"/>
      <family val="2"/>
      <scheme val="minor"/>
    </font>
    <font>
      <b/>
      <sz val="10"/>
      <color indexed="8"/>
      <name val="Calibri"/>
      <family val="2"/>
      <scheme val="minor"/>
    </font>
    <font>
      <b/>
      <sz val="10"/>
      <color rgb="FF70AD47"/>
      <name val="Calibri"/>
      <family val="2"/>
      <scheme val="minor"/>
    </font>
    <font>
      <sz val="10"/>
      <color rgb="FF70AD47"/>
      <name val="Calibri"/>
      <family val="2"/>
      <scheme val="minor"/>
    </font>
  </fonts>
  <fills count="23">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FF"/>
        <bgColor indexed="64"/>
      </patternFill>
    </fill>
    <fill>
      <patternFill patternType="solid">
        <fgColor theme="9" tint="0.79998168889431442"/>
        <bgColor indexed="64"/>
      </patternFill>
    </fill>
    <fill>
      <patternFill patternType="solid">
        <fgColor theme="5" tint="0.79998168889431442"/>
        <bgColor indexed="64"/>
      </patternFill>
    </fill>
    <fill>
      <patternFill patternType="lightUp">
        <bgColor theme="0"/>
      </patternFill>
    </fill>
    <fill>
      <patternFill patternType="solid">
        <fgColor theme="7" tint="0.79998168889431442"/>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rgb="FFCC3399"/>
        <bgColor indexed="64"/>
      </patternFill>
    </fill>
    <fill>
      <patternFill patternType="solid">
        <fgColor rgb="FFFF0000"/>
        <bgColor indexed="64"/>
      </patternFill>
    </fill>
    <fill>
      <patternFill patternType="solid">
        <fgColor rgb="FFFFFF00"/>
        <bgColor indexed="64"/>
      </patternFill>
    </fill>
    <fill>
      <patternFill patternType="solid">
        <fgColor theme="6" tint="-0.249977111117893"/>
        <bgColor indexed="64"/>
      </patternFill>
    </fill>
    <fill>
      <patternFill patternType="solid">
        <fgColor rgb="FFFFFFCC"/>
      </patternFill>
    </fill>
    <fill>
      <patternFill patternType="solid">
        <fgColor theme="6"/>
      </patternFill>
    </fill>
    <fill>
      <patternFill patternType="solid">
        <fgColor rgb="FF00B0F0"/>
        <bgColor indexed="64"/>
      </patternFill>
    </fill>
    <fill>
      <patternFill patternType="solid">
        <fgColor rgb="FF70AD47"/>
        <bgColor indexed="64"/>
      </patternFill>
    </fill>
    <fill>
      <patternFill patternType="solid">
        <fgColor rgb="FF4472C4"/>
        <bgColor indexed="64"/>
      </patternFill>
    </fill>
    <fill>
      <patternFill patternType="solid">
        <fgColor theme="4" tint="0.79998168889431442"/>
        <bgColor indexed="64"/>
      </patternFill>
    </fill>
    <fill>
      <patternFill patternType="solid">
        <fgColor rgb="FFD9E1F2"/>
        <bgColor indexed="64"/>
      </patternFill>
    </fill>
  </fills>
  <borders count="25">
    <border>
      <left/>
      <right/>
      <top/>
      <bottom/>
      <diagonal/>
    </border>
    <border>
      <left style="thin">
        <color auto="1"/>
      </left>
      <right style="thin">
        <color auto="1"/>
      </right>
      <top/>
      <bottom/>
      <diagonal/>
    </border>
    <border>
      <left/>
      <right/>
      <top style="thin">
        <color indexed="64"/>
      </top>
      <bottom/>
      <diagonal/>
    </border>
    <border>
      <left/>
      <right/>
      <top/>
      <bottom style="thin">
        <color indexed="64"/>
      </bottom>
      <diagonal/>
    </border>
    <border>
      <left style="hair">
        <color theme="8"/>
      </left>
      <right style="hair">
        <color theme="8"/>
      </right>
      <top style="hair">
        <color theme="8"/>
      </top>
      <bottom style="hair">
        <color theme="8"/>
      </bottom>
      <diagonal/>
    </border>
    <border>
      <left style="hair">
        <color theme="8"/>
      </left>
      <right style="hair">
        <color theme="8"/>
      </right>
      <top style="hair">
        <color theme="8"/>
      </top>
      <bottom/>
      <diagonal/>
    </border>
    <border>
      <left style="hair">
        <color theme="8"/>
      </left>
      <right style="hair">
        <color theme="8"/>
      </right>
      <top/>
      <bottom style="hair">
        <color theme="8"/>
      </bottom>
      <diagonal/>
    </border>
    <border>
      <left style="hair">
        <color theme="8"/>
      </left>
      <right/>
      <top style="hair">
        <color theme="8"/>
      </top>
      <bottom style="hair">
        <color theme="8"/>
      </bottom>
      <diagonal/>
    </border>
    <border>
      <left/>
      <right style="hair">
        <color theme="8"/>
      </right>
      <top style="hair">
        <color theme="8"/>
      </top>
      <bottom style="hair">
        <color theme="8"/>
      </bottom>
      <diagonal/>
    </border>
    <border>
      <left/>
      <right/>
      <top style="hair">
        <color theme="8"/>
      </top>
      <bottom style="hair">
        <color theme="8"/>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theme="8"/>
      </right>
      <top style="hair">
        <color theme="8"/>
      </top>
      <bottom style="hair">
        <color theme="8"/>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bottom style="thin">
        <color rgb="FFB2B2B2"/>
      </bottom>
      <diagonal/>
    </border>
    <border>
      <left style="thin">
        <color indexed="64"/>
      </left>
      <right style="hair">
        <color theme="8"/>
      </right>
      <top style="hair">
        <color theme="8"/>
      </top>
      <bottom style="thin">
        <color indexed="64"/>
      </bottom>
      <diagonal/>
    </border>
    <border>
      <left style="hair">
        <color indexed="30"/>
      </left>
      <right style="hair">
        <color indexed="30"/>
      </right>
      <top style="hair">
        <color indexed="30"/>
      </top>
      <bottom style="hair">
        <color indexed="30"/>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168" fontId="5" fillId="4" borderId="1">
      <alignment horizontal="right"/>
    </xf>
    <xf numFmtId="0" fontId="1" fillId="16" borderId="17" applyNumberFormat="0" applyFont="0" applyAlignment="0" applyProtection="0"/>
    <xf numFmtId="0" fontId="29" fillId="17" borderId="0" applyNumberFormat="0" applyBorder="0" applyAlignment="0" applyProtection="0"/>
    <xf numFmtId="164" fontId="1" fillId="0" borderId="0" applyFont="0" applyFill="0" applyBorder="0" applyAlignment="0" applyProtection="0"/>
  </cellStyleXfs>
  <cellXfs count="332">
    <xf numFmtId="0" fontId="0" fillId="0" borderId="0" xfId="0"/>
    <xf numFmtId="0" fontId="3" fillId="2" borderId="0" xfId="0" applyFont="1" applyFill="1"/>
    <xf numFmtId="0" fontId="8" fillId="2" borderId="4" xfId="0" applyFont="1" applyFill="1" applyBorder="1"/>
    <xf numFmtId="169" fontId="7" fillId="2" borderId="0" xfId="1" applyNumberFormat="1" applyFont="1" applyFill="1"/>
    <xf numFmtId="0" fontId="7" fillId="2" borderId="0" xfId="0" applyFont="1" applyFill="1"/>
    <xf numFmtId="0" fontId="6" fillId="2" borderId="0" xfId="0" applyFont="1" applyFill="1"/>
    <xf numFmtId="0" fontId="8" fillId="2" borderId="0" xfId="0" applyFont="1" applyFill="1"/>
    <xf numFmtId="0" fontId="12" fillId="2" borderId="0" xfId="0" applyFont="1" applyFill="1" applyBorder="1"/>
    <xf numFmtId="0" fontId="8" fillId="2" borderId="0" xfId="0" applyFont="1" applyFill="1" applyBorder="1"/>
    <xf numFmtId="0" fontId="8" fillId="2" borderId="2" xfId="0" applyFont="1" applyFill="1" applyBorder="1"/>
    <xf numFmtId="0" fontId="12" fillId="2" borderId="3" xfId="0" applyFont="1" applyFill="1" applyBorder="1"/>
    <xf numFmtId="0" fontId="8" fillId="2" borderId="3" xfId="0" applyFont="1" applyFill="1" applyBorder="1"/>
    <xf numFmtId="0" fontId="12" fillId="2" borderId="4" xfId="0" applyFont="1" applyFill="1" applyBorder="1" applyAlignment="1">
      <alignment horizontal="center"/>
    </xf>
    <xf numFmtId="0" fontId="12" fillId="2" borderId="4" xfId="0" applyFont="1" applyFill="1" applyBorder="1"/>
    <xf numFmtId="0" fontId="8" fillId="2" borderId="4" xfId="0" applyFont="1" applyFill="1" applyBorder="1" applyAlignment="1">
      <alignment horizontal="left" indent="2"/>
    </xf>
    <xf numFmtId="169" fontId="8" fillId="2" borderId="0" xfId="1" applyNumberFormat="1" applyFont="1" applyFill="1"/>
    <xf numFmtId="0" fontId="12" fillId="2" borderId="0" xfId="0" applyFont="1" applyFill="1"/>
    <xf numFmtId="0" fontId="8" fillId="2" borderId="0" xfId="0" applyFont="1" applyFill="1" applyAlignment="1">
      <alignment horizontal="left" indent="1"/>
    </xf>
    <xf numFmtId="0" fontId="16" fillId="2" borderId="0" xfId="0" applyFont="1" applyFill="1"/>
    <xf numFmtId="0" fontId="15" fillId="2" borderId="4" xfId="0" applyFont="1" applyFill="1" applyBorder="1"/>
    <xf numFmtId="0" fontId="11" fillId="2" borderId="4" xfId="0" applyFont="1" applyFill="1" applyBorder="1"/>
    <xf numFmtId="0" fontId="11" fillId="2" borderId="4" xfId="0" applyFont="1" applyFill="1" applyBorder="1" applyAlignment="1">
      <alignment horizontal="left" indent="1"/>
    </xf>
    <xf numFmtId="0" fontId="15" fillId="2" borderId="4" xfId="0" applyFont="1" applyFill="1" applyBorder="1" applyAlignment="1">
      <alignment horizontal="left"/>
    </xf>
    <xf numFmtId="0" fontId="11" fillId="2" borderId="4" xfId="0" applyFont="1" applyFill="1" applyBorder="1" applyAlignment="1">
      <alignment horizontal="left"/>
    </xf>
    <xf numFmtId="0" fontId="11" fillId="2" borderId="0" xfId="0" applyFont="1" applyFill="1"/>
    <xf numFmtId="169" fontId="11" fillId="2" borderId="0" xfId="1" applyNumberFormat="1" applyFont="1" applyFill="1"/>
    <xf numFmtId="169" fontId="8" fillId="2" borderId="4" xfId="0" applyNumberFormat="1" applyFont="1" applyFill="1" applyBorder="1"/>
    <xf numFmtId="169" fontId="8" fillId="2" borderId="4" xfId="1" applyNumberFormat="1" applyFont="1" applyFill="1" applyBorder="1"/>
    <xf numFmtId="0" fontId="8" fillId="3" borderId="0" xfId="0" applyFont="1" applyFill="1"/>
    <xf numFmtId="169" fontId="8" fillId="3" borderId="0" xfId="1" applyNumberFormat="1" applyFont="1" applyFill="1"/>
    <xf numFmtId="0" fontId="8" fillId="2" borderId="4" xfId="0" applyFont="1" applyFill="1" applyBorder="1" applyAlignment="1">
      <alignment horizontal="left" indent="1"/>
    </xf>
    <xf numFmtId="0" fontId="12" fillId="2" borderId="4" xfId="0" applyFont="1" applyFill="1" applyBorder="1" applyAlignment="1">
      <alignment horizontal="left"/>
    </xf>
    <xf numFmtId="43" fontId="8" fillId="2" borderId="0" xfId="1" applyFont="1" applyFill="1"/>
    <xf numFmtId="173" fontId="8" fillId="2" borderId="4" xfId="1" applyNumberFormat="1" applyFont="1" applyFill="1" applyBorder="1"/>
    <xf numFmtId="0" fontId="3" fillId="2" borderId="3" xfId="0" applyFont="1" applyFill="1" applyBorder="1"/>
    <xf numFmtId="0" fontId="12" fillId="2" borderId="10" xfId="0" applyFont="1" applyFill="1" applyBorder="1"/>
    <xf numFmtId="0" fontId="8" fillId="2" borderId="11" xfId="0" applyFont="1" applyFill="1" applyBorder="1"/>
    <xf numFmtId="0" fontId="12" fillId="2" borderId="12" xfId="0" applyFont="1" applyFill="1" applyBorder="1"/>
    <xf numFmtId="0" fontId="8" fillId="2" borderId="13" xfId="0" applyFont="1" applyFill="1" applyBorder="1"/>
    <xf numFmtId="0" fontId="8" fillId="2" borderId="12" xfId="0" applyFont="1" applyFill="1" applyBorder="1" applyAlignment="1">
      <alignment horizontal="left" indent="2"/>
    </xf>
    <xf numFmtId="165" fontId="8" fillId="2" borderId="13" xfId="0" applyNumberFormat="1" applyFont="1" applyFill="1" applyBorder="1" applyAlignment="1">
      <alignment horizontal="left"/>
    </xf>
    <xf numFmtId="0" fontId="8" fillId="2" borderId="12" xfId="0" applyFont="1" applyFill="1" applyBorder="1"/>
    <xf numFmtId="171" fontId="8" fillId="2" borderId="13" xfId="0" applyNumberFormat="1" applyFont="1" applyFill="1" applyBorder="1" applyAlignment="1">
      <alignment horizontal="left"/>
    </xf>
    <xf numFmtId="0" fontId="8" fillId="2" borderId="14" xfId="0" applyFont="1" applyFill="1" applyBorder="1"/>
    <xf numFmtId="0" fontId="8" fillId="2" borderId="15" xfId="0" applyFont="1" applyFill="1" applyBorder="1"/>
    <xf numFmtId="0" fontId="8" fillId="2" borderId="10" xfId="0" applyFont="1" applyFill="1" applyBorder="1"/>
    <xf numFmtId="0" fontId="17" fillId="2" borderId="0" xfId="0" applyFont="1" applyFill="1"/>
    <xf numFmtId="0" fontId="18" fillId="2" borderId="16" xfId="0" applyFont="1" applyFill="1" applyBorder="1" applyAlignment="1">
      <alignment horizontal="center"/>
    </xf>
    <xf numFmtId="0" fontId="17" fillId="2" borderId="16" xfId="0" applyFont="1" applyFill="1" applyBorder="1" applyAlignment="1">
      <alignment horizontal="center"/>
    </xf>
    <xf numFmtId="0" fontId="9" fillId="2" borderId="16" xfId="0" applyFont="1" applyFill="1" applyBorder="1" applyAlignment="1">
      <alignment horizontal="center"/>
    </xf>
    <xf numFmtId="0" fontId="19" fillId="2" borderId="16" xfId="0" applyFont="1" applyFill="1" applyBorder="1" applyAlignment="1">
      <alignment horizontal="center"/>
    </xf>
    <xf numFmtId="0" fontId="20" fillId="2" borderId="0" xfId="0" applyFont="1" applyFill="1"/>
    <xf numFmtId="0" fontId="8" fillId="7" borderId="4" xfId="0" applyFont="1" applyFill="1" applyBorder="1"/>
    <xf numFmtId="0" fontId="6" fillId="7" borderId="4" xfId="0" applyFont="1" applyFill="1" applyBorder="1" applyAlignment="1">
      <alignment horizontal="center" vertical="center"/>
    </xf>
    <xf numFmtId="0" fontId="12" fillId="2" borderId="4" xfId="0" applyFont="1" applyFill="1" applyBorder="1" applyAlignment="1">
      <alignment horizontal="left" indent="1"/>
    </xf>
    <xf numFmtId="169" fontId="9" fillId="8" borderId="4" xfId="1" applyNumberFormat="1" applyFont="1" applyFill="1" applyBorder="1"/>
    <xf numFmtId="169" fontId="17" fillId="8" borderId="4" xfId="1" applyNumberFormat="1" applyFont="1" applyFill="1" applyBorder="1"/>
    <xf numFmtId="169" fontId="8" fillId="13" borderId="4" xfId="1" applyNumberFormat="1" applyFont="1" applyFill="1" applyBorder="1"/>
    <xf numFmtId="0" fontId="13" fillId="7" borderId="4" xfId="0" applyFont="1" applyFill="1" applyBorder="1" applyAlignment="1">
      <alignment horizontal="center" vertical="center"/>
    </xf>
    <xf numFmtId="169" fontId="11" fillId="13" borderId="4" xfId="1" applyNumberFormat="1" applyFont="1" applyFill="1" applyBorder="1"/>
    <xf numFmtId="0" fontId="7" fillId="14" borderId="4" xfId="0" applyFont="1" applyFill="1" applyBorder="1" applyAlignment="1">
      <alignment horizontal="right"/>
    </xf>
    <xf numFmtId="170" fontId="7" fillId="14" borderId="4" xfId="1" applyNumberFormat="1" applyFont="1" applyFill="1" applyBorder="1"/>
    <xf numFmtId="169" fontId="7" fillId="14" borderId="4" xfId="1" applyNumberFormat="1" applyFont="1" applyFill="1" applyBorder="1"/>
    <xf numFmtId="0" fontId="12" fillId="2" borderId="0" xfId="0" applyFont="1" applyFill="1" applyAlignment="1">
      <alignment wrapText="1"/>
    </xf>
    <xf numFmtId="0" fontId="4" fillId="2" borderId="4" xfId="0" quotePrefix="1" applyFont="1" applyFill="1" applyBorder="1" applyAlignment="1">
      <alignment horizontal="center"/>
    </xf>
    <xf numFmtId="0" fontId="8" fillId="2" borderId="13" xfId="0" applyFont="1" applyFill="1" applyBorder="1" applyAlignment="1">
      <alignment horizontal="left"/>
    </xf>
    <xf numFmtId="43" fontId="8" fillId="2" borderId="0" xfId="0" applyNumberFormat="1" applyFont="1" applyFill="1"/>
    <xf numFmtId="0" fontId="6" fillId="7" borderId="4" xfId="0" applyFont="1" applyFill="1" applyBorder="1" applyAlignment="1">
      <alignment horizontal="center" vertical="center" wrapText="1"/>
    </xf>
    <xf numFmtId="169" fontId="11" fillId="5" borderId="4" xfId="1" applyNumberFormat="1" applyFont="1" applyFill="1" applyBorder="1"/>
    <xf numFmtId="169" fontId="17" fillId="2" borderId="0" xfId="1" applyNumberFormat="1" applyFont="1" applyFill="1"/>
    <xf numFmtId="0" fontId="25" fillId="7" borderId="4" xfId="0" applyFont="1" applyFill="1" applyBorder="1" applyAlignment="1">
      <alignment horizontal="center" vertical="center"/>
    </xf>
    <xf numFmtId="169" fontId="8" fillId="5" borderId="4" xfId="0" applyNumberFormat="1" applyFont="1" applyFill="1" applyBorder="1"/>
    <xf numFmtId="0" fontId="8" fillId="2" borderId="0" xfId="0" applyFont="1" applyFill="1" applyAlignment="1">
      <alignment wrapText="1"/>
    </xf>
    <xf numFmtId="0" fontId="0" fillId="2" borderId="0" xfId="0" applyFill="1"/>
    <xf numFmtId="0" fontId="6" fillId="2" borderId="4" xfId="0" applyFont="1" applyFill="1" applyBorder="1"/>
    <xf numFmtId="0" fontId="26" fillId="2" borderId="0" xfId="0" applyFont="1" applyFill="1"/>
    <xf numFmtId="0" fontId="11" fillId="2" borderId="4" xfId="0" applyFont="1" applyFill="1" applyBorder="1" applyAlignment="1">
      <alignment horizontal="left" indent="2"/>
    </xf>
    <xf numFmtId="0" fontId="27" fillId="14" borderId="4" xfId="0" applyFont="1" applyFill="1" applyBorder="1" applyAlignment="1">
      <alignment horizontal="right"/>
    </xf>
    <xf numFmtId="0" fontId="18" fillId="14" borderId="4" xfId="0" applyFont="1" applyFill="1" applyBorder="1"/>
    <xf numFmtId="0" fontId="18" fillId="14" borderId="4" xfId="0" applyFont="1" applyFill="1" applyBorder="1" applyAlignment="1">
      <alignment horizontal="left" indent="1"/>
    </xf>
    <xf numFmtId="0" fontId="23" fillId="14" borderId="4" xfId="0" applyFont="1" applyFill="1" applyBorder="1"/>
    <xf numFmtId="43" fontId="18" fillId="14" borderId="4" xfId="0" applyNumberFormat="1" applyFont="1" applyFill="1" applyBorder="1"/>
    <xf numFmtId="169" fontId="18" fillId="14" borderId="4" xfId="0" applyNumberFormat="1" applyFont="1" applyFill="1" applyBorder="1"/>
    <xf numFmtId="9" fontId="18" fillId="14" borderId="4" xfId="0" applyNumberFormat="1" applyFont="1" applyFill="1" applyBorder="1"/>
    <xf numFmtId="174" fontId="8" fillId="2" borderId="4" xfId="0" applyNumberFormat="1" applyFont="1" applyFill="1" applyBorder="1"/>
    <xf numFmtId="0" fontId="8" fillId="2" borderId="4" xfId="0" applyFont="1" applyFill="1" applyBorder="1" applyAlignment="1">
      <alignment horizontal="left"/>
    </xf>
    <xf numFmtId="0" fontId="27" fillId="14" borderId="4" xfId="0" applyFont="1" applyFill="1" applyBorder="1" applyAlignment="1">
      <alignment horizontal="left" indent="1"/>
    </xf>
    <xf numFmtId="169" fontId="9" fillId="8" borderId="4" xfId="1" applyNumberFormat="1" applyFont="1" applyFill="1" applyBorder="1" applyAlignment="1">
      <alignment horizontal="right"/>
    </xf>
    <xf numFmtId="0" fontId="1" fillId="16" borderId="17" xfId="4" applyFont="1"/>
    <xf numFmtId="0" fontId="29" fillId="17" borderId="19" xfId="5" applyBorder="1"/>
    <xf numFmtId="0" fontId="29" fillId="17" borderId="20" xfId="5" applyBorder="1"/>
    <xf numFmtId="0" fontId="29" fillId="17" borderId="21" xfId="5" applyBorder="1"/>
    <xf numFmtId="0" fontId="28" fillId="16" borderId="17" xfId="4" applyFont="1"/>
    <xf numFmtId="0" fontId="0" fillId="16" borderId="17" xfId="4" applyFont="1"/>
    <xf numFmtId="0" fontId="28" fillId="16" borderId="22" xfId="4" applyFont="1" applyBorder="1"/>
    <xf numFmtId="0" fontId="0" fillId="16" borderId="22" xfId="4" applyFont="1" applyBorder="1"/>
    <xf numFmtId="0" fontId="8" fillId="0" borderId="0" xfId="0" applyFont="1"/>
    <xf numFmtId="0" fontId="30" fillId="2" borderId="0" xfId="0" applyFont="1" applyFill="1"/>
    <xf numFmtId="0" fontId="8" fillId="2" borderId="0" xfId="0" applyFont="1" applyFill="1" applyAlignment="1">
      <alignment horizontal="left"/>
    </xf>
    <xf numFmtId="0" fontId="31" fillId="2" borderId="0" xfId="0" applyFont="1" applyFill="1"/>
    <xf numFmtId="0" fontId="32" fillId="2" borderId="0" xfId="0" applyFont="1" applyFill="1"/>
    <xf numFmtId="0" fontId="1" fillId="2" borderId="0" xfId="4" applyFont="1" applyFill="1" applyBorder="1"/>
    <xf numFmtId="0" fontId="18" fillId="2" borderId="0" xfId="0" applyFont="1" applyFill="1"/>
    <xf numFmtId="0" fontId="8" fillId="7" borderId="0" xfId="0" applyFont="1" applyFill="1" applyBorder="1"/>
    <xf numFmtId="10" fontId="8" fillId="2" borderId="0" xfId="0" applyNumberFormat="1" applyFont="1" applyFill="1"/>
    <xf numFmtId="175" fontId="8" fillId="2" borderId="13" xfId="0" applyNumberFormat="1" applyFont="1" applyFill="1" applyBorder="1" applyAlignment="1">
      <alignment horizontal="left"/>
    </xf>
    <xf numFmtId="9" fontId="8" fillId="2" borderId="0" xfId="2" applyFont="1" applyFill="1"/>
    <xf numFmtId="164" fontId="8" fillId="2" borderId="0" xfId="0" applyNumberFormat="1" applyFont="1" applyFill="1"/>
    <xf numFmtId="0" fontId="15" fillId="2" borderId="0" xfId="0" applyFont="1" applyFill="1"/>
    <xf numFmtId="176" fontId="8" fillId="2" borderId="0" xfId="0" applyNumberFormat="1" applyFont="1" applyFill="1" applyBorder="1"/>
    <xf numFmtId="177" fontId="8" fillId="2" borderId="0" xfId="0" applyNumberFormat="1" applyFont="1" applyFill="1"/>
    <xf numFmtId="0" fontId="12" fillId="2" borderId="0" xfId="0" applyFont="1" applyFill="1" applyBorder="1" applyAlignment="1">
      <alignment horizontal="right"/>
    </xf>
    <xf numFmtId="0" fontId="12" fillId="2" borderId="0" xfId="0" applyFont="1" applyFill="1" applyBorder="1" applyAlignment="1">
      <alignment horizontal="left" indent="1"/>
    </xf>
    <xf numFmtId="0" fontId="4" fillId="2" borderId="0" xfId="0" quotePrefix="1" applyFont="1" applyFill="1" applyBorder="1" applyAlignment="1">
      <alignment horizontal="center"/>
    </xf>
    <xf numFmtId="0" fontId="8" fillId="2" borderId="0" xfId="0" applyFont="1" applyFill="1" applyBorder="1" applyAlignment="1">
      <alignment horizontal="left" indent="1"/>
    </xf>
    <xf numFmtId="176" fontId="8" fillId="2" borderId="4" xfId="1" applyNumberFormat="1" applyFont="1" applyFill="1" applyBorder="1"/>
    <xf numFmtId="0" fontId="8" fillId="0" borderId="4" xfId="0" applyFont="1" applyFill="1" applyBorder="1" applyAlignment="1"/>
    <xf numFmtId="169" fontId="8" fillId="2" borderId="0" xfId="1" applyNumberFormat="1" applyFont="1" applyFill="1" applyBorder="1"/>
    <xf numFmtId="169" fontId="8" fillId="2" borderId="0" xfId="1" applyNumberFormat="1" applyFont="1" applyFill="1" applyBorder="1" applyAlignment="1">
      <alignment horizontal="right"/>
    </xf>
    <xf numFmtId="178" fontId="8" fillId="2" borderId="4" xfId="1" applyNumberFormat="1" applyFont="1" applyFill="1" applyBorder="1"/>
    <xf numFmtId="169" fontId="11" fillId="2" borderId="4" xfId="1" applyNumberFormat="1" applyFont="1" applyFill="1" applyBorder="1"/>
    <xf numFmtId="0" fontId="12" fillId="13" borderId="3" xfId="0" applyFont="1" applyFill="1" applyBorder="1" applyAlignment="1"/>
    <xf numFmtId="0" fontId="8" fillId="14" borderId="18" xfId="0" applyFont="1" applyFill="1" applyBorder="1"/>
    <xf numFmtId="0" fontId="0" fillId="14" borderId="18" xfId="0" applyFill="1" applyBorder="1"/>
    <xf numFmtId="169" fontId="11" fillId="12" borderId="4" xfId="1" applyNumberFormat="1" applyFont="1" applyFill="1" applyBorder="1"/>
    <xf numFmtId="169" fontId="8" fillId="13" borderId="4" xfId="1" applyNumberFormat="1" applyFont="1" applyFill="1" applyBorder="1" applyAlignment="1">
      <alignment horizontal="right"/>
    </xf>
    <xf numFmtId="0" fontId="29" fillId="16" borderId="17" xfId="4" applyFont="1"/>
    <xf numFmtId="0" fontId="8" fillId="0" borderId="4" xfId="0" applyFont="1" applyFill="1" applyBorder="1" applyAlignment="1">
      <alignment horizontal="left" indent="1"/>
    </xf>
    <xf numFmtId="0" fontId="8" fillId="0" borderId="0" xfId="0" applyFont="1" applyFill="1"/>
    <xf numFmtId="0" fontId="12" fillId="0" borderId="4" xfId="0" applyFont="1" applyFill="1" applyBorder="1"/>
    <xf numFmtId="0" fontId="33" fillId="2" borderId="0" xfId="0" applyFont="1" applyFill="1"/>
    <xf numFmtId="0" fontId="6" fillId="7" borderId="12" xfId="0" applyFont="1" applyFill="1" applyBorder="1" applyAlignment="1">
      <alignment horizontal="center" vertical="center"/>
    </xf>
    <xf numFmtId="169" fontId="9" fillId="8" borderId="12" xfId="1" applyNumberFormat="1" applyFont="1" applyFill="1" applyBorder="1"/>
    <xf numFmtId="169" fontId="17" fillId="8" borderId="12" xfId="1" applyNumberFormat="1" applyFont="1" applyFill="1" applyBorder="1"/>
    <xf numFmtId="169" fontId="8" fillId="9" borderId="12" xfId="1" applyNumberFormat="1" applyFont="1" applyFill="1" applyBorder="1"/>
    <xf numFmtId="169" fontId="8" fillId="10" borderId="12" xfId="1" applyNumberFormat="1" applyFont="1" applyFill="1" applyBorder="1"/>
    <xf numFmtId="169" fontId="8" fillId="11" borderId="12" xfId="1" applyNumberFormat="1" applyFont="1" applyFill="1" applyBorder="1"/>
    <xf numFmtId="170" fontId="8" fillId="12" borderId="12" xfId="2" applyNumberFormat="1" applyFont="1" applyFill="1" applyBorder="1"/>
    <xf numFmtId="170" fontId="8" fillId="13" borderId="12" xfId="1" applyNumberFormat="1" applyFont="1" applyFill="1" applyBorder="1"/>
    <xf numFmtId="0" fontId="7" fillId="14" borderId="12" xfId="0" applyFont="1" applyFill="1" applyBorder="1" applyAlignment="1">
      <alignment horizontal="left"/>
    </xf>
    <xf numFmtId="0" fontId="11" fillId="2" borderId="0" xfId="0" applyFont="1" applyFill="1" applyAlignment="1">
      <alignment horizontal="left"/>
    </xf>
    <xf numFmtId="0" fontId="11" fillId="2" borderId="0" xfId="0" applyFont="1" applyFill="1" applyAlignment="1">
      <alignment horizontal="left" indent="1"/>
    </xf>
    <xf numFmtId="0" fontId="34" fillId="2" borderId="0" xfId="0" applyFont="1" applyFill="1"/>
    <xf numFmtId="169" fontId="35" fillId="2" borderId="0" xfId="1" applyNumberFormat="1" applyFont="1" applyFill="1"/>
    <xf numFmtId="0" fontId="35" fillId="2" borderId="0" xfId="0" applyFont="1" applyFill="1"/>
    <xf numFmtId="0" fontId="8" fillId="15" borderId="12" xfId="0" applyFont="1" applyFill="1" applyBorder="1"/>
    <xf numFmtId="0" fontId="13" fillId="2" borderId="4" xfId="0" applyFont="1" applyFill="1" applyBorder="1" applyAlignment="1">
      <alignment horizontal="center" vertical="center" wrapText="1"/>
    </xf>
    <xf numFmtId="0" fontId="13" fillId="2" borderId="4" xfId="0" applyFont="1" applyFill="1" applyBorder="1" applyAlignment="1">
      <alignment horizontal="center" vertical="center"/>
    </xf>
    <xf numFmtId="166" fontId="12" fillId="2" borderId="4" xfId="0" applyNumberFormat="1" applyFont="1" applyFill="1" applyBorder="1" applyAlignment="1">
      <alignment horizontal="center" vertical="center"/>
    </xf>
    <xf numFmtId="0" fontId="12" fillId="2" borderId="4" xfId="0" applyFont="1" applyFill="1" applyBorder="1" applyAlignment="1">
      <alignment horizontal="center" vertical="center" wrapText="1"/>
    </xf>
    <xf numFmtId="167" fontId="12" fillId="2" borderId="4" xfId="0" applyNumberFormat="1" applyFont="1" applyFill="1" applyBorder="1" applyAlignment="1">
      <alignment horizontal="center" vertical="center"/>
    </xf>
    <xf numFmtId="166" fontId="12" fillId="2" borderId="4" xfId="0" applyNumberFormat="1" applyFont="1" applyFill="1" applyBorder="1" applyAlignment="1">
      <alignment horizontal="center" vertical="center" wrapText="1"/>
    </xf>
    <xf numFmtId="0" fontId="15" fillId="2" borderId="4" xfId="0" applyFont="1" applyFill="1" applyBorder="1" applyAlignment="1">
      <alignment wrapText="1"/>
    </xf>
    <xf numFmtId="0" fontId="11" fillId="2" borderId="4" xfId="0" applyFont="1" applyFill="1" applyBorder="1" applyAlignment="1">
      <alignment wrapText="1"/>
    </xf>
    <xf numFmtId="169" fontId="11" fillId="19" borderId="4" xfId="1" applyNumberFormat="1" applyFont="1" applyFill="1" applyBorder="1"/>
    <xf numFmtId="169" fontId="11" fillId="20" borderId="4" xfId="1" applyNumberFormat="1" applyFont="1" applyFill="1" applyBorder="1"/>
    <xf numFmtId="0" fontId="14" fillId="2" borderId="4" xfId="0" applyFont="1" applyFill="1" applyBorder="1" applyAlignment="1">
      <alignment horizontal="center"/>
    </xf>
    <xf numFmtId="167" fontId="12" fillId="2" borderId="4" xfId="0" applyNumberFormat="1" applyFont="1" applyFill="1" applyBorder="1" applyAlignment="1">
      <alignment horizontal="center" vertical="center" wrapText="1"/>
    </xf>
    <xf numFmtId="169" fontId="8" fillId="19" borderId="4" xfId="1" applyNumberFormat="1" applyFont="1" applyFill="1" applyBorder="1"/>
    <xf numFmtId="169" fontId="8" fillId="20" borderId="4" xfId="1" applyNumberFormat="1" applyFont="1" applyFill="1" applyBorder="1" applyAlignment="1">
      <alignment horizontal="right"/>
    </xf>
    <xf numFmtId="0" fontId="12" fillId="0" borderId="4" xfId="0" applyFont="1" applyFill="1" applyBorder="1" applyAlignment="1">
      <alignment wrapText="1"/>
    </xf>
    <xf numFmtId="166" fontId="12" fillId="0" borderId="4" xfId="0" applyNumberFormat="1" applyFont="1" applyFill="1" applyBorder="1" applyAlignment="1">
      <alignment horizontal="center" vertical="center" wrapText="1"/>
    </xf>
    <xf numFmtId="0" fontId="12" fillId="0" borderId="4" xfId="0" applyFont="1" applyFill="1" applyBorder="1" applyAlignment="1">
      <alignment horizontal="center" vertical="center" wrapText="1"/>
    </xf>
    <xf numFmtId="0" fontId="8" fillId="2" borderId="18" xfId="0" applyFont="1" applyFill="1" applyBorder="1"/>
    <xf numFmtId="0" fontId="0" fillId="2" borderId="18" xfId="0" applyFill="1" applyBorder="1"/>
    <xf numFmtId="2" fontId="8" fillId="2" borderId="18" xfId="0" applyNumberFormat="1" applyFont="1" applyFill="1" applyBorder="1"/>
    <xf numFmtId="0" fontId="8" fillId="18" borderId="12" xfId="0" applyFont="1" applyFill="1" applyBorder="1"/>
    <xf numFmtId="171" fontId="12" fillId="13" borderId="0" xfId="0" applyNumberFormat="1" applyFont="1" applyFill="1" applyAlignment="1">
      <alignment horizontal="left"/>
    </xf>
    <xf numFmtId="0" fontId="12" fillId="13" borderId="0" xfId="0" applyFont="1" applyFill="1" applyAlignment="1"/>
    <xf numFmtId="0" fontId="12" fillId="13" borderId="0" xfId="0" applyFont="1" applyFill="1" applyBorder="1"/>
    <xf numFmtId="0" fontId="12" fillId="13" borderId="0" xfId="0" applyFont="1" applyFill="1" applyAlignment="1">
      <alignment horizontal="left"/>
    </xf>
    <xf numFmtId="0" fontId="12" fillId="13" borderId="3" xfId="0" applyFont="1" applyFill="1" applyBorder="1" applyAlignment="1">
      <alignment horizontal="left"/>
    </xf>
    <xf numFmtId="169" fontId="8" fillId="19" borderId="4" xfId="1" applyNumberFormat="1" applyFont="1" applyFill="1" applyBorder="1" applyAlignment="1">
      <alignment horizontal="right"/>
    </xf>
    <xf numFmtId="169" fontId="8" fillId="2" borderId="4" xfId="1" applyNumberFormat="1" applyFont="1" applyFill="1" applyBorder="1" applyAlignment="1">
      <alignment horizontal="left" indent="1"/>
    </xf>
    <xf numFmtId="0" fontId="8" fillId="6" borderId="12" xfId="0" applyFont="1" applyFill="1" applyBorder="1"/>
    <xf numFmtId="169" fontId="11" fillId="5" borderId="23" xfId="1" applyNumberFormat="1" applyFont="1" applyFill="1" applyBorder="1"/>
    <xf numFmtId="0" fontId="12" fillId="14" borderId="4" xfId="0" applyFont="1" applyFill="1" applyBorder="1"/>
    <xf numFmtId="0" fontId="13" fillId="14" borderId="4" xfId="0" applyFont="1" applyFill="1" applyBorder="1" applyAlignment="1">
      <alignment horizontal="right"/>
    </xf>
    <xf numFmtId="9" fontId="12" fillId="14" borderId="4" xfId="0" applyNumberFormat="1" applyFont="1" applyFill="1" applyBorder="1"/>
    <xf numFmtId="0" fontId="12" fillId="14" borderId="4" xfId="0" applyFont="1" applyFill="1" applyBorder="1" applyAlignment="1">
      <alignment horizontal="right"/>
    </xf>
    <xf numFmtId="0" fontId="15" fillId="0" borderId="0" xfId="0" applyFont="1"/>
    <xf numFmtId="0" fontId="12" fillId="21" borderId="4" xfId="0" applyFont="1" applyFill="1" applyBorder="1" applyAlignment="1">
      <alignment horizontal="center" vertical="center" wrapText="1"/>
    </xf>
    <xf numFmtId="166" fontId="12" fillId="21" borderId="4" xfId="0" applyNumberFormat="1" applyFont="1" applyFill="1" applyBorder="1" applyAlignment="1">
      <alignment horizontal="center" vertical="center" wrapText="1"/>
    </xf>
    <xf numFmtId="167" fontId="12" fillId="21" borderId="4" xfId="0" applyNumberFormat="1" applyFont="1" applyFill="1" applyBorder="1" applyAlignment="1">
      <alignment horizontal="center" vertical="center" wrapText="1"/>
    </xf>
    <xf numFmtId="0" fontId="8" fillId="21" borderId="12" xfId="0" applyFont="1" applyFill="1" applyBorder="1"/>
    <xf numFmtId="0" fontId="12" fillId="0" borderId="0" xfId="0" applyFont="1" applyFill="1" applyAlignment="1"/>
    <xf numFmtId="0" fontId="36" fillId="2" borderId="0" xfId="0" applyFont="1" applyFill="1"/>
    <xf numFmtId="0" fontId="15" fillId="2" borderId="4" xfId="0" applyFont="1" applyFill="1" applyBorder="1" applyAlignment="1">
      <alignment horizontal="left" indent="1"/>
    </xf>
    <xf numFmtId="0" fontId="8" fillId="2" borderId="13" xfId="0" applyFont="1" applyFill="1" applyBorder="1" applyAlignment="1">
      <alignment wrapText="1"/>
    </xf>
    <xf numFmtId="0" fontId="32" fillId="0" borderId="0" xfId="0" applyFont="1" applyFill="1"/>
    <xf numFmtId="0" fontId="11" fillId="0" borderId="0" xfId="0" applyFont="1" applyFill="1"/>
    <xf numFmtId="0" fontId="8" fillId="2" borderId="2" xfId="0" applyFont="1" applyFill="1" applyBorder="1" applyAlignment="1">
      <alignment horizontal="left"/>
    </xf>
    <xf numFmtId="0" fontId="8" fillId="2" borderId="0" xfId="0" applyFont="1" applyFill="1" applyBorder="1" applyAlignment="1">
      <alignment horizontal="left"/>
    </xf>
    <xf numFmtId="0" fontId="8" fillId="2" borderId="3" xfId="0" applyFont="1" applyFill="1" applyBorder="1" applyAlignment="1">
      <alignment horizontal="left"/>
    </xf>
    <xf numFmtId="0" fontId="8" fillId="7" borderId="4" xfId="0" applyFont="1" applyFill="1" applyBorder="1" applyAlignment="1">
      <alignment horizontal="left"/>
    </xf>
    <xf numFmtId="0" fontId="7" fillId="14" borderId="4" xfId="0" applyFont="1" applyFill="1" applyBorder="1" applyAlignment="1">
      <alignment horizontal="left"/>
    </xf>
    <xf numFmtId="0" fontId="18" fillId="14" borderId="4" xfId="0" applyFont="1" applyFill="1" applyBorder="1" applyAlignment="1">
      <alignment horizontal="left"/>
    </xf>
    <xf numFmtId="0" fontId="27" fillId="2" borderId="0" xfId="0" applyFont="1" applyFill="1" applyAlignment="1">
      <alignment horizontal="left"/>
    </xf>
    <xf numFmtId="0" fontId="6" fillId="7" borderId="4" xfId="0" applyFont="1" applyFill="1" applyBorder="1" applyAlignment="1">
      <alignment horizontal="left"/>
    </xf>
    <xf numFmtId="0" fontId="8" fillId="2" borderId="3" xfId="0" applyFont="1" applyFill="1" applyBorder="1" applyAlignment="1">
      <alignment horizontal="right"/>
    </xf>
    <xf numFmtId="0" fontId="8" fillId="2" borderId="0" xfId="0" applyFont="1" applyFill="1" applyAlignment="1">
      <alignment horizontal="right"/>
    </xf>
    <xf numFmtId="0" fontId="8" fillId="2" borderId="0" xfId="0" applyFont="1" applyFill="1" applyBorder="1" applyAlignment="1">
      <alignment horizontal="right"/>
    </xf>
    <xf numFmtId="0" fontId="12" fillId="2" borderId="4" xfId="0" applyFont="1" applyFill="1" applyBorder="1" applyAlignment="1">
      <alignment horizontal="right" vertical="center" wrapText="1"/>
    </xf>
    <xf numFmtId="167" fontId="12" fillId="2" borderId="4" xfId="0" applyNumberFormat="1" applyFont="1" applyFill="1" applyBorder="1" applyAlignment="1">
      <alignment horizontal="right" vertical="center" wrapText="1"/>
    </xf>
    <xf numFmtId="0" fontId="8" fillId="7" borderId="4" xfId="0" applyFont="1" applyFill="1" applyBorder="1" applyAlignment="1">
      <alignment horizontal="right"/>
    </xf>
    <xf numFmtId="0" fontId="6" fillId="7" borderId="4" xfId="0" applyFont="1" applyFill="1" applyBorder="1" applyAlignment="1">
      <alignment horizontal="right" vertical="center"/>
    </xf>
    <xf numFmtId="169" fontId="18" fillId="14" borderId="4" xfId="0" applyNumberFormat="1" applyFont="1" applyFill="1" applyBorder="1" applyAlignment="1">
      <alignment horizontal="right"/>
    </xf>
    <xf numFmtId="43" fontId="18" fillId="14" borderId="4" xfId="0" applyNumberFormat="1" applyFont="1" applyFill="1" applyBorder="1" applyAlignment="1">
      <alignment horizontal="right"/>
    </xf>
    <xf numFmtId="164" fontId="8" fillId="2" borderId="0" xfId="0" applyNumberFormat="1" applyFont="1" applyFill="1" applyAlignment="1">
      <alignment horizontal="right"/>
    </xf>
    <xf numFmtId="0" fontId="12" fillId="0" borderId="4" xfId="0" applyFont="1" applyFill="1" applyBorder="1" applyAlignment="1">
      <alignment horizontal="left" indent="1"/>
    </xf>
    <xf numFmtId="0" fontId="12" fillId="2" borderId="4" xfId="0" quotePrefix="1" applyFont="1" applyFill="1" applyBorder="1" applyAlignment="1">
      <alignment horizontal="center"/>
    </xf>
    <xf numFmtId="0" fontId="12" fillId="2" borderId="4" xfId="0" quotePrefix="1" applyFont="1" applyFill="1" applyBorder="1" applyAlignment="1">
      <alignment horizontal="center" wrapText="1"/>
    </xf>
    <xf numFmtId="0" fontId="3" fillId="2" borderId="3" xfId="0" applyFont="1" applyFill="1" applyBorder="1" applyAlignment="1"/>
    <xf numFmtId="0" fontId="12" fillId="2" borderId="0" xfId="0" applyFont="1" applyFill="1" applyAlignment="1"/>
    <xf numFmtId="0" fontId="12" fillId="2" borderId="0" xfId="0" applyFont="1" applyFill="1" applyBorder="1" applyAlignment="1"/>
    <xf numFmtId="0" fontId="12" fillId="2" borderId="3" xfId="0" applyFont="1" applyFill="1" applyBorder="1" applyAlignment="1"/>
    <xf numFmtId="0" fontId="12" fillId="2" borderId="4" xfId="0" applyFont="1" applyFill="1" applyBorder="1" applyAlignment="1"/>
    <xf numFmtId="0" fontId="14" fillId="2" borderId="4" xfId="0" applyFont="1" applyFill="1" applyBorder="1" applyAlignment="1"/>
    <xf numFmtId="0" fontId="6" fillId="7" borderId="4" xfId="0" applyFont="1" applyFill="1" applyBorder="1" applyAlignment="1"/>
    <xf numFmtId="0" fontId="6" fillId="7" borderId="4" xfId="0" applyFont="1" applyFill="1" applyBorder="1" applyAlignment="1">
      <alignment vertical="center"/>
    </xf>
    <xf numFmtId="0" fontId="18" fillId="14" borderId="4" xfId="0" applyFont="1" applyFill="1" applyBorder="1" applyAlignment="1"/>
    <xf numFmtId="0" fontId="8" fillId="2" borderId="0" xfId="0" applyFont="1" applyFill="1" applyAlignment="1"/>
    <xf numFmtId="0" fontId="12" fillId="2" borderId="4" xfId="0" quotePrefix="1" applyFont="1" applyFill="1" applyBorder="1" applyAlignment="1"/>
    <xf numFmtId="0" fontId="8" fillId="2" borderId="2" xfId="0" applyFont="1" applyFill="1" applyBorder="1" applyAlignment="1"/>
    <xf numFmtId="0" fontId="8" fillId="2" borderId="0" xfId="0" applyFont="1" applyFill="1" applyBorder="1" applyAlignment="1"/>
    <xf numFmtId="0" fontId="8" fillId="2" borderId="3" xfId="0" applyFont="1" applyFill="1" applyBorder="1" applyAlignment="1"/>
    <xf numFmtId="0" fontId="7" fillId="14" borderId="4" xfId="0" applyFont="1" applyFill="1" applyBorder="1" applyAlignment="1"/>
    <xf numFmtId="0" fontId="4" fillId="13" borderId="4" xfId="0" quotePrefix="1" applyFont="1" applyFill="1" applyBorder="1" applyAlignment="1">
      <alignment horizontal="center"/>
    </xf>
    <xf numFmtId="179" fontId="8" fillId="2" borderId="0" xfId="0" applyNumberFormat="1" applyFont="1" applyFill="1"/>
    <xf numFmtId="0" fontId="8" fillId="2" borderId="4" xfId="0" applyFont="1" applyFill="1" applyBorder="1"/>
    <xf numFmtId="0" fontId="8" fillId="2" borderId="4" xfId="0" applyFont="1" applyFill="1" applyBorder="1" applyAlignment="1">
      <alignment horizontal="center"/>
    </xf>
    <xf numFmtId="0" fontId="8" fillId="2" borderId="0" xfId="0" applyFont="1" applyFill="1"/>
    <xf numFmtId="0" fontId="12" fillId="2" borderId="4" xfId="0" applyFont="1" applyFill="1" applyBorder="1"/>
    <xf numFmtId="0" fontId="8" fillId="2" borderId="4" xfId="0" applyFont="1" applyFill="1" applyBorder="1" applyAlignment="1">
      <alignment horizontal="left" indent="2"/>
    </xf>
    <xf numFmtId="0" fontId="12" fillId="2" borderId="0" xfId="0" applyFont="1" applyFill="1"/>
    <xf numFmtId="0" fontId="11" fillId="2" borderId="4" xfId="0" applyFont="1" applyFill="1" applyBorder="1"/>
    <xf numFmtId="0" fontId="11" fillId="2" borderId="4" xfId="0" applyFont="1" applyFill="1" applyBorder="1" applyAlignment="1">
      <alignment horizontal="left" indent="1"/>
    </xf>
    <xf numFmtId="0" fontId="15" fillId="2" borderId="4" xfId="0" applyFont="1" applyFill="1" applyBorder="1" applyAlignment="1">
      <alignment horizontal="left"/>
    </xf>
    <xf numFmtId="0" fontId="11" fillId="2" borderId="0" xfId="0" applyFont="1" applyFill="1"/>
    <xf numFmtId="169" fontId="8" fillId="2" borderId="4" xfId="0" applyNumberFormat="1" applyFont="1" applyFill="1" applyBorder="1"/>
    <xf numFmtId="0" fontId="8" fillId="3" borderId="0" xfId="0" applyFont="1" applyFill="1"/>
    <xf numFmtId="0" fontId="8" fillId="2" borderId="4" xfId="0" applyFont="1" applyFill="1" applyBorder="1" applyAlignment="1">
      <alignment horizontal="left" indent="1"/>
    </xf>
    <xf numFmtId="172" fontId="8" fillId="2" borderId="4" xfId="2" applyNumberFormat="1" applyFont="1" applyFill="1" applyBorder="1"/>
    <xf numFmtId="0" fontId="12" fillId="2" borderId="4" xfId="0" applyFont="1" applyFill="1" applyBorder="1" applyAlignment="1">
      <alignment horizontal="left"/>
    </xf>
    <xf numFmtId="0" fontId="10" fillId="2" borderId="4" xfId="0" applyFont="1" applyFill="1" applyBorder="1"/>
    <xf numFmtId="0" fontId="4" fillId="2" borderId="4" xfId="0" applyFont="1" applyFill="1" applyBorder="1" applyAlignment="1">
      <alignment horizontal="center"/>
    </xf>
    <xf numFmtId="0" fontId="17" fillId="2" borderId="0" xfId="0" applyFont="1" applyFill="1"/>
    <xf numFmtId="0" fontId="8" fillId="7" borderId="4" xfId="0" applyFont="1" applyFill="1" applyBorder="1"/>
    <xf numFmtId="0" fontId="6" fillId="7" borderId="4" xfId="0" applyFont="1" applyFill="1" applyBorder="1" applyAlignment="1">
      <alignment horizontal="center" vertical="center"/>
    </xf>
    <xf numFmtId="0" fontId="12" fillId="2" borderId="4" xfId="0" applyFont="1" applyFill="1" applyBorder="1" applyAlignment="1">
      <alignment horizontal="left" indent="1"/>
    </xf>
    <xf numFmtId="0" fontId="22" fillId="2" borderId="0" xfId="0" applyFont="1" applyFill="1"/>
    <xf numFmtId="0" fontId="24" fillId="2" borderId="0" xfId="0" applyFont="1" applyFill="1"/>
    <xf numFmtId="0" fontId="8" fillId="2" borderId="4" xfId="0" applyFont="1" applyFill="1" applyBorder="1" applyAlignment="1">
      <alignment wrapText="1"/>
    </xf>
    <xf numFmtId="0" fontId="8" fillId="2" borderId="4" xfId="0" applyNumberFormat="1" applyFont="1" applyFill="1" applyBorder="1"/>
    <xf numFmtId="0" fontId="12" fillId="2" borderId="4" xfId="0" applyFont="1" applyFill="1" applyBorder="1" applyAlignment="1">
      <alignment wrapText="1"/>
    </xf>
    <xf numFmtId="166" fontId="12" fillId="2" borderId="4" xfId="0" applyNumberFormat="1" applyFont="1" applyFill="1" applyBorder="1" applyAlignment="1">
      <alignment horizontal="center" wrapText="1"/>
    </xf>
    <xf numFmtId="0" fontId="4" fillId="2" borderId="4" xfId="0" quotePrefix="1" applyFont="1" applyFill="1" applyBorder="1" applyAlignment="1">
      <alignment horizontal="center"/>
    </xf>
    <xf numFmtId="0" fontId="8" fillId="2" borderId="0" xfId="0" applyFont="1" applyFill="1" applyAlignment="1">
      <alignment wrapText="1"/>
    </xf>
    <xf numFmtId="0" fontId="24" fillId="2" borderId="0" xfId="0" applyFont="1" applyFill="1" applyAlignment="1">
      <alignment wrapText="1"/>
    </xf>
    <xf numFmtId="0" fontId="4" fillId="2" borderId="4" xfId="0" applyFont="1" applyFill="1" applyBorder="1" applyAlignment="1">
      <alignment horizontal="center" wrapText="1"/>
    </xf>
    <xf numFmtId="0" fontId="8" fillId="2" borderId="4" xfId="0" applyFont="1" applyFill="1" applyBorder="1" applyAlignment="1">
      <alignment horizontal="left"/>
    </xf>
    <xf numFmtId="0" fontId="2" fillId="2" borderId="4" xfId="0" applyFont="1" applyFill="1" applyBorder="1" applyAlignment="1">
      <alignment vertical="center"/>
    </xf>
    <xf numFmtId="0" fontId="13" fillId="2" borderId="4" xfId="0" applyFont="1" applyFill="1" applyBorder="1" applyAlignment="1">
      <alignment horizontal="center" vertical="center" wrapText="1"/>
    </xf>
    <xf numFmtId="0" fontId="13" fillId="2" borderId="4" xfId="0" applyFont="1" applyFill="1" applyBorder="1" applyAlignment="1">
      <alignment horizontal="center" vertical="center"/>
    </xf>
    <xf numFmtId="0" fontId="12" fillId="2" borderId="4" xfId="0" applyFont="1" applyFill="1" applyBorder="1" applyAlignment="1">
      <alignment horizontal="center" vertical="center" wrapText="1"/>
    </xf>
    <xf numFmtId="167" fontId="12" fillId="2" borderId="4" xfId="0" applyNumberFormat="1" applyFont="1" applyFill="1" applyBorder="1" applyAlignment="1">
      <alignment horizontal="center" vertical="center"/>
    </xf>
    <xf numFmtId="166" fontId="12" fillId="2" borderId="4" xfId="0" applyNumberFormat="1" applyFont="1" applyFill="1" applyBorder="1" applyAlignment="1">
      <alignment horizontal="center" vertical="center" wrapText="1"/>
    </xf>
    <xf numFmtId="167" fontId="12" fillId="2" borderId="4" xfId="0" applyNumberFormat="1" applyFont="1" applyFill="1" applyBorder="1" applyAlignment="1">
      <alignment horizontal="center" vertical="center" wrapText="1"/>
    </xf>
    <xf numFmtId="169" fontId="8" fillId="2" borderId="4" xfId="0" applyNumberFormat="1" applyFont="1" applyFill="1" applyBorder="1" applyAlignment="1">
      <alignment horizontal="right"/>
    </xf>
    <xf numFmtId="0" fontId="4" fillId="6" borderId="4" xfId="0" quotePrefix="1" applyFont="1" applyFill="1" applyBorder="1" applyAlignment="1">
      <alignment horizontal="center"/>
    </xf>
    <xf numFmtId="0" fontId="8" fillId="2" borderId="4" xfId="0" quotePrefix="1" applyFont="1" applyFill="1" applyBorder="1" applyAlignment="1">
      <alignment horizontal="center"/>
    </xf>
    <xf numFmtId="0" fontId="8" fillId="0" borderId="4" xfId="0" quotePrefix="1" applyFont="1" applyFill="1" applyBorder="1" applyAlignment="1"/>
    <xf numFmtId="172" fontId="8" fillId="0" borderId="4" xfId="2" quotePrefix="1" applyNumberFormat="1" applyFont="1" applyFill="1" applyBorder="1" applyAlignment="1">
      <alignment horizontal="center"/>
    </xf>
    <xf numFmtId="0" fontId="8" fillId="0" borderId="4" xfId="0" quotePrefix="1" applyFont="1" applyFill="1" applyBorder="1" applyAlignment="1">
      <alignment horizontal="center"/>
    </xf>
    <xf numFmtId="0" fontId="12" fillId="0" borderId="4" xfId="0" quotePrefix="1" applyFont="1" applyFill="1" applyBorder="1" applyAlignment="1"/>
    <xf numFmtId="180" fontId="8" fillId="0" borderId="4" xfId="0" quotePrefix="1" applyNumberFormat="1" applyFont="1" applyFill="1" applyBorder="1" applyAlignment="1">
      <alignment horizontal="center"/>
    </xf>
    <xf numFmtId="0" fontId="12" fillId="0" borderId="4" xfId="0" applyFont="1" applyFill="1" applyBorder="1" applyAlignment="1"/>
    <xf numFmtId="0" fontId="12" fillId="0" borderId="4" xfId="0" quotePrefix="1" applyFont="1" applyFill="1" applyBorder="1" applyAlignment="1">
      <alignment horizontal="center"/>
    </xf>
    <xf numFmtId="180" fontId="8" fillId="2" borderId="4" xfId="0" applyNumberFormat="1" applyFont="1" applyFill="1" applyBorder="1"/>
    <xf numFmtId="180" fontId="11" fillId="2" borderId="4" xfId="0" applyNumberFormat="1" applyFont="1" applyFill="1" applyBorder="1" applyAlignment="1">
      <alignment horizontal="right"/>
    </xf>
    <xf numFmtId="180" fontId="11" fillId="2" borderId="4" xfId="0" applyNumberFormat="1" applyFont="1" applyFill="1" applyBorder="1"/>
    <xf numFmtId="180" fontId="8" fillId="2" borderId="4" xfId="2" applyNumberFormat="1" applyFont="1" applyFill="1" applyBorder="1"/>
    <xf numFmtId="180" fontId="8" fillId="2" borderId="4" xfId="0" applyNumberFormat="1" applyFont="1" applyFill="1" applyBorder="1" applyAlignment="1">
      <alignment horizontal="right"/>
    </xf>
    <xf numFmtId="167" fontId="12" fillId="0" borderId="4" xfId="0" applyNumberFormat="1" applyFont="1" applyFill="1" applyBorder="1" applyAlignment="1">
      <alignment horizontal="center" vertical="center" wrapText="1"/>
    </xf>
    <xf numFmtId="0" fontId="12" fillId="0" borderId="0" xfId="0" applyFont="1"/>
    <xf numFmtId="0" fontId="8" fillId="0" borderId="24" xfId="0" applyFont="1" applyFill="1" applyBorder="1"/>
    <xf numFmtId="0" fontId="0" fillId="14" borderId="0" xfId="0" applyFill="1"/>
    <xf numFmtId="0" fontId="37" fillId="2" borderId="4" xfId="0" applyFont="1" applyFill="1" applyBorder="1" applyAlignment="1">
      <alignment horizontal="left"/>
    </xf>
    <xf numFmtId="0" fontId="37" fillId="2" borderId="4" xfId="0" applyFont="1" applyFill="1" applyBorder="1" applyAlignment="1">
      <alignment horizontal="left" indent="1"/>
    </xf>
    <xf numFmtId="0" fontId="38" fillId="2" borderId="4" xfId="0" applyFont="1" applyFill="1" applyBorder="1" applyAlignment="1">
      <alignment horizontal="left"/>
    </xf>
    <xf numFmtId="0" fontId="37" fillId="0" borderId="4" xfId="0" applyFont="1" applyFill="1" applyBorder="1" applyAlignment="1">
      <alignment horizontal="left" indent="1"/>
    </xf>
    <xf numFmtId="0" fontId="38" fillId="2" borderId="4" xfId="0" applyFont="1" applyFill="1" applyBorder="1" applyAlignment="1">
      <alignment horizontal="left" indent="1"/>
    </xf>
    <xf numFmtId="0" fontId="8" fillId="0" borderId="4" xfId="0" applyFont="1" applyFill="1" applyBorder="1" applyAlignment="1">
      <alignment horizontal="left" wrapText="1" indent="1"/>
    </xf>
    <xf numFmtId="0" fontId="12" fillId="0" borderId="24" xfId="0" applyFont="1" applyFill="1" applyBorder="1"/>
    <xf numFmtId="0" fontId="39" fillId="22" borderId="24" xfId="0" applyFont="1" applyFill="1" applyBorder="1"/>
    <xf numFmtId="172" fontId="8" fillId="0" borderId="24" xfId="0" applyNumberFormat="1" applyFont="1" applyFill="1" applyBorder="1"/>
    <xf numFmtId="172" fontId="40" fillId="22" borderId="24" xfId="0" applyNumberFormat="1" applyFont="1" applyFill="1" applyBorder="1"/>
    <xf numFmtId="169" fontId="8" fillId="0" borderId="24" xfId="0" applyNumberFormat="1" applyFont="1" applyFill="1" applyBorder="1"/>
    <xf numFmtId="169" fontId="8" fillId="0" borderId="4" xfId="1" quotePrefix="1" applyNumberFormat="1" applyFont="1" applyFill="1" applyBorder="1" applyAlignment="1">
      <alignment horizontal="center"/>
    </xf>
    <xf numFmtId="169" fontId="11" fillId="0" borderId="4" xfId="1" quotePrefix="1" applyNumberFormat="1" applyFont="1" applyFill="1" applyBorder="1" applyAlignment="1">
      <alignment horizontal="center"/>
    </xf>
    <xf numFmtId="0" fontId="8" fillId="2" borderId="0" xfId="0" quotePrefix="1" applyFont="1" applyFill="1"/>
    <xf numFmtId="0" fontId="12" fillId="2" borderId="4" xfId="0" quotePrefix="1" applyFont="1" applyFill="1" applyBorder="1" applyAlignment="1">
      <alignment horizontal="left" indent="1"/>
    </xf>
    <xf numFmtId="0" fontId="14" fillId="0" borderId="0" xfId="0" applyFont="1" applyFill="1"/>
    <xf numFmtId="0" fontId="8" fillId="0" borderId="0" xfId="0" applyFont="1" applyFill="1" applyBorder="1"/>
    <xf numFmtId="0" fontId="12" fillId="0" borderId="0" xfId="0" applyFont="1" applyFill="1" applyBorder="1"/>
    <xf numFmtId="169" fontId="8" fillId="2" borderId="4" xfId="0" quotePrefix="1" applyNumberFormat="1" applyFont="1" applyFill="1" applyBorder="1" applyAlignment="1">
      <alignment horizontal="center"/>
    </xf>
    <xf numFmtId="169" fontId="8" fillId="0" borderId="4" xfId="0" quotePrefix="1" applyNumberFormat="1" applyFont="1" applyFill="1" applyBorder="1" applyAlignment="1">
      <alignment horizontal="center"/>
    </xf>
    <xf numFmtId="169" fontId="8" fillId="0" borderId="4" xfId="2" quotePrefix="1" applyNumberFormat="1" applyFont="1" applyFill="1" applyBorder="1" applyAlignment="1">
      <alignment horizontal="center"/>
    </xf>
    <xf numFmtId="0" fontId="8" fillId="14" borderId="0" xfId="0" applyFont="1" applyFill="1"/>
    <xf numFmtId="0" fontId="8" fillId="13" borderId="0" xfId="0" applyFont="1" applyFill="1"/>
    <xf numFmtId="0" fontId="8" fillId="3" borderId="0" xfId="0" applyFont="1" applyFill="1" applyAlignment="1"/>
    <xf numFmtId="164" fontId="8" fillId="3" borderId="0" xfId="0" applyNumberFormat="1" applyFont="1" applyFill="1"/>
    <xf numFmtId="164" fontId="8" fillId="3" borderId="0" xfId="0" applyNumberFormat="1" applyFont="1" applyFill="1" applyAlignment="1">
      <alignment horizontal="right"/>
    </xf>
    <xf numFmtId="169" fontId="8" fillId="13" borderId="4" xfId="1" applyNumberFormat="1" applyFont="1" applyFill="1" applyBorder="1"/>
    <xf numFmtId="169" fontId="11" fillId="13" borderId="4" xfId="1" applyNumberFormat="1" applyFont="1" applyFill="1" applyBorder="1"/>
    <xf numFmtId="169" fontId="8" fillId="13" borderId="4" xfId="1" applyNumberFormat="1" applyFont="1" applyFill="1" applyBorder="1" applyAlignment="1">
      <alignment horizontal="right"/>
    </xf>
    <xf numFmtId="169" fontId="11" fillId="20" borderId="4" xfId="1" applyNumberFormat="1" applyFont="1" applyFill="1" applyBorder="1"/>
    <xf numFmtId="169" fontId="8" fillId="20" borderId="4" xfId="1" applyNumberFormat="1" applyFont="1" applyFill="1" applyBorder="1" applyAlignment="1">
      <alignment horizontal="right"/>
    </xf>
    <xf numFmtId="169" fontId="11" fillId="5" borderId="4" xfId="1" applyNumberFormat="1" applyFont="1" applyFill="1" applyBorder="1"/>
    <xf numFmtId="0" fontId="8" fillId="0" borderId="4" xfId="0" applyNumberFormat="1" applyFont="1" applyFill="1" applyBorder="1"/>
    <xf numFmtId="0" fontId="8" fillId="0" borderId="4" xfId="0" applyFont="1" applyFill="1" applyBorder="1"/>
    <xf numFmtId="0" fontId="12" fillId="2" borderId="7"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15" fillId="2" borderId="0" xfId="0" applyFont="1" applyFill="1" applyAlignment="1">
      <alignment horizontal="left" vertical="center" wrapText="1"/>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166" fontId="12" fillId="2" borderId="7" xfId="0" applyNumberFormat="1" applyFont="1" applyFill="1" applyBorder="1" applyAlignment="1">
      <alignment horizontal="center" vertical="center" wrapText="1"/>
    </xf>
    <xf numFmtId="166" fontId="12" fillId="2" borderId="9" xfId="0" applyNumberFormat="1" applyFont="1" applyFill="1" applyBorder="1" applyAlignment="1">
      <alignment horizontal="center" vertical="center" wrapText="1"/>
    </xf>
    <xf numFmtId="166" fontId="12" fillId="2" borderId="8" xfId="0" applyNumberFormat="1" applyFont="1" applyFill="1" applyBorder="1" applyAlignment="1">
      <alignment horizontal="center" vertical="center" wrapText="1"/>
    </xf>
  </cellXfs>
  <cellStyles count="7">
    <cellStyle name="Accent3" xfId="5" builtinId="37"/>
    <cellStyle name="Comma" xfId="1" builtinId="3"/>
    <cellStyle name="Comma 2" xfId="6" xr:uid="{00000000-0005-0000-0000-000002000000}"/>
    <cellStyle name="fa_data_standard_1_grouped" xfId="3" xr:uid="{00000000-0005-0000-0000-000003000000}"/>
    <cellStyle name="Normal" xfId="0" builtinId="0"/>
    <cellStyle name="Note" xfId="4" builtinId="10"/>
    <cellStyle name="Percent" xfId="2" builtinId="5"/>
  </cellStyles>
  <dxfs count="0"/>
  <tableStyles count="0" defaultTableStyle="TableStyleMedium2" defaultPivotStyle="PivotStyleLight16"/>
  <colors>
    <mruColors>
      <color rgb="FFFCE4D6"/>
      <color rgb="FFFF0000"/>
      <color rgb="FFFFFFFF"/>
      <color rgb="FFE2EFDA"/>
      <color rgb="FFCC3399"/>
      <color rgb="FF0000FF"/>
      <color rgb="FFCC00FF"/>
      <color rgb="FFCC00CC"/>
      <color rgb="FFCC0099"/>
      <color rgb="FFF197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19051</xdr:colOff>
      <xdr:row>60</xdr:row>
      <xdr:rowOff>133350</xdr:rowOff>
    </xdr:from>
    <xdr:to>
      <xdr:col>6</xdr:col>
      <xdr:colOff>514351</xdr:colOff>
      <xdr:row>62</xdr:row>
      <xdr:rowOff>85725</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5486401" y="9144000"/>
          <a:ext cx="1104900"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Input Template</a:t>
          </a:r>
        </a:p>
      </xdr:txBody>
    </xdr:sp>
    <xdr:clientData/>
  </xdr:twoCellAnchor>
  <xdr:twoCellAnchor>
    <xdr:from>
      <xdr:col>7</xdr:col>
      <xdr:colOff>495300</xdr:colOff>
      <xdr:row>60</xdr:row>
      <xdr:rowOff>114300</xdr:rowOff>
    </xdr:from>
    <xdr:to>
      <xdr:col>9</xdr:col>
      <xdr:colOff>628649</xdr:colOff>
      <xdr:row>62</xdr:row>
      <xdr:rowOff>66675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7181850" y="9124950"/>
          <a:ext cx="1352549"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Workings Template</a:t>
          </a:r>
        </a:p>
      </xdr:txBody>
    </xdr:sp>
    <xdr:clientData/>
  </xdr:twoCellAnchor>
  <xdr:twoCellAnchor>
    <xdr:from>
      <xdr:col>9</xdr:col>
      <xdr:colOff>1162050</xdr:colOff>
      <xdr:row>60</xdr:row>
      <xdr:rowOff>104775</xdr:rowOff>
    </xdr:from>
    <xdr:to>
      <xdr:col>12</xdr:col>
      <xdr:colOff>57149</xdr:colOff>
      <xdr:row>62</xdr:row>
      <xdr:rowOff>57150</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9067800" y="9115425"/>
          <a:ext cx="1352549"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Reporting Template</a:t>
          </a:r>
        </a:p>
      </xdr:txBody>
    </xdr:sp>
    <xdr:clientData/>
  </xdr:twoCellAnchor>
  <xdr:twoCellAnchor>
    <xdr:from>
      <xdr:col>7</xdr:col>
      <xdr:colOff>47625</xdr:colOff>
      <xdr:row>61</xdr:row>
      <xdr:rowOff>28575</xdr:rowOff>
    </xdr:from>
    <xdr:to>
      <xdr:col>7</xdr:col>
      <xdr:colOff>371475</xdr:colOff>
      <xdr:row>62</xdr:row>
      <xdr:rowOff>57150</xdr:rowOff>
    </xdr:to>
    <xdr:sp macro="" textlink="">
      <xdr:nvSpPr>
        <xdr:cNvPr id="5" name="Right Arrow 4">
          <a:extLst>
            <a:ext uri="{FF2B5EF4-FFF2-40B4-BE49-F238E27FC236}">
              <a16:creationId xmlns:a16="http://schemas.microsoft.com/office/drawing/2014/main" id="{00000000-0008-0000-0000-000005000000}"/>
            </a:ext>
          </a:extLst>
        </xdr:cNvPr>
        <xdr:cNvSpPr/>
      </xdr:nvSpPr>
      <xdr:spPr>
        <a:xfrm>
          <a:off x="6734175" y="9201150"/>
          <a:ext cx="32385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733425</xdr:colOff>
      <xdr:row>61</xdr:row>
      <xdr:rowOff>0</xdr:rowOff>
    </xdr:from>
    <xdr:to>
      <xdr:col>9</xdr:col>
      <xdr:colOff>1057275</xdr:colOff>
      <xdr:row>62</xdr:row>
      <xdr:rowOff>28575</xdr:rowOff>
    </xdr:to>
    <xdr:sp macro="" textlink="">
      <xdr:nvSpPr>
        <xdr:cNvPr id="6" name="Right Arrow 5">
          <a:extLst>
            <a:ext uri="{FF2B5EF4-FFF2-40B4-BE49-F238E27FC236}">
              <a16:creationId xmlns:a16="http://schemas.microsoft.com/office/drawing/2014/main" id="{00000000-0008-0000-0000-000006000000}"/>
            </a:ext>
          </a:extLst>
        </xdr:cNvPr>
        <xdr:cNvSpPr/>
      </xdr:nvSpPr>
      <xdr:spPr>
        <a:xfrm>
          <a:off x="8639175" y="9172575"/>
          <a:ext cx="32385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aurav/Wineries%20DITMT_Revision_6Aug_final%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Info"/>
      <sheetName val="User_Operation_Input"/>
      <sheetName val="Unit_Map"/>
      <sheetName val="Operation_Input"/>
      <sheetName val="Financial_Input"/>
      <sheetName val="CrossCheck"/>
      <sheetName val="Reporting_Qtr"/>
      <sheetName val="Reporting_Year"/>
      <sheetName val="Chart_Qtr"/>
      <sheetName val="Chart_Year"/>
      <sheetName val="Summary"/>
      <sheetName val="MetaDataSheet"/>
    </sheetNames>
    <sheetDataSet>
      <sheetData sheetId="0"/>
      <sheetData sheetId="1"/>
      <sheetData sheetId="2">
        <row r="2">
          <cell r="B2" t="str">
            <v>kiloliters</v>
          </cell>
        </row>
        <row r="3">
          <cell r="B3" t="str">
            <v>kiloliters</v>
          </cell>
        </row>
        <row r="4">
          <cell r="B4" t="str">
            <v>kiloliters</v>
          </cell>
        </row>
        <row r="5">
          <cell r="B5" t="str">
            <v>kiloliters</v>
          </cell>
        </row>
        <row r="6">
          <cell r="B6" t="str">
            <v>kiloliters</v>
          </cell>
        </row>
        <row r="7">
          <cell r="B7" t="str">
            <v>kiloliters</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R60"/>
  <sheetViews>
    <sheetView tabSelected="1" workbookViewId="0"/>
  </sheetViews>
  <sheetFormatPr defaultRowHeight="12.75" x14ac:dyDescent="0.2"/>
  <cols>
    <col min="1" max="1" width="3.5703125" style="6" customWidth="1"/>
    <col min="2" max="2" width="40.7109375" style="6" customWidth="1"/>
    <col min="3" max="3" width="60.42578125" style="6" customWidth="1"/>
    <col min="4" max="4" width="3.28515625" style="6" customWidth="1"/>
    <col min="5" max="5" width="4" style="6" customWidth="1"/>
    <col min="6" max="9" width="9.140625" style="6"/>
    <col min="10" max="10" width="17.7109375" style="6" customWidth="1"/>
    <col min="11" max="12" width="9.5703125" style="6" bestFit="1" customWidth="1"/>
    <col min="13" max="16384" width="9.140625" style="6"/>
  </cols>
  <sheetData>
    <row r="2" spans="2:18" ht="21" x14ac:dyDescent="0.35">
      <c r="B2" s="1" t="s">
        <v>60</v>
      </c>
      <c r="R2" s="97" t="s">
        <v>761</v>
      </c>
    </row>
    <row r="3" spans="2:18" x14ac:dyDescent="0.2">
      <c r="B3" s="35"/>
      <c r="C3" s="36"/>
    </row>
    <row r="4" spans="2:18" x14ac:dyDescent="0.2">
      <c r="B4" s="37" t="s">
        <v>99</v>
      </c>
      <c r="C4" s="38"/>
      <c r="F4" s="18" t="s">
        <v>64</v>
      </c>
    </row>
    <row r="5" spans="2:18" x14ac:dyDescent="0.2">
      <c r="B5" s="39" t="s">
        <v>83</v>
      </c>
      <c r="C5" s="38" t="s">
        <v>1104</v>
      </c>
      <c r="F5" s="6" t="s">
        <v>97</v>
      </c>
      <c r="R5" s="6" t="s">
        <v>762</v>
      </c>
    </row>
    <row r="6" spans="2:18" x14ac:dyDescent="0.2">
      <c r="B6" s="39" t="s">
        <v>61</v>
      </c>
      <c r="C6" s="40">
        <v>13010101</v>
      </c>
      <c r="F6" s="6" t="s">
        <v>79</v>
      </c>
      <c r="R6" s="6" t="s">
        <v>763</v>
      </c>
    </row>
    <row r="7" spans="2:18" x14ac:dyDescent="0.2">
      <c r="B7" s="39" t="s">
        <v>62</v>
      </c>
      <c r="C7" s="188" t="s">
        <v>1290</v>
      </c>
      <c r="F7" s="6" t="s">
        <v>96</v>
      </c>
      <c r="R7" s="6" t="s">
        <v>764</v>
      </c>
    </row>
    <row r="8" spans="2:18" x14ac:dyDescent="0.2">
      <c r="B8" s="39" t="s">
        <v>782</v>
      </c>
      <c r="C8" s="40">
        <v>130</v>
      </c>
      <c r="F8" s="6" t="s">
        <v>65</v>
      </c>
      <c r="R8" s="6" t="s">
        <v>763</v>
      </c>
    </row>
    <row r="9" spans="2:18" x14ac:dyDescent="0.2">
      <c r="B9" s="39" t="s">
        <v>783</v>
      </c>
      <c r="C9" s="38" t="s">
        <v>969</v>
      </c>
      <c r="F9" s="6" t="s">
        <v>95</v>
      </c>
      <c r="R9" s="6" t="s">
        <v>764</v>
      </c>
    </row>
    <row r="10" spans="2:18" x14ac:dyDescent="0.2">
      <c r="B10" s="39" t="s">
        <v>830</v>
      </c>
      <c r="C10" s="38" t="s">
        <v>1105</v>
      </c>
      <c r="F10" s="6" t="s">
        <v>69</v>
      </c>
      <c r="R10" s="6" t="s">
        <v>765</v>
      </c>
    </row>
    <row r="11" spans="2:18" x14ac:dyDescent="0.2">
      <c r="B11" s="39" t="s">
        <v>831</v>
      </c>
      <c r="C11" s="38" t="s">
        <v>1106</v>
      </c>
      <c r="F11" s="6" t="s">
        <v>96</v>
      </c>
      <c r="R11" s="6" t="s">
        <v>766</v>
      </c>
    </row>
    <row r="12" spans="2:18" x14ac:dyDescent="0.2">
      <c r="B12" s="39" t="s">
        <v>832</v>
      </c>
      <c r="C12" s="38" t="s">
        <v>1107</v>
      </c>
      <c r="F12" s="6" t="s">
        <v>96</v>
      </c>
      <c r="R12" s="6" t="s">
        <v>765</v>
      </c>
    </row>
    <row r="13" spans="2:18" x14ac:dyDescent="0.2">
      <c r="B13" s="39" t="s">
        <v>833</v>
      </c>
      <c r="C13" s="38" t="s">
        <v>1106</v>
      </c>
      <c r="F13" s="6" t="s">
        <v>96</v>
      </c>
      <c r="R13" s="6" t="s">
        <v>767</v>
      </c>
    </row>
    <row r="14" spans="2:18" x14ac:dyDescent="0.2">
      <c r="B14" s="41"/>
      <c r="C14" s="38"/>
    </row>
    <row r="15" spans="2:18" x14ac:dyDescent="0.2">
      <c r="B15" s="37" t="s">
        <v>100</v>
      </c>
      <c r="C15" s="38"/>
    </row>
    <row r="16" spans="2:18" x14ac:dyDescent="0.2">
      <c r="B16" s="39" t="s">
        <v>387</v>
      </c>
      <c r="C16" s="65">
        <v>4</v>
      </c>
      <c r="F16" s="6" t="s">
        <v>96</v>
      </c>
      <c r="R16" s="6" t="s">
        <v>768</v>
      </c>
    </row>
    <row r="17" spans="2:18" x14ac:dyDescent="0.2">
      <c r="B17" s="39" t="s">
        <v>59</v>
      </c>
      <c r="C17" s="38" t="s">
        <v>1108</v>
      </c>
      <c r="F17" s="6" t="s">
        <v>96</v>
      </c>
      <c r="R17" s="6" t="s">
        <v>769</v>
      </c>
    </row>
    <row r="18" spans="2:18" x14ac:dyDescent="0.2">
      <c r="B18" s="39" t="s">
        <v>829</v>
      </c>
      <c r="C18" s="105">
        <v>42277</v>
      </c>
      <c r="F18" s="46" t="s">
        <v>441</v>
      </c>
      <c r="R18" s="6" t="s">
        <v>770</v>
      </c>
    </row>
    <row r="19" spans="2:18" x14ac:dyDescent="0.2">
      <c r="B19" s="39" t="s">
        <v>760</v>
      </c>
      <c r="C19" s="105">
        <v>42369</v>
      </c>
      <c r="F19" s="6" t="s">
        <v>96</v>
      </c>
      <c r="R19" s="6" t="s">
        <v>770</v>
      </c>
    </row>
    <row r="20" spans="2:18" x14ac:dyDescent="0.2">
      <c r="B20" s="39" t="s">
        <v>440</v>
      </c>
      <c r="C20" s="105">
        <v>42277</v>
      </c>
      <c r="F20" s="46" t="s">
        <v>442</v>
      </c>
      <c r="R20" s="6" t="s">
        <v>773</v>
      </c>
    </row>
    <row r="21" spans="2:18" x14ac:dyDescent="0.2">
      <c r="B21" s="39" t="s">
        <v>101</v>
      </c>
      <c r="C21" s="42">
        <v>42366</v>
      </c>
      <c r="F21" s="6" t="s">
        <v>96</v>
      </c>
      <c r="R21" s="6" t="s">
        <v>771</v>
      </c>
    </row>
    <row r="22" spans="2:18" x14ac:dyDescent="0.2">
      <c r="B22" s="41"/>
      <c r="C22" s="38"/>
    </row>
    <row r="23" spans="2:18" x14ac:dyDescent="0.2">
      <c r="B23" s="37" t="s">
        <v>437</v>
      </c>
      <c r="C23" s="38"/>
      <c r="R23" s="130" t="s">
        <v>858</v>
      </c>
    </row>
    <row r="24" spans="2:18" x14ac:dyDescent="0.2">
      <c r="B24" s="39" t="s">
        <v>438</v>
      </c>
      <c r="C24" s="38" t="s">
        <v>78</v>
      </c>
      <c r="F24" s="6" t="s">
        <v>96</v>
      </c>
      <c r="R24" s="6" t="s">
        <v>772</v>
      </c>
    </row>
    <row r="25" spans="2:18" x14ac:dyDescent="0.2">
      <c r="B25" s="39" t="s">
        <v>77</v>
      </c>
      <c r="C25" s="38" t="s">
        <v>824</v>
      </c>
      <c r="F25" s="6" t="s">
        <v>96</v>
      </c>
      <c r="R25" s="6" t="s">
        <v>784</v>
      </c>
    </row>
    <row r="26" spans="2:18" x14ac:dyDescent="0.2">
      <c r="B26" s="39" t="s">
        <v>439</v>
      </c>
      <c r="C26" s="38" t="s">
        <v>78</v>
      </c>
      <c r="F26" s="6" t="s">
        <v>119</v>
      </c>
      <c r="R26" s="6" t="s">
        <v>781</v>
      </c>
    </row>
    <row r="27" spans="2:18" x14ac:dyDescent="0.2">
      <c r="B27" s="41"/>
      <c r="C27" s="38"/>
    </row>
    <row r="28" spans="2:18" x14ac:dyDescent="0.2">
      <c r="B28" s="37"/>
      <c r="C28" s="38"/>
    </row>
    <row r="29" spans="2:18" x14ac:dyDescent="0.2">
      <c r="B29" s="39"/>
      <c r="C29" s="38"/>
      <c r="F29" s="6" t="s">
        <v>80</v>
      </c>
      <c r="R29" s="6" t="s">
        <v>771</v>
      </c>
    </row>
    <row r="30" spans="2:18" x14ac:dyDescent="0.2">
      <c r="B30" s="39"/>
      <c r="C30" s="38"/>
      <c r="F30" s="6" t="s">
        <v>140</v>
      </c>
      <c r="R30" s="6" t="s">
        <v>771</v>
      </c>
    </row>
    <row r="31" spans="2:18" x14ac:dyDescent="0.2">
      <c r="B31" s="39"/>
      <c r="C31" s="38"/>
      <c r="F31" s="6" t="s">
        <v>947</v>
      </c>
      <c r="R31" s="6" t="s">
        <v>771</v>
      </c>
    </row>
    <row r="32" spans="2:18" x14ac:dyDescent="0.2">
      <c r="B32" s="41"/>
      <c r="C32" s="38"/>
    </row>
    <row r="33" spans="2:18" x14ac:dyDescent="0.2">
      <c r="B33" s="41"/>
      <c r="C33" s="38"/>
    </row>
    <row r="34" spans="2:18" x14ac:dyDescent="0.2">
      <c r="B34" s="41"/>
      <c r="C34" s="38"/>
      <c r="F34" s="16" t="s">
        <v>123</v>
      </c>
      <c r="R34" s="6" t="s">
        <v>774</v>
      </c>
    </row>
    <row r="35" spans="2:18" x14ac:dyDescent="0.2">
      <c r="B35" s="41" t="s">
        <v>94</v>
      </c>
      <c r="C35" s="38"/>
      <c r="F35" s="45"/>
      <c r="G35" s="9"/>
      <c r="H35" s="9"/>
      <c r="I35" s="9"/>
      <c r="J35" s="9"/>
      <c r="K35" s="35" t="s">
        <v>867</v>
      </c>
      <c r="L35" s="36"/>
    </row>
    <row r="36" spans="2:18" x14ac:dyDescent="0.2">
      <c r="B36" s="41" t="s">
        <v>98</v>
      </c>
      <c r="C36" s="38"/>
      <c r="F36" s="131"/>
      <c r="G36" s="8" t="s">
        <v>124</v>
      </c>
      <c r="H36" s="8"/>
      <c r="I36" s="8"/>
      <c r="J36" s="8"/>
      <c r="K36" s="41"/>
      <c r="L36" s="38"/>
    </row>
    <row r="37" spans="2:18" x14ac:dyDescent="0.2">
      <c r="B37" s="43"/>
      <c r="C37" s="44"/>
      <c r="F37" s="132" t="s">
        <v>125</v>
      </c>
      <c r="G37" s="8" t="s">
        <v>944</v>
      </c>
      <c r="H37" s="8"/>
      <c r="I37" s="8"/>
      <c r="J37" s="8"/>
      <c r="K37" s="41" t="s">
        <v>859</v>
      </c>
      <c r="L37" s="38"/>
    </row>
    <row r="38" spans="2:18" x14ac:dyDescent="0.2">
      <c r="F38" s="133" t="s">
        <v>125</v>
      </c>
      <c r="G38" s="8" t="s">
        <v>126</v>
      </c>
      <c r="H38" s="8"/>
      <c r="I38" s="8"/>
      <c r="J38" s="8"/>
      <c r="K38" s="41" t="s">
        <v>859</v>
      </c>
      <c r="L38" s="38"/>
    </row>
    <row r="39" spans="2:18" x14ac:dyDescent="0.2">
      <c r="F39" s="134"/>
      <c r="G39" s="8" t="s">
        <v>945</v>
      </c>
      <c r="H39" s="8"/>
      <c r="I39" s="8"/>
      <c r="J39" s="8"/>
      <c r="K39" s="41" t="s">
        <v>860</v>
      </c>
      <c r="L39" s="38"/>
    </row>
    <row r="40" spans="2:18" x14ac:dyDescent="0.2">
      <c r="F40" s="135"/>
      <c r="G40" s="8" t="s">
        <v>946</v>
      </c>
      <c r="H40" s="8"/>
      <c r="I40" s="8"/>
      <c r="J40" s="8"/>
      <c r="K40" s="41" t="s">
        <v>861</v>
      </c>
      <c r="L40" s="38"/>
    </row>
    <row r="41" spans="2:18" x14ac:dyDescent="0.2">
      <c r="F41" s="136"/>
      <c r="G41" s="8" t="s">
        <v>127</v>
      </c>
      <c r="H41" s="8"/>
      <c r="I41" s="8"/>
      <c r="J41" s="8"/>
      <c r="K41" s="41" t="s">
        <v>862</v>
      </c>
      <c r="L41" s="38"/>
    </row>
    <row r="42" spans="2:18" x14ac:dyDescent="0.2">
      <c r="F42" s="137"/>
      <c r="G42" s="8" t="s">
        <v>128</v>
      </c>
      <c r="H42" s="8"/>
      <c r="I42" s="8"/>
      <c r="J42" s="8"/>
      <c r="K42" s="41" t="s">
        <v>863</v>
      </c>
      <c r="L42" s="38"/>
    </row>
    <row r="43" spans="2:18" x14ac:dyDescent="0.2">
      <c r="F43" s="138"/>
      <c r="G43" s="8" t="s">
        <v>129</v>
      </c>
      <c r="H43" s="8"/>
      <c r="I43" s="8"/>
      <c r="J43" s="8"/>
      <c r="K43" s="41" t="s">
        <v>864</v>
      </c>
      <c r="L43" s="38"/>
    </row>
    <row r="44" spans="2:18" x14ac:dyDescent="0.2">
      <c r="F44" s="139" t="s">
        <v>90</v>
      </c>
      <c r="G44" s="8" t="s">
        <v>130</v>
      </c>
      <c r="H44" s="8"/>
      <c r="I44" s="8"/>
      <c r="J44" s="8"/>
      <c r="K44" s="41" t="s">
        <v>865</v>
      </c>
      <c r="L44" s="38"/>
    </row>
    <row r="45" spans="2:18" x14ac:dyDescent="0.2">
      <c r="F45" s="145"/>
      <c r="G45" s="8" t="s">
        <v>389</v>
      </c>
      <c r="H45" s="8"/>
      <c r="I45" s="8"/>
      <c r="J45" s="8"/>
      <c r="K45" s="41" t="s">
        <v>866</v>
      </c>
      <c r="L45" s="38"/>
    </row>
    <row r="46" spans="2:18" x14ac:dyDescent="0.2">
      <c r="F46" s="166"/>
      <c r="G46" s="8" t="s">
        <v>921</v>
      </c>
      <c r="H46" s="8"/>
      <c r="I46" s="8"/>
      <c r="J46" s="8"/>
      <c r="K46" s="41" t="s">
        <v>922</v>
      </c>
      <c r="L46" s="38"/>
    </row>
    <row r="47" spans="2:18" x14ac:dyDescent="0.2">
      <c r="F47" s="174"/>
      <c r="G47" s="8" t="s">
        <v>957</v>
      </c>
      <c r="H47" s="8"/>
      <c r="I47" s="8"/>
      <c r="J47" s="8"/>
      <c r="K47" s="41" t="s">
        <v>927</v>
      </c>
      <c r="L47" s="38"/>
    </row>
    <row r="48" spans="2:18" x14ac:dyDescent="0.2">
      <c r="F48" s="184"/>
      <c r="G48" s="8" t="s">
        <v>943</v>
      </c>
      <c r="H48" s="8"/>
      <c r="I48" s="8"/>
      <c r="J48" s="8"/>
      <c r="K48" s="41" t="s">
        <v>942</v>
      </c>
      <c r="L48" s="38"/>
    </row>
    <row r="49" spans="6:12" x14ac:dyDescent="0.2">
      <c r="F49" s="175"/>
      <c r="G49" s="11" t="s">
        <v>958</v>
      </c>
      <c r="H49" s="11"/>
      <c r="I49" s="11"/>
      <c r="J49" s="11"/>
      <c r="K49" s="43" t="s">
        <v>925</v>
      </c>
      <c r="L49" s="44"/>
    </row>
    <row r="51" spans="6:12" x14ac:dyDescent="0.2">
      <c r="F51" s="16" t="s">
        <v>131</v>
      </c>
    </row>
    <row r="52" spans="6:12" x14ac:dyDescent="0.2">
      <c r="F52" s="35"/>
      <c r="G52" s="9"/>
      <c r="H52" s="9"/>
      <c r="I52" s="9"/>
      <c r="J52" s="9"/>
      <c r="K52" s="9"/>
      <c r="L52" s="36"/>
    </row>
    <row r="53" spans="6:12" x14ac:dyDescent="0.2">
      <c r="F53" s="47" t="s">
        <v>132</v>
      </c>
      <c r="G53" s="8" t="s">
        <v>133</v>
      </c>
      <c r="H53" s="8"/>
      <c r="I53" s="8"/>
      <c r="J53" s="8"/>
      <c r="K53" s="8"/>
      <c r="L53" s="38"/>
    </row>
    <row r="54" spans="6:12" x14ac:dyDescent="0.2">
      <c r="F54" s="48" t="s">
        <v>134</v>
      </c>
      <c r="G54" s="8" t="s">
        <v>135</v>
      </c>
      <c r="H54" s="8"/>
      <c r="I54" s="8"/>
      <c r="J54" s="8"/>
      <c r="K54" s="8"/>
      <c r="L54" s="38"/>
    </row>
    <row r="55" spans="6:12" x14ac:dyDescent="0.2">
      <c r="F55" s="49" t="s">
        <v>136</v>
      </c>
      <c r="G55" s="8" t="s">
        <v>137</v>
      </c>
      <c r="H55" s="8"/>
      <c r="I55" s="8"/>
      <c r="J55" s="8"/>
      <c r="K55" s="8"/>
      <c r="L55" s="38"/>
    </row>
    <row r="56" spans="6:12" x14ac:dyDescent="0.2">
      <c r="F56" s="50" t="s">
        <v>138</v>
      </c>
      <c r="G56" s="8" t="s">
        <v>139</v>
      </c>
      <c r="H56" s="8"/>
      <c r="I56" s="8"/>
      <c r="J56" s="8"/>
      <c r="K56" s="8"/>
      <c r="L56" s="38"/>
    </row>
    <row r="57" spans="6:12" x14ac:dyDescent="0.2">
      <c r="F57" s="43"/>
      <c r="G57" s="11"/>
      <c r="H57" s="11"/>
      <c r="I57" s="11"/>
      <c r="J57" s="11"/>
      <c r="K57" s="11"/>
      <c r="L57" s="44"/>
    </row>
    <row r="60" spans="6:12" ht="15" x14ac:dyDescent="0.25">
      <c r="F60" s="51" t="s">
        <v>141</v>
      </c>
    </row>
  </sheetData>
  <pageMargins left="0.7" right="0.7" top="0.75" bottom="0.75" header="0.3" footer="0.3"/>
  <pageSetup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4"/>
  <sheetViews>
    <sheetView showGridLines="0" workbookViewId="0">
      <selection activeCell="E27" sqref="E27"/>
    </sheetView>
  </sheetViews>
  <sheetFormatPr defaultRowHeight="15" x14ac:dyDescent="0.25"/>
  <cols>
    <col min="2" max="2" width="47.7109375" bestFit="1" customWidth="1"/>
    <col min="3" max="3" width="23.28515625" bestFit="1" customWidth="1"/>
    <col min="4" max="4" width="29.7109375" bestFit="1" customWidth="1"/>
    <col min="5" max="5" width="45.28515625" bestFit="1" customWidth="1"/>
    <col min="6" max="6" width="18.85546875" bestFit="1" customWidth="1"/>
    <col min="7" max="7" width="14.7109375" customWidth="1"/>
    <col min="8" max="8" width="10.42578125" bestFit="1" customWidth="1"/>
    <col min="9" max="9" width="140" bestFit="1" customWidth="1"/>
  </cols>
  <sheetData>
    <row r="1" spans="1:9" x14ac:dyDescent="0.25">
      <c r="A1" s="96"/>
      <c r="B1" s="96"/>
      <c r="C1" s="96"/>
      <c r="D1" s="96"/>
      <c r="E1" s="96"/>
      <c r="F1" s="96"/>
      <c r="G1" s="96"/>
      <c r="H1" s="96"/>
      <c r="I1" s="96"/>
    </row>
    <row r="2" spans="1:9" x14ac:dyDescent="0.25">
      <c r="A2" s="96"/>
      <c r="B2" s="284" t="s">
        <v>625</v>
      </c>
      <c r="C2" s="284"/>
      <c r="D2" s="284"/>
      <c r="E2" s="284"/>
      <c r="F2" s="96"/>
      <c r="G2" s="96"/>
      <c r="H2" s="96"/>
      <c r="I2" s="96"/>
    </row>
    <row r="3" spans="1:9" x14ac:dyDescent="0.25">
      <c r="A3" s="96"/>
      <c r="B3" s="293" t="s">
        <v>70</v>
      </c>
      <c r="C3" s="293" t="s">
        <v>626</v>
      </c>
      <c r="D3" s="293" t="s">
        <v>623</v>
      </c>
      <c r="E3" s="293" t="s">
        <v>66</v>
      </c>
      <c r="F3" s="96"/>
      <c r="G3" s="96"/>
      <c r="H3" s="96"/>
      <c r="I3" s="96"/>
    </row>
    <row r="4" spans="1:9" x14ac:dyDescent="0.25">
      <c r="A4" s="96" t="s">
        <v>717</v>
      </c>
      <c r="B4" s="285" t="s">
        <v>627</v>
      </c>
      <c r="C4" s="285" t="s">
        <v>1302</v>
      </c>
      <c r="D4" s="285" t="str">
        <f>Operation_Standard!C148</f>
        <v>Other Comparable</v>
      </c>
      <c r="E4" s="285" t="str">
        <f>Operation_Standard!C150</f>
        <v>Book to Bill ("B2B") Ratio</v>
      </c>
      <c r="F4" s="96"/>
      <c r="G4" s="96"/>
      <c r="H4" s="96"/>
      <c r="I4" s="96"/>
    </row>
    <row r="5" spans="1:9" x14ac:dyDescent="0.25">
      <c r="A5" s="96" t="s">
        <v>718</v>
      </c>
      <c r="B5" s="285" t="s">
        <v>627</v>
      </c>
      <c r="C5" s="285" t="s">
        <v>1222</v>
      </c>
      <c r="D5" s="285" t="str">
        <f>Financial_Standard!C196</f>
        <v>Leveraging Ratios Comparison</v>
      </c>
      <c r="E5" s="285" t="str">
        <f>Financial_Standard!C197</f>
        <v>Debt Service Coverage Ratio (DSCR) (Annualized)</v>
      </c>
      <c r="F5" s="96"/>
      <c r="G5" s="96"/>
      <c r="H5" s="96"/>
      <c r="I5" s="96"/>
    </row>
    <row r="6" spans="1:9" x14ac:dyDescent="0.25">
      <c r="A6" s="96"/>
      <c r="B6" s="96"/>
      <c r="C6" s="96"/>
      <c r="D6" s="96"/>
      <c r="E6" s="96"/>
      <c r="F6" s="96"/>
      <c r="G6" s="96"/>
      <c r="H6" s="96"/>
      <c r="I6" s="96"/>
    </row>
    <row r="7" spans="1:9" x14ac:dyDescent="0.25">
      <c r="A7" s="96"/>
      <c r="B7" s="96"/>
      <c r="C7" s="96"/>
      <c r="D7" s="96"/>
      <c r="E7" s="96"/>
      <c r="F7" s="96"/>
      <c r="G7" s="96"/>
      <c r="H7" s="96"/>
      <c r="I7" s="96"/>
    </row>
    <row r="8" spans="1:9" x14ac:dyDescent="0.25">
      <c r="A8" s="96"/>
      <c r="B8" s="96"/>
      <c r="C8" s="96"/>
      <c r="D8" s="96"/>
      <c r="E8" s="96"/>
      <c r="F8" s="96"/>
      <c r="G8" s="96"/>
      <c r="H8" s="96"/>
      <c r="I8" s="96"/>
    </row>
    <row r="9" spans="1:9" x14ac:dyDescent="0.25">
      <c r="A9" s="96" t="s">
        <v>1316</v>
      </c>
      <c r="B9" s="293" t="s">
        <v>1318</v>
      </c>
      <c r="C9" s="293"/>
      <c r="D9" s="293"/>
      <c r="E9" s="293"/>
      <c r="F9" s="293" t="s">
        <v>620</v>
      </c>
      <c r="G9" s="293" t="s">
        <v>1257</v>
      </c>
      <c r="H9" s="293"/>
      <c r="I9" s="293"/>
    </row>
    <row r="10" spans="1:9" x14ac:dyDescent="0.25">
      <c r="A10" s="96"/>
      <c r="B10" s="293" t="s">
        <v>70</v>
      </c>
      <c r="C10" s="293" t="s">
        <v>626</v>
      </c>
      <c r="D10" s="293" t="s">
        <v>1481</v>
      </c>
      <c r="E10" s="293" t="s">
        <v>66</v>
      </c>
      <c r="F10" s="293" t="s">
        <v>1258</v>
      </c>
      <c r="G10" s="294" t="s">
        <v>1258</v>
      </c>
      <c r="H10" s="294" t="s">
        <v>1259</v>
      </c>
      <c r="I10" s="294" t="s">
        <v>1482</v>
      </c>
    </row>
    <row r="11" spans="1:9" x14ac:dyDescent="0.25">
      <c r="A11" s="96" t="s">
        <v>1297</v>
      </c>
      <c r="B11" s="285" t="s">
        <v>627</v>
      </c>
      <c r="C11" s="285" t="s">
        <v>1545</v>
      </c>
      <c r="D11" s="285" t="str">
        <f>Operation_Standard!C261</f>
        <v>EBITDA Comparison</v>
      </c>
      <c r="E11" s="285" t="str">
        <f>Operation_Standard!C263</f>
        <v>EBITDA Margin</v>
      </c>
      <c r="F11" s="295">
        <f>IF(ISNUMBER(Operation_Standard!J263),Operation_Standard!J263,0)</f>
        <v>0</v>
      </c>
      <c r="G11" s="296"/>
      <c r="H11" s="296">
        <f>F11</f>
        <v>0</v>
      </c>
      <c r="I11" s="296" t="s">
        <v>1260</v>
      </c>
    </row>
    <row r="12" spans="1:9" x14ac:dyDescent="0.25">
      <c r="A12" s="96"/>
      <c r="B12" s="285" t="s">
        <v>627</v>
      </c>
      <c r="C12" s="285" t="s">
        <v>1344</v>
      </c>
      <c r="D12" s="285" t="str">
        <f>Operation_Standard!C224</f>
        <v>OPEX as % of Rev.</v>
      </c>
      <c r="E12" s="285" t="str">
        <f>Operation_Standard!C225</f>
        <v>Cost of Sales (Excl. D&amp;A)</v>
      </c>
      <c r="F12" s="295">
        <f>IF(ISNUMBER(Operation_Standard!J225),Operation_Standard!J225,0)</f>
        <v>0</v>
      </c>
      <c r="G12" s="296"/>
      <c r="H12" s="296">
        <f t="shared" ref="H12:H18" si="0">F12-G12</f>
        <v>0</v>
      </c>
      <c r="I12" s="296" t="s">
        <v>1261</v>
      </c>
    </row>
    <row r="13" spans="1:9" x14ac:dyDescent="0.25">
      <c r="A13" s="96"/>
      <c r="B13" s="285" t="s">
        <v>627</v>
      </c>
      <c r="C13" s="285" t="s">
        <v>1486</v>
      </c>
      <c r="D13" s="285" t="str">
        <f>Operation_Standard!C224</f>
        <v>OPEX as % of Rev.</v>
      </c>
      <c r="E13" s="285" t="str">
        <f>Operation_Standard!C226</f>
        <v>R &amp; D Exp.</v>
      </c>
      <c r="F13" s="295">
        <f>IF(ISNUMBER(Operation_Standard!J226),Operation_Standard!J226,0)</f>
        <v>0</v>
      </c>
      <c r="G13" s="296"/>
      <c r="H13" s="296">
        <f t="shared" si="0"/>
        <v>0</v>
      </c>
      <c r="I13" s="296" t="s">
        <v>1261</v>
      </c>
    </row>
    <row r="14" spans="1:9" x14ac:dyDescent="0.25">
      <c r="A14" s="96"/>
      <c r="B14" s="285" t="s">
        <v>627</v>
      </c>
      <c r="C14" s="285" t="s">
        <v>1486</v>
      </c>
      <c r="D14" s="285" t="str">
        <f>Operation_Standard!C224</f>
        <v>OPEX as % of Rev.</v>
      </c>
      <c r="E14" s="285" t="str">
        <f>Operation_Standard!C227</f>
        <v>Selling &amp; Marketing Exp.</v>
      </c>
      <c r="F14" s="295">
        <f>IF(ISNUMBER(Operation_Standard!J227),Operation_Standard!J227,0)</f>
        <v>0</v>
      </c>
      <c r="G14" s="296"/>
      <c r="H14" s="296">
        <f t="shared" si="0"/>
        <v>0</v>
      </c>
      <c r="I14" s="296" t="s">
        <v>1261</v>
      </c>
    </row>
    <row r="15" spans="1:9" x14ac:dyDescent="0.25">
      <c r="A15" s="96"/>
      <c r="B15" s="285" t="s">
        <v>627</v>
      </c>
      <c r="C15" s="285" t="s">
        <v>1486</v>
      </c>
      <c r="D15" s="285" t="str">
        <f>Operation_Standard!C224</f>
        <v>OPEX as % of Rev.</v>
      </c>
      <c r="E15" s="285" t="str">
        <f>Operation_Standard!C228</f>
        <v>General &amp; Administrative Exp.</v>
      </c>
      <c r="F15" s="295">
        <f>IF(ISNUMBER(Operation_Standard!J228),Operation_Standard!J228,0)</f>
        <v>0</v>
      </c>
      <c r="G15" s="296"/>
      <c r="H15" s="296">
        <f t="shared" si="0"/>
        <v>0</v>
      </c>
      <c r="I15" s="296" t="s">
        <v>1261</v>
      </c>
    </row>
    <row r="16" spans="1:9" x14ac:dyDescent="0.25">
      <c r="A16" s="96"/>
      <c r="B16" s="285" t="s">
        <v>627</v>
      </c>
      <c r="C16" s="285" t="s">
        <v>1486</v>
      </c>
      <c r="D16" s="285" t="str">
        <f>Operation_Standard!C224</f>
        <v>OPEX as % of Rev.</v>
      </c>
      <c r="E16" s="285" t="str">
        <f>Operation_Standard!C229</f>
        <v>Rental Exp.</v>
      </c>
      <c r="F16" s="295">
        <f>IF(ISNUMBER(Operation_Standard!J229),Operation_Standard!J229,0)</f>
        <v>0</v>
      </c>
      <c r="G16" s="296"/>
      <c r="H16" s="296">
        <f t="shared" si="0"/>
        <v>0</v>
      </c>
      <c r="I16" s="296" t="s">
        <v>1261</v>
      </c>
    </row>
    <row r="17" spans="1:9" x14ac:dyDescent="0.25">
      <c r="A17" s="96"/>
      <c r="B17" s="285" t="s">
        <v>627</v>
      </c>
      <c r="C17" s="285" t="s">
        <v>1381</v>
      </c>
      <c r="D17" s="285" t="str">
        <f>Operation_Standard!C224</f>
        <v>OPEX as % of Rev.</v>
      </c>
      <c r="E17" s="285" t="str">
        <f>Operation_Standard!C230</f>
        <v>Other Cash OPEX</v>
      </c>
      <c r="F17" s="295">
        <f>IF(ISNUMBER(Operation_Standard!J230),Operation_Standard!J230,0)</f>
        <v>0</v>
      </c>
      <c r="G17" s="296"/>
      <c r="H17" s="296">
        <f t="shared" si="0"/>
        <v>0</v>
      </c>
      <c r="I17" s="296" t="s">
        <v>1261</v>
      </c>
    </row>
    <row r="18" spans="1:9" x14ac:dyDescent="0.25">
      <c r="A18" s="96"/>
      <c r="B18" s="285" t="s">
        <v>627</v>
      </c>
      <c r="C18" s="285" t="s">
        <v>1382</v>
      </c>
      <c r="D18" s="285" t="str">
        <f>Operation_Standard!C224</f>
        <v>OPEX as % of Rev.</v>
      </c>
      <c r="E18" s="285" t="str">
        <f>Operation_Standard!C231</f>
        <v>Other Non Cash OPEX</v>
      </c>
      <c r="F18" s="295">
        <f>IF(ISNUMBER(Operation_Standard!J231),Operation_Standard!J231,0)</f>
        <v>0</v>
      </c>
      <c r="G18" s="296"/>
      <c r="H18" s="296">
        <f t="shared" si="0"/>
        <v>0</v>
      </c>
      <c r="I18" s="296" t="s">
        <v>1261</v>
      </c>
    </row>
    <row r="19" spans="1:9" x14ac:dyDescent="0.25">
      <c r="A19" s="96"/>
      <c r="B19" s="285" t="s">
        <v>627</v>
      </c>
      <c r="C19" s="285" t="s">
        <v>1487</v>
      </c>
      <c r="D19" s="285" t="str">
        <f>Operation_Standard!C234</f>
        <v>Revenue Breakdown</v>
      </c>
      <c r="E19" s="285" t="str">
        <f>Operation_Standard!C239</f>
        <v>% OOI to Rev.</v>
      </c>
      <c r="F19" s="295">
        <f>IF(ISNUMBER(Operation_Standard!J239),Operation_Standard!J239,0)</f>
        <v>0</v>
      </c>
      <c r="G19" s="296"/>
      <c r="H19" s="296">
        <f>G19-F19</f>
        <v>0</v>
      </c>
      <c r="I19" s="296" t="s">
        <v>1261</v>
      </c>
    </row>
    <row r="20" spans="1:9" x14ac:dyDescent="0.25">
      <c r="A20" s="96" t="s">
        <v>1298</v>
      </c>
      <c r="B20" s="285" t="s">
        <v>627</v>
      </c>
      <c r="C20" s="285" t="s">
        <v>1483</v>
      </c>
      <c r="D20" s="285" t="str">
        <f>Operation_Standard!C261</f>
        <v>EBITDA Comparison</v>
      </c>
      <c r="E20" s="285" t="str">
        <f>Operation_Standard!C263</f>
        <v>EBITDA Margin</v>
      </c>
      <c r="F20" s="295"/>
      <c r="G20" s="296"/>
      <c r="H20" s="296">
        <f>SUM(H11:H19)</f>
        <v>0</v>
      </c>
      <c r="I20" s="296"/>
    </row>
    <row r="21" spans="1:9" x14ac:dyDescent="0.25">
      <c r="A21" s="96"/>
      <c r="B21" s="96"/>
      <c r="C21" s="96"/>
      <c r="D21" s="96"/>
      <c r="E21" s="96"/>
      <c r="F21" s="96"/>
      <c r="G21" s="96"/>
      <c r="H21" s="96"/>
      <c r="I21" s="96"/>
    </row>
    <row r="22" spans="1:9" x14ac:dyDescent="0.25">
      <c r="A22" s="96" t="s">
        <v>1317</v>
      </c>
      <c r="B22" s="284" t="s">
        <v>1262</v>
      </c>
      <c r="C22" s="284"/>
      <c r="D22" s="284"/>
      <c r="E22" s="284"/>
      <c r="F22" s="284"/>
      <c r="G22" s="284"/>
      <c r="H22" s="284"/>
      <c r="I22" s="96"/>
    </row>
    <row r="23" spans="1:9" x14ac:dyDescent="0.25">
      <c r="A23" s="96"/>
      <c r="B23" s="293" t="s">
        <v>70</v>
      </c>
      <c r="C23" s="293" t="s">
        <v>626</v>
      </c>
      <c r="D23" s="293" t="s">
        <v>1481</v>
      </c>
      <c r="E23" s="293" t="s">
        <v>66</v>
      </c>
      <c r="F23" s="293" t="s">
        <v>1263</v>
      </c>
      <c r="G23" s="293" t="s">
        <v>1258</v>
      </c>
      <c r="H23" s="293" t="s">
        <v>1259</v>
      </c>
      <c r="I23" s="96"/>
    </row>
    <row r="24" spans="1:9" x14ac:dyDescent="0.25">
      <c r="A24" s="96" t="s">
        <v>1299</v>
      </c>
      <c r="B24" s="285" t="s">
        <v>627</v>
      </c>
      <c r="C24" s="285" t="s">
        <v>1545</v>
      </c>
      <c r="D24" s="285" t="str">
        <f>Operation_Standard!C261</f>
        <v>EBITDA Comparison</v>
      </c>
      <c r="E24" s="285" t="str">
        <f>Operation_Standard!C262</f>
        <v>Tot. EBITDA</v>
      </c>
      <c r="F24" s="297">
        <f>IF(ISNUMBER(Operation_Standard!F262),Operation_Standard!F262,0)</f>
        <v>0</v>
      </c>
      <c r="G24" s="297"/>
      <c r="H24" s="297">
        <f>F24</f>
        <v>0</v>
      </c>
      <c r="I24" s="96"/>
    </row>
    <row r="25" spans="1:9" x14ac:dyDescent="0.25">
      <c r="A25" s="96"/>
      <c r="B25" s="285" t="s">
        <v>627</v>
      </c>
      <c r="C25" s="285" t="s">
        <v>45</v>
      </c>
      <c r="D25" s="285" t="str">
        <f>Operation_Standard!C234</f>
        <v>Revenue Breakdown</v>
      </c>
      <c r="E25" s="285" t="str">
        <f>Operation_Standard!C235</f>
        <v>Tot. Rev.</v>
      </c>
      <c r="F25" s="297">
        <f>IF(ISNUMBER(Operation_Standard!F235),Operation_Standard!F235,0)</f>
        <v>0</v>
      </c>
      <c r="G25" s="297">
        <f>IF(ISNUMBER(Operation_Standard!J235),Operation_Standard!J235,0)</f>
        <v>0</v>
      </c>
      <c r="H25" s="297">
        <f>G25-F25</f>
        <v>0</v>
      </c>
      <c r="I25" s="96"/>
    </row>
    <row r="26" spans="1:9" x14ac:dyDescent="0.25">
      <c r="A26" s="96"/>
      <c r="B26" s="285" t="s">
        <v>627</v>
      </c>
      <c r="C26" s="285" t="s">
        <v>1344</v>
      </c>
      <c r="D26" s="285" t="str">
        <f>Operation_Standard!C190</f>
        <v>Operating Expenses Breakdown</v>
      </c>
      <c r="E26" s="285" t="str">
        <f>Operation_Standard!C193</f>
        <v>Cost of Sales (Excl. D&amp;A)</v>
      </c>
      <c r="F26" s="297">
        <f>IF(ISNUMBER(Operation_Standard!F193),Operation_Standard!F193*Operation_Standard!F$192,0)</f>
        <v>0</v>
      </c>
      <c r="G26" s="297">
        <f>IF(ISNUMBER(Operation_Standard!J193),Operation_Standard!J193*Operation_Standard!J$192,0)</f>
        <v>0</v>
      </c>
      <c r="H26" s="297">
        <f t="shared" ref="H26:H32" si="1">F26-G26</f>
        <v>0</v>
      </c>
      <c r="I26" s="96"/>
    </row>
    <row r="27" spans="1:9" x14ac:dyDescent="0.25">
      <c r="A27" s="96"/>
      <c r="B27" s="285" t="s">
        <v>627</v>
      </c>
      <c r="C27" s="285" t="s">
        <v>1486</v>
      </c>
      <c r="D27" s="285" t="str">
        <f>Operation_Standard!C190</f>
        <v>Operating Expenses Breakdown</v>
      </c>
      <c r="E27" s="285" t="str">
        <f>Operation_Standard!C194</f>
        <v>R &amp;D Exp.</v>
      </c>
      <c r="F27" s="297">
        <f>IF(ISNUMBER(Operation_Standard!F194),Operation_Standard!F194*Operation_Standard!F$192,0)</f>
        <v>0</v>
      </c>
      <c r="G27" s="297">
        <f>IF(ISNUMBER(Operation_Standard!J194),Operation_Standard!J194*Operation_Standard!J$192,0)</f>
        <v>0</v>
      </c>
      <c r="H27" s="297">
        <f t="shared" si="1"/>
        <v>0</v>
      </c>
      <c r="I27" s="96"/>
    </row>
    <row r="28" spans="1:9" x14ac:dyDescent="0.25">
      <c r="A28" s="96"/>
      <c r="B28" s="285" t="s">
        <v>627</v>
      </c>
      <c r="C28" s="285" t="s">
        <v>1486</v>
      </c>
      <c r="D28" s="285" t="str">
        <f>Operation_Standard!C190</f>
        <v>Operating Expenses Breakdown</v>
      </c>
      <c r="E28" s="285" t="str">
        <f>Operation_Standard!C195</f>
        <v>Selling &amp; Marketing Exp.</v>
      </c>
      <c r="F28" s="297">
        <f>IF(ISNUMBER(Operation_Standard!F195),Operation_Standard!F195*Operation_Standard!F$192,0)</f>
        <v>0</v>
      </c>
      <c r="G28" s="297">
        <f>IF(ISNUMBER(Operation_Standard!J195),Operation_Standard!J195*Operation_Standard!J$192,0)</f>
        <v>0</v>
      </c>
      <c r="H28" s="297">
        <f t="shared" si="1"/>
        <v>0</v>
      </c>
      <c r="I28" s="96"/>
    </row>
    <row r="29" spans="1:9" x14ac:dyDescent="0.25">
      <c r="A29" s="96"/>
      <c r="B29" s="285" t="s">
        <v>627</v>
      </c>
      <c r="C29" s="285" t="s">
        <v>1486</v>
      </c>
      <c r="D29" s="285" t="str">
        <f>Operation_Standard!C190</f>
        <v>Operating Expenses Breakdown</v>
      </c>
      <c r="E29" s="285" t="str">
        <f>Operation_Standard!C196</f>
        <v>General &amp; Administrative Exp.</v>
      </c>
      <c r="F29" s="297">
        <f>IF(ISNUMBER(Operation_Standard!F196),Operation_Standard!F196*Operation_Standard!F$192,0)</f>
        <v>0</v>
      </c>
      <c r="G29" s="297">
        <f>IF(ISNUMBER(Operation_Standard!J196),Operation_Standard!J196*Operation_Standard!J$192,0)</f>
        <v>0</v>
      </c>
      <c r="H29" s="297">
        <f t="shared" si="1"/>
        <v>0</v>
      </c>
      <c r="I29" s="96"/>
    </row>
    <row r="30" spans="1:9" x14ac:dyDescent="0.25">
      <c r="A30" s="96"/>
      <c r="B30" s="285" t="s">
        <v>627</v>
      </c>
      <c r="C30" s="285" t="s">
        <v>1486</v>
      </c>
      <c r="D30" s="285" t="str">
        <f>Operation_Standard!C190</f>
        <v>Operating Expenses Breakdown</v>
      </c>
      <c r="E30" s="285" t="str">
        <f>Operation_Standard!C197</f>
        <v>Rental Exp.</v>
      </c>
      <c r="F30" s="297">
        <f>IF(ISNUMBER(Operation_Standard!F197),Operation_Standard!F197*Operation_Standard!F$192,0)</f>
        <v>0</v>
      </c>
      <c r="G30" s="297">
        <f>IF(ISNUMBER(Operation_Standard!J197),Operation_Standard!J197*Operation_Standard!J$192,0)</f>
        <v>0</v>
      </c>
      <c r="H30" s="297">
        <f t="shared" si="1"/>
        <v>0</v>
      </c>
      <c r="I30" s="96"/>
    </row>
    <row r="31" spans="1:9" x14ac:dyDescent="0.25">
      <c r="A31" s="96"/>
      <c r="B31" s="285" t="s">
        <v>627</v>
      </c>
      <c r="C31" s="285" t="s">
        <v>1381</v>
      </c>
      <c r="D31" s="285" t="str">
        <f>Operation_Standard!C190</f>
        <v>Operating Expenses Breakdown</v>
      </c>
      <c r="E31" s="285" t="str">
        <f>Operation_Standard!C198</f>
        <v>Other Cash OPEX</v>
      </c>
      <c r="F31" s="297">
        <f>IF(ISNUMBER(Operation_Standard!F198),Operation_Standard!F198*Operation_Standard!F$192,0)</f>
        <v>0</v>
      </c>
      <c r="G31" s="297">
        <f>IF(ISNUMBER(Operation_Standard!J198),Operation_Standard!J198*Operation_Standard!J$192,0)</f>
        <v>0</v>
      </c>
      <c r="H31" s="297">
        <f t="shared" si="1"/>
        <v>0</v>
      </c>
      <c r="I31" s="96"/>
    </row>
    <row r="32" spans="1:9" x14ac:dyDescent="0.25">
      <c r="A32" s="96"/>
      <c r="B32" s="285" t="s">
        <v>627</v>
      </c>
      <c r="C32" s="285" t="s">
        <v>1382</v>
      </c>
      <c r="D32" s="285" t="str">
        <f>Operation_Standard!C190</f>
        <v>Operating Expenses Breakdown</v>
      </c>
      <c r="E32" s="285" t="str">
        <f>Operation_Standard!C200</f>
        <v>Other Non Cash OPEX</v>
      </c>
      <c r="F32" s="297">
        <f>IF(ISNUMBER(Operation_Standard!F200),Operation_Standard!F200*Operation_Standard!F$191,0)</f>
        <v>0</v>
      </c>
      <c r="G32" s="297">
        <f>IF(ISNUMBER(Operation_Standard!J200),Operation_Standard!J200*Operation_Standard!J$191,0)</f>
        <v>0</v>
      </c>
      <c r="H32" s="297">
        <f t="shared" si="1"/>
        <v>0</v>
      </c>
      <c r="I32" s="96"/>
    </row>
    <row r="33" spans="1:9" x14ac:dyDescent="0.25">
      <c r="A33" s="96"/>
      <c r="B33" s="285" t="s">
        <v>627</v>
      </c>
      <c r="C33" s="285" t="s">
        <v>1487</v>
      </c>
      <c r="D33" s="285" t="str">
        <f>Operation_Standard!C234</f>
        <v>Revenue Breakdown</v>
      </c>
      <c r="E33" s="285" t="str">
        <f>Operation_Standard!C238</f>
        <v>OOI- AC, Freezing &amp; Heating Eqpt. Mfg.</v>
      </c>
      <c r="F33" s="297">
        <f>IF(ISNUMBER(Operation_Standard!F238),Operation_Standard!F238,0)</f>
        <v>0</v>
      </c>
      <c r="G33" s="297">
        <f>IF(ISNUMBER(Operation_Standard!J238),Operation_Standard!J238,0)</f>
        <v>0</v>
      </c>
      <c r="H33" s="297">
        <f>G33-F33</f>
        <v>0</v>
      </c>
      <c r="I33" s="96"/>
    </row>
    <row r="34" spans="1:9" x14ac:dyDescent="0.25">
      <c r="A34" s="96" t="s">
        <v>1300</v>
      </c>
      <c r="B34" s="285" t="s">
        <v>627</v>
      </c>
      <c r="C34" s="285" t="s">
        <v>1484</v>
      </c>
      <c r="D34" s="285" t="str">
        <f>Operation_Standard!C261</f>
        <v>EBITDA Comparison</v>
      </c>
      <c r="E34" s="285" t="str">
        <f>Operation_Standard!C262</f>
        <v>Tot. EBITDA</v>
      </c>
      <c r="F34" s="297"/>
      <c r="G34" s="297">
        <f>IF(ISNUMBER(Operation_Standard!J262),Operation_Standard!J262,0)</f>
        <v>0</v>
      </c>
      <c r="H34" s="297">
        <f>SUM(H24:H33)</f>
        <v>0</v>
      </c>
      <c r="I34" s="9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F45"/>
  <sheetViews>
    <sheetView workbookViewId="0"/>
  </sheetViews>
  <sheetFormatPr defaultRowHeight="15" x14ac:dyDescent="0.25"/>
  <cols>
    <col min="1" max="1" width="23.140625" customWidth="1"/>
    <col min="2" max="2" width="30.5703125" bestFit="1" customWidth="1"/>
  </cols>
  <sheetData>
    <row r="1" spans="1:6" ht="40.15" customHeight="1" thickBot="1" x14ac:dyDescent="0.4">
      <c r="A1" s="89" t="s">
        <v>855</v>
      </c>
      <c r="B1" s="90" t="s">
        <v>719</v>
      </c>
      <c r="C1" s="90" t="s">
        <v>720</v>
      </c>
      <c r="D1" s="91" t="s">
        <v>856</v>
      </c>
      <c r="F1" s="97" t="s">
        <v>761</v>
      </c>
    </row>
    <row r="2" spans="1:6" ht="40.15" customHeight="1" x14ac:dyDescent="0.25">
      <c r="A2" s="92" t="s">
        <v>834</v>
      </c>
      <c r="B2" s="93" t="s">
        <v>835</v>
      </c>
      <c r="C2" s="93" t="s">
        <v>825</v>
      </c>
      <c r="D2" s="126"/>
      <c r="E2" s="73"/>
      <c r="F2" s="101" t="s">
        <v>780</v>
      </c>
    </row>
    <row r="3" spans="1:6" ht="28.9" customHeight="1" x14ac:dyDescent="0.25">
      <c r="A3" s="92" t="s">
        <v>834</v>
      </c>
      <c r="B3" s="93" t="s">
        <v>836</v>
      </c>
      <c r="C3" s="93" t="s">
        <v>827</v>
      </c>
      <c r="D3" s="126"/>
    </row>
    <row r="4" spans="1:6" x14ac:dyDescent="0.25">
      <c r="A4" s="92" t="s">
        <v>834</v>
      </c>
      <c r="B4" s="93" t="s">
        <v>837</v>
      </c>
      <c r="C4" s="93" t="s">
        <v>826</v>
      </c>
      <c r="D4" s="126"/>
    </row>
    <row r="5" spans="1:6" x14ac:dyDescent="0.25">
      <c r="A5" s="92" t="s">
        <v>834</v>
      </c>
      <c r="B5" s="93" t="s">
        <v>838</v>
      </c>
      <c r="C5" s="93" t="s">
        <v>828</v>
      </c>
      <c r="D5" s="126"/>
    </row>
    <row r="6" spans="1:6" x14ac:dyDescent="0.25">
      <c r="A6" s="92" t="s">
        <v>834</v>
      </c>
      <c r="B6" s="93" t="s">
        <v>928</v>
      </c>
      <c r="C6" s="93" t="s">
        <v>929</v>
      </c>
      <c r="D6" s="88"/>
    </row>
    <row r="7" spans="1:6" x14ac:dyDescent="0.25">
      <c r="A7" s="92" t="s">
        <v>721</v>
      </c>
      <c r="B7" s="88" t="s">
        <v>722</v>
      </c>
      <c r="C7" s="88" t="s">
        <v>687</v>
      </c>
      <c r="D7" s="88"/>
    </row>
    <row r="8" spans="1:6" x14ac:dyDescent="0.25">
      <c r="A8" s="92" t="s">
        <v>721</v>
      </c>
      <c r="B8" s="88" t="s">
        <v>723</v>
      </c>
      <c r="C8" s="93" t="s">
        <v>688</v>
      </c>
      <c r="D8" s="88"/>
    </row>
    <row r="9" spans="1:6" x14ac:dyDescent="0.25">
      <c r="A9" s="92" t="s">
        <v>721</v>
      </c>
      <c r="B9" s="93" t="s">
        <v>1310</v>
      </c>
      <c r="C9" s="93" t="s">
        <v>1241</v>
      </c>
      <c r="D9" s="88"/>
    </row>
    <row r="10" spans="1:6" x14ac:dyDescent="0.25">
      <c r="A10" s="94" t="s">
        <v>1237</v>
      </c>
      <c r="B10" s="95" t="s">
        <v>724</v>
      </c>
      <c r="C10" s="95" t="s">
        <v>689</v>
      </c>
      <c r="D10" s="95"/>
    </row>
    <row r="11" spans="1:6" x14ac:dyDescent="0.25">
      <c r="A11" s="94" t="s">
        <v>1237</v>
      </c>
      <c r="B11" s="93" t="s">
        <v>725</v>
      </c>
      <c r="C11" s="93" t="s">
        <v>690</v>
      </c>
      <c r="D11" s="93"/>
    </row>
    <row r="12" spans="1:6" x14ac:dyDescent="0.25">
      <c r="A12" s="94" t="s">
        <v>1237</v>
      </c>
      <c r="B12" s="93" t="s">
        <v>726</v>
      </c>
      <c r="C12" s="93" t="s">
        <v>693</v>
      </c>
      <c r="D12" s="93"/>
    </row>
    <row r="13" spans="1:6" x14ac:dyDescent="0.25">
      <c r="A13" s="94" t="s">
        <v>1237</v>
      </c>
      <c r="B13" s="93" t="s">
        <v>727</v>
      </c>
      <c r="C13" s="93" t="s">
        <v>694</v>
      </c>
      <c r="D13" s="93"/>
    </row>
    <row r="14" spans="1:6" x14ac:dyDescent="0.25">
      <c r="A14" s="94" t="s">
        <v>1237</v>
      </c>
      <c r="B14" s="93" t="s">
        <v>728</v>
      </c>
      <c r="C14" s="93" t="s">
        <v>691</v>
      </c>
      <c r="D14" s="93"/>
    </row>
    <row r="15" spans="1:6" x14ac:dyDescent="0.25">
      <c r="A15" s="94" t="s">
        <v>1237</v>
      </c>
      <c r="B15" s="93" t="s">
        <v>729</v>
      </c>
      <c r="C15" s="93" t="s">
        <v>692</v>
      </c>
      <c r="D15" s="93"/>
    </row>
    <row r="16" spans="1:6" x14ac:dyDescent="0.25">
      <c r="A16" s="94" t="s">
        <v>1237</v>
      </c>
      <c r="B16" s="93" t="s">
        <v>1310</v>
      </c>
      <c r="C16" s="93" t="s">
        <v>1256</v>
      </c>
      <c r="D16" s="93"/>
    </row>
    <row r="17" spans="1:4" x14ac:dyDescent="0.25">
      <c r="A17" s="92" t="s">
        <v>839</v>
      </c>
      <c r="B17" s="93" t="s">
        <v>730</v>
      </c>
      <c r="C17" s="93" t="s">
        <v>695</v>
      </c>
      <c r="D17" s="93"/>
    </row>
    <row r="18" spans="1:4" x14ac:dyDescent="0.25">
      <c r="A18" s="92" t="s">
        <v>839</v>
      </c>
      <c r="B18" s="93" t="s">
        <v>731</v>
      </c>
      <c r="C18" s="93" t="s">
        <v>697</v>
      </c>
      <c r="D18" s="93"/>
    </row>
    <row r="19" spans="1:4" x14ac:dyDescent="0.25">
      <c r="A19" s="92" t="s">
        <v>839</v>
      </c>
      <c r="B19" s="93" t="s">
        <v>732</v>
      </c>
      <c r="C19" s="93" t="s">
        <v>699</v>
      </c>
      <c r="D19" s="93"/>
    </row>
    <row r="20" spans="1:4" x14ac:dyDescent="0.25">
      <c r="A20" s="92" t="s">
        <v>839</v>
      </c>
      <c r="B20" s="93" t="s">
        <v>733</v>
      </c>
      <c r="C20" s="93" t="s">
        <v>700</v>
      </c>
      <c r="D20" s="93"/>
    </row>
    <row r="21" spans="1:4" x14ac:dyDescent="0.25">
      <c r="A21" s="92" t="s">
        <v>839</v>
      </c>
      <c r="B21" s="93" t="s">
        <v>734</v>
      </c>
      <c r="C21" s="93" t="s">
        <v>696</v>
      </c>
      <c r="D21" s="93"/>
    </row>
    <row r="22" spans="1:4" x14ac:dyDescent="0.25">
      <c r="A22" s="92" t="s">
        <v>839</v>
      </c>
      <c r="B22" s="93" t="s">
        <v>735</v>
      </c>
      <c r="C22" s="93" t="s">
        <v>698</v>
      </c>
      <c r="D22" s="93"/>
    </row>
    <row r="23" spans="1:4" x14ac:dyDescent="0.25">
      <c r="A23" s="92" t="s">
        <v>839</v>
      </c>
      <c r="B23" s="93" t="s">
        <v>736</v>
      </c>
      <c r="C23" s="93" t="s">
        <v>701</v>
      </c>
      <c r="D23" s="93"/>
    </row>
    <row r="24" spans="1:4" x14ac:dyDescent="0.25">
      <c r="A24" s="92" t="s">
        <v>839</v>
      </c>
      <c r="B24" s="93" t="s">
        <v>737</v>
      </c>
      <c r="C24" s="93" t="s">
        <v>702</v>
      </c>
      <c r="D24" s="93"/>
    </row>
    <row r="25" spans="1:4" x14ac:dyDescent="0.25">
      <c r="A25" s="92" t="s">
        <v>839</v>
      </c>
      <c r="B25" s="93" t="s">
        <v>928</v>
      </c>
      <c r="C25" s="93" t="s">
        <v>930</v>
      </c>
      <c r="D25" s="93"/>
    </row>
    <row r="26" spans="1:4" x14ac:dyDescent="0.25">
      <c r="A26" s="92" t="s">
        <v>738</v>
      </c>
      <c r="B26" s="93" t="s">
        <v>739</v>
      </c>
      <c r="C26" s="93" t="s">
        <v>705</v>
      </c>
      <c r="D26" s="93"/>
    </row>
    <row r="27" spans="1:4" x14ac:dyDescent="0.25">
      <c r="A27" s="92" t="s">
        <v>738</v>
      </c>
      <c r="B27" s="93" t="s">
        <v>740</v>
      </c>
      <c r="C27" s="93" t="s">
        <v>706</v>
      </c>
      <c r="D27" s="93"/>
    </row>
    <row r="28" spans="1:4" x14ac:dyDescent="0.25">
      <c r="A28" s="92" t="s">
        <v>741</v>
      </c>
      <c r="B28" s="93" t="s">
        <v>742</v>
      </c>
      <c r="C28" s="93" t="s">
        <v>707</v>
      </c>
      <c r="D28" s="93"/>
    </row>
    <row r="29" spans="1:4" x14ac:dyDescent="0.25">
      <c r="A29" s="92" t="s">
        <v>741</v>
      </c>
      <c r="B29" s="93" t="s">
        <v>743</v>
      </c>
      <c r="C29" s="93" t="s">
        <v>708</v>
      </c>
      <c r="D29" s="93"/>
    </row>
    <row r="30" spans="1:4" x14ac:dyDescent="0.25">
      <c r="A30" s="92" t="s">
        <v>744</v>
      </c>
      <c r="B30" s="93" t="s">
        <v>745</v>
      </c>
      <c r="C30" s="93" t="s">
        <v>709</v>
      </c>
      <c r="D30" s="93"/>
    </row>
    <row r="31" spans="1:4" x14ac:dyDescent="0.25">
      <c r="A31" s="92" t="s">
        <v>744</v>
      </c>
      <c r="B31" s="93" t="s">
        <v>746</v>
      </c>
      <c r="C31" s="93" t="s">
        <v>710</v>
      </c>
      <c r="D31" s="93"/>
    </row>
    <row r="32" spans="1:4" x14ac:dyDescent="0.25">
      <c r="A32" s="92" t="s">
        <v>744</v>
      </c>
      <c r="B32" s="93" t="s">
        <v>747</v>
      </c>
      <c r="C32" s="93" t="s">
        <v>711</v>
      </c>
      <c r="D32" s="93"/>
    </row>
    <row r="33" spans="1:4" x14ac:dyDescent="0.25">
      <c r="A33" s="92" t="s">
        <v>744</v>
      </c>
      <c r="B33" s="93" t="s">
        <v>748</v>
      </c>
      <c r="C33" s="93" t="s">
        <v>712</v>
      </c>
      <c r="D33" s="93"/>
    </row>
    <row r="34" spans="1:4" x14ac:dyDescent="0.25">
      <c r="A34" s="92" t="s">
        <v>749</v>
      </c>
      <c r="B34" s="93" t="s">
        <v>750</v>
      </c>
      <c r="C34" s="93" t="s">
        <v>713</v>
      </c>
      <c r="D34" s="93"/>
    </row>
    <row r="35" spans="1:4" x14ac:dyDescent="0.25">
      <c r="A35" s="92" t="s">
        <v>749</v>
      </c>
      <c r="B35" s="93" t="s">
        <v>751</v>
      </c>
      <c r="C35" s="93" t="s">
        <v>714</v>
      </c>
      <c r="D35" s="93"/>
    </row>
    <row r="36" spans="1:4" x14ac:dyDescent="0.25">
      <c r="A36" s="92" t="s">
        <v>749</v>
      </c>
      <c r="B36" s="93" t="s">
        <v>752</v>
      </c>
      <c r="C36" s="93" t="s">
        <v>715</v>
      </c>
      <c r="D36" s="93"/>
    </row>
    <row r="37" spans="1:4" ht="27.6" customHeight="1" x14ac:dyDescent="0.25">
      <c r="A37" s="92" t="s">
        <v>749</v>
      </c>
      <c r="B37" s="93" t="s">
        <v>753</v>
      </c>
      <c r="C37" s="93" t="s">
        <v>716</v>
      </c>
      <c r="D37" s="93"/>
    </row>
    <row r="38" spans="1:4" x14ac:dyDescent="0.25">
      <c r="A38" s="92" t="s">
        <v>754</v>
      </c>
      <c r="B38" s="93" t="s">
        <v>755</v>
      </c>
      <c r="C38" s="93" t="s">
        <v>717</v>
      </c>
      <c r="D38" s="93"/>
    </row>
    <row r="39" spans="1:4" x14ac:dyDescent="0.25">
      <c r="A39" s="92" t="s">
        <v>754</v>
      </c>
      <c r="B39" s="93" t="s">
        <v>756</v>
      </c>
      <c r="C39" s="93" t="s">
        <v>718</v>
      </c>
      <c r="D39" s="93"/>
    </row>
    <row r="40" spans="1:4" x14ac:dyDescent="0.25">
      <c r="A40" s="92" t="s">
        <v>754</v>
      </c>
      <c r="B40" s="93" t="s">
        <v>1311</v>
      </c>
      <c r="C40" s="93" t="s">
        <v>1297</v>
      </c>
      <c r="D40" s="93"/>
    </row>
    <row r="41" spans="1:4" x14ac:dyDescent="0.25">
      <c r="A41" s="92" t="s">
        <v>754</v>
      </c>
      <c r="B41" s="93" t="s">
        <v>1312</v>
      </c>
      <c r="C41" s="93" t="s">
        <v>1298</v>
      </c>
      <c r="D41" s="93"/>
    </row>
    <row r="42" spans="1:4" x14ac:dyDescent="0.25">
      <c r="A42" s="92" t="s">
        <v>754</v>
      </c>
      <c r="B42" s="93" t="s">
        <v>1313</v>
      </c>
      <c r="C42" s="93" t="s">
        <v>1299</v>
      </c>
      <c r="D42" s="93"/>
    </row>
    <row r="43" spans="1:4" x14ac:dyDescent="0.25">
      <c r="A43" s="92" t="s">
        <v>754</v>
      </c>
      <c r="B43" s="93" t="s">
        <v>1314</v>
      </c>
      <c r="C43" s="93" t="s">
        <v>1300</v>
      </c>
      <c r="D43" s="93"/>
    </row>
    <row r="44" spans="1:4" x14ac:dyDescent="0.25">
      <c r="A44" s="92" t="s">
        <v>757</v>
      </c>
      <c r="B44" s="93" t="s">
        <v>758</v>
      </c>
      <c r="C44" s="93" t="s">
        <v>703</v>
      </c>
      <c r="D44" s="93"/>
    </row>
    <row r="45" spans="1:4" x14ac:dyDescent="0.25">
      <c r="A45" s="92" t="s">
        <v>757</v>
      </c>
      <c r="B45" s="93" t="s">
        <v>759</v>
      </c>
      <c r="C45" s="93" t="s">
        <v>704</v>
      </c>
      <c r="D45" s="9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2:AB165"/>
  <sheetViews>
    <sheetView topLeftCell="A43" workbookViewId="0">
      <selection activeCell="F70" sqref="F70:N76"/>
    </sheetView>
  </sheetViews>
  <sheetFormatPr defaultRowHeight="12.75" x14ac:dyDescent="0.2"/>
  <cols>
    <col min="1" max="1" width="6.5703125" style="6" bestFit="1" customWidth="1"/>
    <col min="2" max="2" width="7.7109375" style="6" customWidth="1"/>
    <col min="3" max="3" width="51.5703125" style="6" customWidth="1"/>
    <col min="4" max="4" width="22.42578125" style="6" hidden="1" customWidth="1"/>
    <col min="5" max="5" width="8" style="6" hidden="1" customWidth="1"/>
    <col min="6" max="15" width="11.5703125" style="6" customWidth="1"/>
    <col min="16" max="16" width="4" style="6" customWidth="1"/>
    <col min="17" max="17" width="8.140625" style="6" bestFit="1" customWidth="1"/>
    <col min="18" max="16384" width="9.140625" style="6"/>
  </cols>
  <sheetData>
    <row r="2" spans="1:28" ht="21" x14ac:dyDescent="0.35">
      <c r="C2" s="34" t="s">
        <v>82</v>
      </c>
      <c r="D2" s="34"/>
      <c r="E2" s="11"/>
      <c r="F2" s="11"/>
      <c r="G2" s="11"/>
      <c r="H2" s="11"/>
      <c r="I2" s="11"/>
      <c r="J2" s="11"/>
      <c r="K2" s="11"/>
      <c r="L2" s="11"/>
      <c r="M2" s="11"/>
      <c r="N2" s="11"/>
      <c r="O2" s="11"/>
      <c r="R2" s="97" t="s">
        <v>761</v>
      </c>
    </row>
    <row r="3" spans="1:28" x14ac:dyDescent="0.2">
      <c r="B3" s="9"/>
      <c r="C3" s="16" t="s">
        <v>101</v>
      </c>
      <c r="D3" s="167">
        <f>BasicInfo!C21</f>
        <v>42366</v>
      </c>
      <c r="R3" s="6" t="s">
        <v>938</v>
      </c>
    </row>
    <row r="4" spans="1:28" x14ac:dyDescent="0.2">
      <c r="B4" s="8"/>
      <c r="C4" s="16" t="s">
        <v>83</v>
      </c>
      <c r="D4" s="168" t="str">
        <f>BasicInfo!C5</f>
        <v>Lennox International Inc.</v>
      </c>
      <c r="R4" s="6" t="s">
        <v>938</v>
      </c>
    </row>
    <row r="5" spans="1:28" x14ac:dyDescent="0.2">
      <c r="B5" s="8"/>
      <c r="C5" s="16" t="s">
        <v>72</v>
      </c>
      <c r="D5" s="168" t="str">
        <f>BasicInfo!C24</f>
        <v>USD</v>
      </c>
      <c r="R5" s="6" t="s">
        <v>938</v>
      </c>
    </row>
    <row r="6" spans="1:28" x14ac:dyDescent="0.2">
      <c r="B6" s="8"/>
      <c r="C6" s="7" t="s">
        <v>77</v>
      </c>
      <c r="D6" s="168" t="str">
        <f>BasicInfo!C25</f>
        <v>Million</v>
      </c>
      <c r="R6" s="6" t="s">
        <v>938</v>
      </c>
    </row>
    <row r="7" spans="1:28" x14ac:dyDescent="0.2">
      <c r="B7" s="11"/>
      <c r="C7" s="10" t="s">
        <v>923</v>
      </c>
      <c r="D7" s="121" t="str">
        <f>BasicInfo!C24&amp; " " &amp;BasicInfo!C25</f>
        <v>USD Million</v>
      </c>
      <c r="E7" s="11"/>
      <c r="F7" s="11"/>
      <c r="G7" s="11"/>
      <c r="H7" s="11"/>
      <c r="I7" s="11"/>
      <c r="J7" s="11"/>
      <c r="K7" s="11"/>
      <c r="L7" s="11"/>
      <c r="M7" s="11"/>
      <c r="N7" s="11"/>
      <c r="O7" s="11"/>
      <c r="R7" s="102" t="s">
        <v>939</v>
      </c>
    </row>
    <row r="8" spans="1:28" x14ac:dyDescent="0.2">
      <c r="C8" s="5" t="s">
        <v>94</v>
      </c>
      <c r="D8" s="5"/>
      <c r="R8" s="46" t="s">
        <v>868</v>
      </c>
    </row>
    <row r="9" spans="1:28" x14ac:dyDescent="0.2">
      <c r="C9" s="5" t="s">
        <v>85</v>
      </c>
      <c r="D9" s="5"/>
      <c r="R9" s="46" t="s">
        <v>869</v>
      </c>
    </row>
    <row r="10" spans="1:28" ht="38.25" x14ac:dyDescent="0.25">
      <c r="A10"/>
      <c r="B10" s="13" t="s">
        <v>142</v>
      </c>
      <c r="C10" s="13" t="s">
        <v>44</v>
      </c>
      <c r="D10" s="13"/>
      <c r="E10" s="146" t="s">
        <v>70</v>
      </c>
      <c r="F10" s="321" t="s">
        <v>63</v>
      </c>
      <c r="G10" s="322"/>
      <c r="H10" s="322"/>
      <c r="I10" s="323"/>
      <c r="J10" s="181" t="s">
        <v>829</v>
      </c>
      <c r="K10" s="149" t="s">
        <v>76</v>
      </c>
      <c r="L10" s="149" t="s">
        <v>75</v>
      </c>
      <c r="M10" s="149" t="s">
        <v>74</v>
      </c>
      <c r="N10" s="181" t="s">
        <v>73</v>
      </c>
      <c r="O10" s="149" t="s">
        <v>71</v>
      </c>
      <c r="R10" s="6" t="s">
        <v>775</v>
      </c>
    </row>
    <row r="11" spans="1:28" x14ac:dyDescent="0.2">
      <c r="B11" s="13"/>
      <c r="C11" s="2"/>
      <c r="D11" s="2"/>
      <c r="E11" s="147" t="s">
        <v>87</v>
      </c>
      <c r="F11" s="151">
        <f>G11-92.6</f>
        <v>41906.600000000006</v>
      </c>
      <c r="G11" s="151">
        <f>H11-92.6</f>
        <v>41999.200000000004</v>
      </c>
      <c r="H11" s="151">
        <f>I11-92.6</f>
        <v>42091.8</v>
      </c>
      <c r="I11" s="151">
        <f>J11-92.6</f>
        <v>42184.4</v>
      </c>
      <c r="J11" s="182">
        <f>BasicInfo!C18</f>
        <v>42277</v>
      </c>
      <c r="K11" s="157">
        <f>L11-366</f>
        <v>40905</v>
      </c>
      <c r="L11" s="157">
        <f>M11-366</f>
        <v>41271</v>
      </c>
      <c r="M11" s="157">
        <f>N11-366</f>
        <v>41637</v>
      </c>
      <c r="N11" s="183">
        <f>BasicInfo!C19-366</f>
        <v>42003</v>
      </c>
      <c r="O11" s="151">
        <f>J11</f>
        <v>42277</v>
      </c>
      <c r="R11" s="6" t="s">
        <v>934</v>
      </c>
    </row>
    <row r="12" spans="1:28" ht="12.75" customHeight="1" x14ac:dyDescent="0.2">
      <c r="B12" s="53"/>
      <c r="C12" s="53"/>
      <c r="D12" s="53"/>
      <c r="E12" s="53"/>
      <c r="F12" s="53"/>
      <c r="G12" s="53"/>
      <c r="H12" s="53"/>
      <c r="I12" s="53"/>
      <c r="J12" s="53"/>
      <c r="K12" s="53"/>
      <c r="L12" s="53"/>
      <c r="M12" s="53"/>
      <c r="N12" s="53"/>
      <c r="O12" s="53"/>
      <c r="R12" s="6" t="s">
        <v>933</v>
      </c>
    </row>
    <row r="13" spans="1:28" ht="15" x14ac:dyDescent="0.25">
      <c r="A13" t="s">
        <v>825</v>
      </c>
      <c r="B13" s="13" t="s">
        <v>143</v>
      </c>
      <c r="C13" s="19" t="s">
        <v>45</v>
      </c>
      <c r="D13" s="53"/>
      <c r="E13" s="53"/>
      <c r="F13" s="154">
        <f t="shared" ref="F13:N13" si="0">SUM(F14:F16)</f>
        <v>0</v>
      </c>
      <c r="G13" s="154">
        <f t="shared" si="0"/>
        <v>0</v>
      </c>
      <c r="H13" s="154">
        <f t="shared" si="0"/>
        <v>0</v>
      </c>
      <c r="I13" s="154">
        <f t="shared" si="0"/>
        <v>0</v>
      </c>
      <c r="J13" s="154">
        <f t="shared" si="0"/>
        <v>0</v>
      </c>
      <c r="K13" s="154">
        <f t="shared" si="0"/>
        <v>0</v>
      </c>
      <c r="L13" s="154">
        <f t="shared" si="0"/>
        <v>0</v>
      </c>
      <c r="M13" s="154">
        <f t="shared" si="0"/>
        <v>0</v>
      </c>
      <c r="N13" s="154">
        <f t="shared" si="0"/>
        <v>0</v>
      </c>
      <c r="O13" s="155">
        <f>SUM(G13:J13)</f>
        <v>0</v>
      </c>
      <c r="P13" s="15"/>
      <c r="Q13" s="15"/>
      <c r="S13" s="15"/>
      <c r="T13" s="15"/>
      <c r="U13" s="15"/>
      <c r="V13" s="15"/>
      <c r="W13" s="15"/>
      <c r="X13" s="15"/>
      <c r="Y13" s="15"/>
      <c r="Z13" s="15"/>
      <c r="AA13" s="15"/>
      <c r="AB13" s="15"/>
    </row>
    <row r="14" spans="1:28" x14ac:dyDescent="0.2">
      <c r="B14" s="2" t="s">
        <v>144</v>
      </c>
      <c r="C14" s="21" t="s">
        <v>45</v>
      </c>
      <c r="D14" s="53"/>
      <c r="E14" s="53"/>
      <c r="F14" s="55"/>
      <c r="G14" s="55"/>
      <c r="H14" s="55"/>
      <c r="I14" s="55"/>
      <c r="J14" s="55"/>
      <c r="K14" s="55"/>
      <c r="L14" s="55"/>
      <c r="M14" s="55"/>
      <c r="N14" s="55"/>
      <c r="O14" s="155">
        <f>SUM(G14:J14)</f>
        <v>0</v>
      </c>
      <c r="P14" s="15"/>
      <c r="Q14" s="15"/>
      <c r="R14" s="100" t="s">
        <v>870</v>
      </c>
      <c r="S14" s="15"/>
      <c r="T14" s="15"/>
      <c r="U14" s="15"/>
      <c r="V14" s="15"/>
      <c r="W14" s="15"/>
      <c r="X14" s="15"/>
      <c r="Y14" s="15"/>
      <c r="Z14" s="15"/>
      <c r="AA14" s="15"/>
      <c r="AB14" s="15"/>
    </row>
    <row r="15" spans="1:28" x14ac:dyDescent="0.2">
      <c r="B15" s="2" t="s">
        <v>147</v>
      </c>
      <c r="C15" s="23" t="s">
        <v>175</v>
      </c>
      <c r="D15" s="53"/>
      <c r="E15" s="53"/>
      <c r="F15" s="55"/>
      <c r="G15" s="55"/>
      <c r="H15" s="55"/>
      <c r="I15" s="55"/>
      <c r="J15" s="55"/>
      <c r="K15" s="55"/>
      <c r="L15" s="55"/>
      <c r="M15" s="55"/>
      <c r="N15" s="55"/>
      <c r="O15" s="155">
        <f t="shared" ref="O15:O22" si="1">SUM(G15:J15)</f>
        <v>0</v>
      </c>
      <c r="P15" s="15"/>
      <c r="Q15" s="15"/>
      <c r="R15" s="24" t="s">
        <v>871</v>
      </c>
      <c r="S15" s="15"/>
      <c r="T15" s="15"/>
      <c r="U15" s="15"/>
      <c r="V15" s="15"/>
      <c r="W15" s="15"/>
      <c r="X15" s="15"/>
      <c r="Y15" s="15"/>
      <c r="Z15" s="15"/>
      <c r="AA15" s="15"/>
      <c r="AB15" s="15"/>
    </row>
    <row r="16" spans="1:28" x14ac:dyDescent="0.2">
      <c r="B16" s="2" t="s">
        <v>148</v>
      </c>
      <c r="C16" s="21" t="s">
        <v>84</v>
      </c>
      <c r="D16" s="53"/>
      <c r="E16" s="53"/>
      <c r="F16" s="55"/>
      <c r="G16" s="55"/>
      <c r="H16" s="55"/>
      <c r="I16" s="55"/>
      <c r="J16" s="55"/>
      <c r="K16" s="55"/>
      <c r="L16" s="55"/>
      <c r="M16" s="55"/>
      <c r="N16" s="55"/>
      <c r="O16" s="155">
        <f t="shared" si="1"/>
        <v>0</v>
      </c>
      <c r="P16" s="15"/>
      <c r="Q16" s="15"/>
      <c r="R16" s="24" t="s">
        <v>872</v>
      </c>
      <c r="S16" s="15"/>
      <c r="T16" s="15"/>
      <c r="U16" s="15"/>
      <c r="V16" s="15"/>
      <c r="W16" s="15"/>
      <c r="X16" s="15"/>
      <c r="Y16" s="15"/>
      <c r="Z16" s="15"/>
      <c r="AA16" s="15"/>
      <c r="AB16" s="15"/>
    </row>
    <row r="17" spans="1:28" x14ac:dyDescent="0.2">
      <c r="B17" s="53"/>
      <c r="C17" s="53"/>
      <c r="D17" s="53"/>
      <c r="E17" s="53"/>
      <c r="F17" s="53"/>
      <c r="G17" s="53"/>
      <c r="H17" s="53"/>
      <c r="I17" s="53"/>
      <c r="J17" s="53"/>
      <c r="K17" s="53"/>
      <c r="L17" s="53"/>
      <c r="M17" s="53"/>
      <c r="N17" s="53"/>
      <c r="O17" s="53"/>
      <c r="P17" s="15"/>
      <c r="Q17" s="15"/>
      <c r="R17" s="24" t="s">
        <v>873</v>
      </c>
      <c r="S17" s="15"/>
      <c r="T17" s="15"/>
      <c r="U17" s="15"/>
      <c r="V17" s="15"/>
      <c r="W17" s="15"/>
      <c r="X17" s="15"/>
      <c r="Y17" s="15"/>
      <c r="Z17" s="15"/>
      <c r="AA17" s="15"/>
      <c r="AB17" s="15"/>
    </row>
    <row r="18" spans="1:28" x14ac:dyDescent="0.2">
      <c r="B18" s="13" t="s">
        <v>154</v>
      </c>
      <c r="C18" s="19" t="s">
        <v>46</v>
      </c>
      <c r="D18" s="53"/>
      <c r="E18" s="53"/>
      <c r="F18" s="154">
        <f t="shared" ref="F18:N18" si="2">SUM(F19:F20)</f>
        <v>0</v>
      </c>
      <c r="G18" s="154">
        <f t="shared" si="2"/>
        <v>0</v>
      </c>
      <c r="H18" s="154">
        <f t="shared" si="2"/>
        <v>0</v>
      </c>
      <c r="I18" s="154">
        <f t="shared" si="2"/>
        <v>0</v>
      </c>
      <c r="J18" s="154">
        <f t="shared" si="2"/>
        <v>0</v>
      </c>
      <c r="K18" s="154">
        <f t="shared" si="2"/>
        <v>0</v>
      </c>
      <c r="L18" s="154">
        <f t="shared" si="2"/>
        <v>0</v>
      </c>
      <c r="M18" s="154">
        <f t="shared" si="2"/>
        <v>0</v>
      </c>
      <c r="N18" s="154">
        <f t="shared" si="2"/>
        <v>0</v>
      </c>
      <c r="O18" s="155">
        <f t="shared" si="1"/>
        <v>0</v>
      </c>
      <c r="P18" s="15"/>
      <c r="Q18" s="15"/>
      <c r="R18" s="6" t="s">
        <v>874</v>
      </c>
      <c r="S18" s="15"/>
      <c r="T18" s="15"/>
      <c r="U18" s="15"/>
      <c r="V18" s="15"/>
      <c r="W18" s="15"/>
      <c r="X18" s="15"/>
      <c r="Y18" s="15"/>
      <c r="Z18" s="15"/>
      <c r="AA18" s="15"/>
      <c r="AB18" s="15"/>
    </row>
    <row r="19" spans="1:28" x14ac:dyDescent="0.2">
      <c r="A19" s="6" t="s">
        <v>929</v>
      </c>
      <c r="B19" s="2" t="s">
        <v>155</v>
      </c>
      <c r="C19" s="21" t="s">
        <v>46</v>
      </c>
      <c r="D19" s="53"/>
      <c r="E19" s="53"/>
      <c r="F19" s="56"/>
      <c r="G19" s="56"/>
      <c r="H19" s="56"/>
      <c r="I19" s="56"/>
      <c r="J19" s="56"/>
      <c r="K19" s="56"/>
      <c r="L19" s="56"/>
      <c r="M19" s="56"/>
      <c r="N19" s="56"/>
      <c r="O19" s="155">
        <f t="shared" si="1"/>
        <v>0</v>
      </c>
      <c r="P19" s="15"/>
      <c r="Q19" s="15"/>
      <c r="R19" s="17" t="s">
        <v>875</v>
      </c>
      <c r="S19" s="15"/>
      <c r="T19" s="15"/>
      <c r="U19" s="15"/>
      <c r="V19" s="15"/>
      <c r="W19" s="15"/>
      <c r="X19" s="15"/>
      <c r="Y19" s="15"/>
      <c r="Z19" s="15"/>
      <c r="AA19" s="15"/>
      <c r="AB19" s="15"/>
    </row>
    <row r="20" spans="1:28" x14ac:dyDescent="0.2">
      <c r="B20" s="2" t="s">
        <v>158</v>
      </c>
      <c r="C20" s="21" t="s">
        <v>84</v>
      </c>
      <c r="D20" s="53"/>
      <c r="E20" s="53"/>
      <c r="F20" s="55"/>
      <c r="G20" s="55"/>
      <c r="H20" s="55"/>
      <c r="I20" s="55"/>
      <c r="J20" s="55"/>
      <c r="K20" s="55"/>
      <c r="L20" s="55"/>
      <c r="M20" s="55"/>
      <c r="N20" s="55"/>
      <c r="O20" s="155">
        <f t="shared" si="1"/>
        <v>0</v>
      </c>
      <c r="P20" s="15"/>
      <c r="Q20" s="15"/>
      <c r="R20" s="46" t="s">
        <v>876</v>
      </c>
      <c r="S20" s="15"/>
      <c r="T20" s="15"/>
      <c r="U20" s="15"/>
      <c r="V20" s="15"/>
      <c r="W20" s="15"/>
      <c r="X20" s="15"/>
      <c r="Y20" s="15"/>
      <c r="Z20" s="15"/>
      <c r="AA20" s="15"/>
      <c r="AB20" s="15"/>
    </row>
    <row r="21" spans="1:28" x14ac:dyDescent="0.2">
      <c r="B21" s="53"/>
      <c r="C21" s="53"/>
      <c r="D21" s="53"/>
      <c r="E21" s="53"/>
      <c r="F21" s="53"/>
      <c r="G21" s="53"/>
      <c r="H21" s="53"/>
      <c r="I21" s="53"/>
      <c r="J21" s="53"/>
      <c r="K21" s="53"/>
      <c r="L21" s="53"/>
      <c r="M21" s="53"/>
      <c r="N21" s="53"/>
      <c r="O21" s="53"/>
      <c r="P21" s="15"/>
      <c r="Q21" s="15"/>
      <c r="R21" s="24"/>
      <c r="S21" s="15"/>
      <c r="T21" s="15"/>
      <c r="U21" s="15"/>
      <c r="V21" s="15"/>
      <c r="W21" s="15"/>
      <c r="X21" s="15"/>
      <c r="Y21" s="15"/>
      <c r="Z21" s="15"/>
      <c r="AA21" s="15"/>
      <c r="AB21" s="15"/>
    </row>
    <row r="22" spans="1:28" x14ac:dyDescent="0.2">
      <c r="B22" s="13" t="s">
        <v>161</v>
      </c>
      <c r="C22" s="22" t="s">
        <v>337</v>
      </c>
      <c r="D22" s="53"/>
      <c r="E22" s="53"/>
      <c r="F22" s="154">
        <f t="shared" ref="F22:N22" si="3">SUM(F13,F18)</f>
        <v>0</v>
      </c>
      <c r="G22" s="154">
        <f t="shared" si="3"/>
        <v>0</v>
      </c>
      <c r="H22" s="154">
        <f t="shared" si="3"/>
        <v>0</v>
      </c>
      <c r="I22" s="154">
        <f t="shared" si="3"/>
        <v>0</v>
      </c>
      <c r="J22" s="154">
        <f t="shared" si="3"/>
        <v>0</v>
      </c>
      <c r="K22" s="154">
        <f t="shared" si="3"/>
        <v>0</v>
      </c>
      <c r="L22" s="154">
        <f t="shared" si="3"/>
        <v>0</v>
      </c>
      <c r="M22" s="154">
        <f t="shared" si="3"/>
        <v>0</v>
      </c>
      <c r="N22" s="154">
        <f t="shared" si="3"/>
        <v>0</v>
      </c>
      <c r="O22" s="316">
        <f t="shared" si="1"/>
        <v>0</v>
      </c>
      <c r="P22" s="15"/>
      <c r="Q22" s="15"/>
      <c r="R22" s="99" t="s">
        <v>877</v>
      </c>
      <c r="S22" s="15"/>
      <c r="T22" s="15"/>
      <c r="U22" s="15"/>
      <c r="V22" s="15"/>
      <c r="W22" s="15"/>
      <c r="X22" s="15"/>
      <c r="Y22" s="15"/>
      <c r="Z22" s="15"/>
      <c r="AA22" s="15"/>
      <c r="AB22" s="15"/>
    </row>
    <row r="23" spans="1:28" x14ac:dyDescent="0.2">
      <c r="B23" s="53"/>
      <c r="C23" s="53"/>
      <c r="D23" s="53"/>
      <c r="E23" s="53"/>
      <c r="F23" s="53"/>
      <c r="G23" s="53"/>
      <c r="H23" s="53"/>
      <c r="I23" s="53"/>
      <c r="J23" s="53"/>
      <c r="K23" s="53"/>
      <c r="L23" s="53"/>
      <c r="M23" s="53"/>
      <c r="N23" s="53"/>
      <c r="O23" s="53"/>
      <c r="P23" s="15"/>
      <c r="Q23" s="15"/>
      <c r="R23" s="6" t="s">
        <v>878</v>
      </c>
      <c r="S23" s="15"/>
      <c r="T23" s="15"/>
      <c r="U23" s="15"/>
      <c r="V23" s="15"/>
      <c r="W23" s="15"/>
      <c r="X23" s="15"/>
      <c r="Y23" s="15"/>
      <c r="Z23" s="15"/>
      <c r="AA23" s="15"/>
      <c r="AB23" s="15"/>
    </row>
    <row r="24" spans="1:28" x14ac:dyDescent="0.2">
      <c r="B24" s="13" t="s">
        <v>166</v>
      </c>
      <c r="C24" s="19" t="s">
        <v>343</v>
      </c>
      <c r="D24" s="53"/>
      <c r="E24" s="53"/>
      <c r="F24" s="154">
        <f t="shared" ref="F24:N24" si="4">SUM(F25:F26)</f>
        <v>0</v>
      </c>
      <c r="G24" s="154">
        <f t="shared" si="4"/>
        <v>0</v>
      </c>
      <c r="H24" s="154">
        <f t="shared" si="4"/>
        <v>0</v>
      </c>
      <c r="I24" s="154">
        <f t="shared" si="4"/>
        <v>0</v>
      </c>
      <c r="J24" s="154">
        <f t="shared" si="4"/>
        <v>0</v>
      </c>
      <c r="K24" s="154">
        <f t="shared" si="4"/>
        <v>0</v>
      </c>
      <c r="L24" s="154">
        <f t="shared" si="4"/>
        <v>0</v>
      </c>
      <c r="M24" s="154">
        <f t="shared" si="4"/>
        <v>0</v>
      </c>
      <c r="N24" s="154">
        <f t="shared" si="4"/>
        <v>0</v>
      </c>
      <c r="O24" s="316">
        <f>SUM(G24:J24)</f>
        <v>0</v>
      </c>
      <c r="P24" s="15"/>
      <c r="Q24" s="15"/>
      <c r="R24" s="6" t="s">
        <v>879</v>
      </c>
      <c r="S24" s="15"/>
      <c r="T24" s="15"/>
      <c r="U24" s="15"/>
      <c r="V24" s="15"/>
      <c r="W24" s="15"/>
      <c r="X24" s="15"/>
      <c r="Y24" s="15"/>
      <c r="Z24" s="15"/>
      <c r="AA24" s="15"/>
      <c r="AB24" s="15"/>
    </row>
    <row r="25" spans="1:28" x14ac:dyDescent="0.2">
      <c r="B25" s="2" t="s">
        <v>167</v>
      </c>
      <c r="C25" s="21" t="s">
        <v>50</v>
      </c>
      <c r="D25" s="53"/>
      <c r="E25" s="53"/>
      <c r="F25" s="55">
        <v>0</v>
      </c>
      <c r="G25" s="55">
        <v>0</v>
      </c>
      <c r="H25" s="55">
        <v>0</v>
      </c>
      <c r="I25" s="55">
        <v>0</v>
      </c>
      <c r="J25" s="55">
        <v>0</v>
      </c>
      <c r="K25" s="55">
        <v>0</v>
      </c>
      <c r="L25" s="55">
        <v>0</v>
      </c>
      <c r="M25" s="55">
        <v>0</v>
      </c>
      <c r="N25" s="55">
        <v>0</v>
      </c>
      <c r="O25" s="155">
        <f>SUM(G25:J25)</f>
        <v>0</v>
      </c>
      <c r="P25" s="15"/>
      <c r="Q25" s="15"/>
      <c r="R25" s="6" t="s">
        <v>880</v>
      </c>
      <c r="S25" s="15"/>
      <c r="T25" s="15"/>
      <c r="U25" s="15"/>
      <c r="V25" s="15"/>
      <c r="W25" s="15"/>
      <c r="X25" s="15"/>
      <c r="Y25" s="15"/>
      <c r="Z25" s="15"/>
      <c r="AA25" s="15"/>
      <c r="AB25" s="15"/>
    </row>
    <row r="26" spans="1:28" x14ac:dyDescent="0.2">
      <c r="B26" s="2" t="s">
        <v>168</v>
      </c>
      <c r="C26" s="21" t="s">
        <v>1319</v>
      </c>
      <c r="D26" s="53"/>
      <c r="E26" s="53"/>
      <c r="F26" s="55"/>
      <c r="G26" s="55"/>
      <c r="H26" s="55"/>
      <c r="I26" s="55"/>
      <c r="J26" s="55"/>
      <c r="K26" s="55"/>
      <c r="L26" s="55"/>
      <c r="M26" s="55"/>
      <c r="N26" s="55"/>
      <c r="O26" s="155">
        <f>SUM(G26:J26)</f>
        <v>0</v>
      </c>
      <c r="P26" s="15"/>
      <c r="Q26" s="15"/>
      <c r="R26" s="6" t="s">
        <v>881</v>
      </c>
      <c r="S26" s="15"/>
      <c r="T26" s="15"/>
      <c r="U26" s="15"/>
      <c r="V26" s="15"/>
      <c r="W26" s="15"/>
      <c r="X26" s="15"/>
      <c r="Y26" s="15"/>
      <c r="Z26" s="15"/>
    </row>
    <row r="27" spans="1:28" x14ac:dyDescent="0.2">
      <c r="B27" s="53"/>
      <c r="C27" s="53"/>
      <c r="D27" s="53"/>
      <c r="E27" s="53"/>
      <c r="F27" s="53"/>
      <c r="G27" s="53"/>
      <c r="H27" s="53"/>
      <c r="I27" s="53"/>
      <c r="J27" s="53"/>
      <c r="K27" s="53"/>
      <c r="L27" s="53"/>
      <c r="M27" s="53"/>
      <c r="N27" s="53"/>
      <c r="O27" s="53"/>
      <c r="P27" s="15"/>
      <c r="Q27" s="15"/>
      <c r="R27" s="6" t="s">
        <v>948</v>
      </c>
      <c r="S27" s="15"/>
      <c r="T27" s="15"/>
      <c r="U27" s="15"/>
      <c r="V27" s="15"/>
      <c r="W27" s="15"/>
      <c r="X27" s="15"/>
      <c r="Y27" s="15"/>
      <c r="Z27" s="15"/>
    </row>
    <row r="28" spans="1:28" x14ac:dyDescent="0.2">
      <c r="B28" s="13" t="s">
        <v>169</v>
      </c>
      <c r="C28" s="19" t="s">
        <v>47</v>
      </c>
      <c r="D28" s="53"/>
      <c r="E28" s="53"/>
      <c r="F28" s="154">
        <f t="shared" ref="F28:N28" si="5">SUM(F29:F31)</f>
        <v>0</v>
      </c>
      <c r="G28" s="154">
        <f t="shared" si="5"/>
        <v>0</v>
      </c>
      <c r="H28" s="154">
        <f t="shared" si="5"/>
        <v>0</v>
      </c>
      <c r="I28" s="154">
        <f t="shared" si="5"/>
        <v>0</v>
      </c>
      <c r="J28" s="154">
        <f t="shared" si="5"/>
        <v>0</v>
      </c>
      <c r="K28" s="154">
        <f t="shared" si="5"/>
        <v>0</v>
      </c>
      <c r="L28" s="154">
        <f t="shared" si="5"/>
        <v>0</v>
      </c>
      <c r="M28" s="154">
        <f t="shared" si="5"/>
        <v>0</v>
      </c>
      <c r="N28" s="154">
        <f t="shared" si="5"/>
        <v>0</v>
      </c>
      <c r="O28" s="316">
        <f>SUM(G28:J28)</f>
        <v>0</v>
      </c>
      <c r="P28" s="15"/>
      <c r="Q28" s="15"/>
      <c r="S28" s="15"/>
      <c r="T28" s="15"/>
      <c r="U28" s="15"/>
      <c r="V28" s="15"/>
      <c r="W28" s="15"/>
      <c r="X28" s="15"/>
      <c r="Y28" s="15"/>
      <c r="Z28" s="15"/>
    </row>
    <row r="29" spans="1:28" x14ac:dyDescent="0.2">
      <c r="A29" s="6" t="s">
        <v>929</v>
      </c>
      <c r="B29" s="2" t="s">
        <v>170</v>
      </c>
      <c r="C29" s="21" t="s">
        <v>86</v>
      </c>
      <c r="D29" s="53"/>
      <c r="E29" s="53"/>
      <c r="F29" s="56"/>
      <c r="G29" s="56"/>
      <c r="H29" s="56"/>
      <c r="I29" s="56"/>
      <c r="J29" s="56"/>
      <c r="K29" s="56"/>
      <c r="L29" s="56"/>
      <c r="M29" s="56"/>
      <c r="N29" s="56"/>
      <c r="O29" s="155">
        <f>SUM(G29:J29)</f>
        <v>0</v>
      </c>
      <c r="P29" s="15"/>
      <c r="Q29" s="15"/>
      <c r="S29" s="15"/>
      <c r="T29" s="15"/>
      <c r="U29" s="15"/>
      <c r="V29" s="15"/>
      <c r="W29" s="15"/>
      <c r="X29" s="15"/>
      <c r="Y29" s="15"/>
      <c r="Z29" s="15"/>
    </row>
    <row r="30" spans="1:28" x14ac:dyDescent="0.2">
      <c r="A30" s="6" t="s">
        <v>929</v>
      </c>
      <c r="B30" s="2" t="s">
        <v>171</v>
      </c>
      <c r="C30" s="21" t="s">
        <v>48</v>
      </c>
      <c r="D30" s="53"/>
      <c r="E30" s="53"/>
      <c r="F30" s="56"/>
      <c r="G30" s="56"/>
      <c r="H30" s="56"/>
      <c r="I30" s="56"/>
      <c r="J30" s="56"/>
      <c r="K30" s="56"/>
      <c r="L30" s="56"/>
      <c r="M30" s="56"/>
      <c r="N30" s="56"/>
      <c r="O30" s="155">
        <f>SUM(G30:J30)</f>
        <v>0</v>
      </c>
      <c r="P30" s="15"/>
      <c r="Q30" s="15"/>
      <c r="R30" s="24"/>
      <c r="S30" s="15"/>
      <c r="T30" s="15"/>
      <c r="U30" s="15"/>
      <c r="V30" s="15"/>
      <c r="W30" s="15"/>
      <c r="X30" s="15"/>
      <c r="Y30" s="15"/>
      <c r="Z30" s="15"/>
    </row>
    <row r="31" spans="1:28" x14ac:dyDescent="0.2">
      <c r="A31" s="6" t="s">
        <v>929</v>
      </c>
      <c r="B31" s="2" t="s">
        <v>172</v>
      </c>
      <c r="C31" s="21" t="s">
        <v>49</v>
      </c>
      <c r="D31" s="53"/>
      <c r="E31" s="53"/>
      <c r="F31" s="56"/>
      <c r="G31" s="56"/>
      <c r="H31" s="56"/>
      <c r="I31" s="56"/>
      <c r="J31" s="56"/>
      <c r="K31" s="56"/>
      <c r="L31" s="56"/>
      <c r="M31" s="56"/>
      <c r="N31" s="56"/>
      <c r="O31" s="155">
        <f>SUM(G31:J31)</f>
        <v>0</v>
      </c>
      <c r="P31" s="15"/>
      <c r="Q31" s="15"/>
      <c r="R31" s="24"/>
      <c r="S31" s="15"/>
      <c r="T31" s="15"/>
      <c r="U31" s="15"/>
      <c r="V31" s="15"/>
      <c r="W31" s="15"/>
      <c r="X31" s="15"/>
      <c r="Y31" s="15"/>
      <c r="Z31" s="15"/>
    </row>
    <row r="32" spans="1:28" x14ac:dyDescent="0.2">
      <c r="B32" s="53"/>
      <c r="C32" s="53"/>
      <c r="D32" s="53"/>
      <c r="E32" s="53"/>
      <c r="F32" s="53"/>
      <c r="G32" s="53"/>
      <c r="H32" s="53"/>
      <c r="I32" s="53"/>
      <c r="J32" s="53"/>
      <c r="K32" s="53"/>
      <c r="L32" s="53"/>
      <c r="M32" s="53"/>
      <c r="N32" s="53"/>
      <c r="O32" s="53"/>
      <c r="P32" s="15"/>
      <c r="Q32" s="15"/>
      <c r="R32" s="24"/>
      <c r="S32" s="15"/>
      <c r="T32" s="15"/>
      <c r="U32" s="15"/>
      <c r="V32" s="15"/>
      <c r="W32" s="15"/>
      <c r="X32" s="15"/>
      <c r="Y32" s="15"/>
      <c r="Z32" s="15"/>
    </row>
    <row r="33" spans="1:26" x14ac:dyDescent="0.2">
      <c r="B33" s="13" t="s">
        <v>177</v>
      </c>
      <c r="C33" s="22" t="s">
        <v>338</v>
      </c>
      <c r="D33" s="53"/>
      <c r="E33" s="53"/>
      <c r="F33" s="154">
        <f t="shared" ref="F33:N33" si="6">SUM(F22,F24,F28)</f>
        <v>0</v>
      </c>
      <c r="G33" s="154">
        <f t="shared" si="6"/>
        <v>0</v>
      </c>
      <c r="H33" s="154">
        <f t="shared" si="6"/>
        <v>0</v>
      </c>
      <c r="I33" s="154">
        <f t="shared" si="6"/>
        <v>0</v>
      </c>
      <c r="J33" s="154">
        <f t="shared" si="6"/>
        <v>0</v>
      </c>
      <c r="K33" s="154">
        <f t="shared" si="6"/>
        <v>0</v>
      </c>
      <c r="L33" s="154">
        <f t="shared" si="6"/>
        <v>0</v>
      </c>
      <c r="M33" s="154">
        <f t="shared" si="6"/>
        <v>0</v>
      </c>
      <c r="N33" s="154">
        <f t="shared" si="6"/>
        <v>0</v>
      </c>
      <c r="O33" s="316">
        <f>SUM(G33:J33)</f>
        <v>0</v>
      </c>
      <c r="P33" s="15"/>
      <c r="Q33" s="15"/>
      <c r="R33" s="24"/>
      <c r="S33" s="15"/>
      <c r="T33" s="15"/>
      <c r="U33" s="15"/>
      <c r="V33" s="15"/>
      <c r="W33" s="15"/>
      <c r="X33" s="15"/>
      <c r="Y33" s="15"/>
      <c r="Z33" s="15"/>
    </row>
    <row r="34" spans="1:26" x14ac:dyDescent="0.2">
      <c r="B34" s="53"/>
      <c r="C34" s="53"/>
      <c r="D34" s="53"/>
      <c r="E34" s="53"/>
      <c r="F34" s="53"/>
      <c r="G34" s="53"/>
      <c r="H34" s="53"/>
      <c r="I34" s="53"/>
      <c r="J34" s="53"/>
      <c r="K34" s="53"/>
      <c r="L34" s="53"/>
      <c r="M34" s="53"/>
      <c r="N34" s="53"/>
      <c r="O34" s="53"/>
      <c r="P34" s="15"/>
      <c r="Q34" s="15"/>
      <c r="R34" s="24"/>
      <c r="S34" s="15"/>
      <c r="T34" s="15"/>
      <c r="U34" s="15"/>
      <c r="V34" s="15"/>
      <c r="W34" s="15"/>
      <c r="X34" s="15"/>
      <c r="Y34" s="15"/>
      <c r="Z34" s="15"/>
    </row>
    <row r="35" spans="1:26" x14ac:dyDescent="0.2">
      <c r="B35" s="13" t="s">
        <v>178</v>
      </c>
      <c r="C35" s="19" t="s">
        <v>57</v>
      </c>
      <c r="D35" s="53"/>
      <c r="E35" s="53"/>
      <c r="F35" s="154">
        <f t="shared" ref="F35:N35" si="7">SUM(F36:F41)</f>
        <v>0</v>
      </c>
      <c r="G35" s="154">
        <f t="shared" si="7"/>
        <v>0</v>
      </c>
      <c r="H35" s="154">
        <f t="shared" si="7"/>
        <v>0</v>
      </c>
      <c r="I35" s="154">
        <f t="shared" si="7"/>
        <v>0</v>
      </c>
      <c r="J35" s="154">
        <f t="shared" si="7"/>
        <v>0</v>
      </c>
      <c r="K35" s="154">
        <f t="shared" si="7"/>
        <v>0</v>
      </c>
      <c r="L35" s="154">
        <f t="shared" si="7"/>
        <v>0</v>
      </c>
      <c r="M35" s="154">
        <f t="shared" si="7"/>
        <v>0</v>
      </c>
      <c r="N35" s="154">
        <f t="shared" si="7"/>
        <v>0</v>
      </c>
      <c r="O35" s="316">
        <f>SUM(G35:J35)</f>
        <v>0</v>
      </c>
      <c r="P35" s="15"/>
      <c r="Q35" s="15"/>
      <c r="R35" s="24"/>
      <c r="S35" s="15"/>
      <c r="T35" s="15"/>
      <c r="U35" s="15"/>
      <c r="V35" s="15"/>
      <c r="W35" s="15"/>
      <c r="X35" s="15"/>
      <c r="Y35" s="15"/>
      <c r="Z35" s="15"/>
    </row>
    <row r="36" spans="1:26" x14ac:dyDescent="0.2">
      <c r="B36" s="2" t="s">
        <v>179</v>
      </c>
      <c r="C36" s="21" t="s">
        <v>52</v>
      </c>
      <c r="D36" s="53"/>
      <c r="E36" s="53"/>
      <c r="F36" s="55"/>
      <c r="G36" s="55"/>
      <c r="H36" s="55"/>
      <c r="I36" s="55"/>
      <c r="J36" s="55"/>
      <c r="K36" s="55"/>
      <c r="L36" s="55"/>
      <c r="M36" s="55"/>
      <c r="N36" s="55"/>
      <c r="O36" s="155">
        <f t="shared" ref="O36:O41" si="8">SUM(G36:J36)</f>
        <v>0</v>
      </c>
      <c r="P36" s="15"/>
      <c r="Q36" s="15"/>
      <c r="R36" s="24"/>
      <c r="S36" s="15"/>
      <c r="T36" s="15"/>
      <c r="U36" s="15"/>
      <c r="V36" s="15"/>
      <c r="W36" s="15"/>
      <c r="X36" s="15"/>
      <c r="Y36" s="15"/>
      <c r="Z36" s="15"/>
    </row>
    <row r="37" spans="1:26" x14ac:dyDescent="0.2">
      <c r="A37" s="6" t="s">
        <v>929</v>
      </c>
      <c r="B37" s="2" t="s">
        <v>180</v>
      </c>
      <c r="C37" s="21" t="s">
        <v>53</v>
      </c>
      <c r="D37" s="53"/>
      <c r="E37" s="53"/>
      <c r="F37" s="56"/>
      <c r="G37" s="56"/>
      <c r="H37" s="56"/>
      <c r="I37" s="56"/>
      <c r="J37" s="56"/>
      <c r="K37" s="56"/>
      <c r="L37" s="56"/>
      <c r="M37" s="56"/>
      <c r="N37" s="56"/>
      <c r="O37" s="155">
        <f t="shared" si="8"/>
        <v>0</v>
      </c>
      <c r="P37" s="15"/>
      <c r="Q37" s="15"/>
      <c r="R37" s="24"/>
      <c r="S37" s="15"/>
      <c r="T37" s="15"/>
      <c r="U37" s="15"/>
      <c r="V37" s="15"/>
      <c r="W37" s="15"/>
      <c r="X37" s="15"/>
      <c r="Y37" s="15"/>
      <c r="Z37" s="15"/>
    </row>
    <row r="38" spans="1:26" x14ac:dyDescent="0.2">
      <c r="B38" s="2" t="s">
        <v>181</v>
      </c>
      <c r="C38" s="21" t="s">
        <v>54</v>
      </c>
      <c r="D38" s="53"/>
      <c r="E38" s="53"/>
      <c r="F38" s="55"/>
      <c r="G38" s="55"/>
      <c r="H38" s="55"/>
      <c r="I38" s="55"/>
      <c r="J38" s="55"/>
      <c r="K38" s="55"/>
      <c r="L38" s="55"/>
      <c r="M38" s="55"/>
      <c r="N38" s="55"/>
      <c r="O38" s="155">
        <f t="shared" si="8"/>
        <v>0</v>
      </c>
      <c r="P38" s="15"/>
      <c r="Q38" s="15"/>
      <c r="R38" s="24"/>
      <c r="S38" s="15"/>
      <c r="T38" s="15"/>
      <c r="U38" s="15"/>
      <c r="V38" s="15"/>
      <c r="W38" s="15"/>
      <c r="X38" s="15"/>
      <c r="Y38" s="15"/>
      <c r="Z38" s="15"/>
    </row>
    <row r="39" spans="1:26" x14ac:dyDescent="0.2">
      <c r="B39" s="2" t="s">
        <v>182</v>
      </c>
      <c r="C39" s="21" t="s">
        <v>55</v>
      </c>
      <c r="D39" s="53"/>
      <c r="E39" s="53"/>
      <c r="F39" s="55"/>
      <c r="G39" s="55"/>
      <c r="H39" s="55"/>
      <c r="I39" s="55"/>
      <c r="J39" s="55"/>
      <c r="K39" s="55"/>
      <c r="L39" s="55"/>
      <c r="M39" s="55"/>
      <c r="N39" s="55"/>
      <c r="O39" s="155">
        <f t="shared" si="8"/>
        <v>0</v>
      </c>
      <c r="P39" s="15"/>
      <c r="Q39" s="15"/>
      <c r="R39" s="24"/>
      <c r="S39" s="15"/>
      <c r="T39" s="15"/>
      <c r="U39" s="15"/>
      <c r="V39" s="15"/>
      <c r="W39" s="15"/>
      <c r="X39" s="15"/>
      <c r="Y39" s="15"/>
      <c r="Z39" s="15"/>
    </row>
    <row r="40" spans="1:26" x14ac:dyDescent="0.2">
      <c r="B40" s="2" t="s">
        <v>183</v>
      </c>
      <c r="C40" s="21" t="s">
        <v>56</v>
      </c>
      <c r="D40" s="53"/>
      <c r="E40" s="53"/>
      <c r="F40" s="55"/>
      <c r="G40" s="55"/>
      <c r="H40" s="55"/>
      <c r="I40" s="55"/>
      <c r="J40" s="55"/>
      <c r="K40" s="55"/>
      <c r="L40" s="55"/>
      <c r="M40" s="55"/>
      <c r="N40" s="55"/>
      <c r="O40" s="155">
        <f t="shared" si="8"/>
        <v>0</v>
      </c>
      <c r="P40" s="15"/>
      <c r="Q40" s="15"/>
      <c r="R40" s="24"/>
      <c r="S40" s="15"/>
      <c r="T40" s="15"/>
      <c r="U40" s="15"/>
      <c r="V40" s="15"/>
      <c r="W40" s="15"/>
      <c r="X40" s="15"/>
      <c r="Y40" s="15"/>
      <c r="Z40" s="15"/>
    </row>
    <row r="41" spans="1:26" x14ac:dyDescent="0.2">
      <c r="B41" s="2" t="s">
        <v>184</v>
      </c>
      <c r="C41" s="21" t="s">
        <v>51</v>
      </c>
      <c r="D41" s="53"/>
      <c r="E41" s="53"/>
      <c r="F41" s="55"/>
      <c r="G41" s="55"/>
      <c r="H41" s="55"/>
      <c r="I41" s="55"/>
      <c r="J41" s="55"/>
      <c r="K41" s="55"/>
      <c r="L41" s="55"/>
      <c r="M41" s="55"/>
      <c r="N41" s="55"/>
      <c r="O41" s="155">
        <f t="shared" si="8"/>
        <v>0</v>
      </c>
      <c r="P41" s="15"/>
      <c r="Q41" s="15"/>
      <c r="R41" s="24"/>
      <c r="S41" s="15"/>
      <c r="T41" s="15"/>
      <c r="U41" s="15"/>
      <c r="V41" s="15"/>
      <c r="W41" s="15"/>
      <c r="X41" s="15"/>
      <c r="Y41" s="15"/>
      <c r="Z41" s="15"/>
    </row>
    <row r="42" spans="1:26" x14ac:dyDescent="0.2">
      <c r="B42" s="53"/>
      <c r="C42" s="53"/>
      <c r="D42" s="53"/>
      <c r="E42" s="53"/>
      <c r="F42" s="53"/>
      <c r="G42" s="53"/>
      <c r="H42" s="53"/>
      <c r="I42" s="53"/>
      <c r="J42" s="53"/>
      <c r="K42" s="53"/>
      <c r="L42" s="53"/>
      <c r="M42" s="53"/>
      <c r="N42" s="53"/>
      <c r="O42" s="53"/>
      <c r="P42" s="15"/>
      <c r="Q42" s="15"/>
      <c r="R42" s="24"/>
      <c r="S42" s="15"/>
      <c r="T42" s="15"/>
      <c r="U42" s="15"/>
      <c r="V42" s="15"/>
      <c r="W42" s="15"/>
      <c r="X42" s="15"/>
      <c r="Y42" s="15"/>
      <c r="Z42" s="15"/>
    </row>
    <row r="43" spans="1:26" x14ac:dyDescent="0.2">
      <c r="B43" s="13" t="s">
        <v>185</v>
      </c>
      <c r="C43" s="22" t="s">
        <v>339</v>
      </c>
      <c r="D43" s="53"/>
      <c r="E43" s="53"/>
      <c r="F43" s="154">
        <f t="shared" ref="F43:N43" si="9">SUM(F33,F35)</f>
        <v>0</v>
      </c>
      <c r="G43" s="154">
        <f t="shared" si="9"/>
        <v>0</v>
      </c>
      <c r="H43" s="154">
        <f t="shared" si="9"/>
        <v>0</v>
      </c>
      <c r="I43" s="154">
        <f t="shared" si="9"/>
        <v>0</v>
      </c>
      <c r="J43" s="154">
        <f t="shared" si="9"/>
        <v>0</v>
      </c>
      <c r="K43" s="154">
        <f t="shared" si="9"/>
        <v>0</v>
      </c>
      <c r="L43" s="154">
        <f t="shared" si="9"/>
        <v>0</v>
      </c>
      <c r="M43" s="154">
        <f t="shared" si="9"/>
        <v>0</v>
      </c>
      <c r="N43" s="154">
        <f t="shared" si="9"/>
        <v>0</v>
      </c>
      <c r="O43" s="316">
        <f>SUM(G43:J43)</f>
        <v>0</v>
      </c>
      <c r="P43" s="15"/>
      <c r="Q43" s="15"/>
      <c r="R43" s="24"/>
      <c r="S43" s="15"/>
      <c r="T43" s="15"/>
      <c r="U43" s="15"/>
      <c r="V43" s="15"/>
      <c r="W43" s="15"/>
      <c r="X43" s="15"/>
      <c r="Y43" s="15"/>
      <c r="Z43" s="15"/>
    </row>
    <row r="44" spans="1:26" x14ac:dyDescent="0.2">
      <c r="B44" s="58"/>
      <c r="C44" s="53"/>
      <c r="D44" s="53"/>
      <c r="E44" s="53"/>
      <c r="F44" s="53"/>
      <c r="G44" s="53"/>
      <c r="H44" s="53"/>
      <c r="I44" s="53"/>
      <c r="J44" s="53"/>
      <c r="K44" s="53"/>
      <c r="L44" s="53"/>
      <c r="M44" s="53"/>
      <c r="N44" s="53"/>
      <c r="O44" s="53"/>
      <c r="P44" s="15"/>
      <c r="Q44" s="15"/>
      <c r="R44" s="24"/>
      <c r="S44" s="15"/>
      <c r="T44" s="15"/>
      <c r="U44" s="15"/>
      <c r="V44" s="15"/>
      <c r="W44" s="15"/>
      <c r="X44" s="15"/>
      <c r="Y44" s="15"/>
      <c r="Z44" s="15"/>
    </row>
    <row r="45" spans="1:26" x14ac:dyDescent="0.2">
      <c r="B45" s="13" t="s">
        <v>186</v>
      </c>
      <c r="C45" s="22" t="s">
        <v>58</v>
      </c>
      <c r="D45" s="53"/>
      <c r="E45" s="53"/>
      <c r="F45" s="56"/>
      <c r="G45" s="56"/>
      <c r="H45" s="56"/>
      <c r="I45" s="56"/>
      <c r="J45" s="56"/>
      <c r="K45" s="56"/>
      <c r="L45" s="56"/>
      <c r="M45" s="56"/>
      <c r="N45" s="56"/>
      <c r="O45" s="155">
        <f>SUM(G45:J45)</f>
        <v>0</v>
      </c>
      <c r="P45" s="15"/>
      <c r="Q45" s="15"/>
      <c r="R45" s="24"/>
      <c r="S45" s="15"/>
      <c r="T45" s="15"/>
      <c r="U45" s="15"/>
      <c r="V45" s="15"/>
      <c r="W45" s="15"/>
      <c r="X45" s="15"/>
      <c r="Y45" s="15"/>
      <c r="Z45" s="15"/>
    </row>
    <row r="46" spans="1:26" x14ac:dyDescent="0.2">
      <c r="B46" s="58"/>
      <c r="C46" s="53"/>
      <c r="D46" s="53"/>
      <c r="E46" s="53"/>
      <c r="F46" s="53"/>
      <c r="G46" s="53"/>
      <c r="H46" s="53"/>
      <c r="I46" s="53"/>
      <c r="J46" s="53"/>
      <c r="K46" s="53"/>
      <c r="L46" s="53"/>
      <c r="M46" s="53"/>
      <c r="N46" s="53"/>
      <c r="O46" s="53"/>
      <c r="P46" s="15"/>
      <c r="Q46" s="15"/>
      <c r="R46" s="24"/>
      <c r="S46" s="15"/>
      <c r="T46" s="15"/>
      <c r="U46" s="15"/>
      <c r="V46" s="15"/>
      <c r="W46" s="15"/>
      <c r="X46" s="15"/>
      <c r="Y46" s="15"/>
      <c r="Z46" s="15"/>
    </row>
    <row r="47" spans="1:26" x14ac:dyDescent="0.2">
      <c r="B47" s="13" t="s">
        <v>187</v>
      </c>
      <c r="C47" s="19" t="s">
        <v>340</v>
      </c>
      <c r="D47" s="53"/>
      <c r="E47" s="53"/>
      <c r="F47" s="154">
        <f t="shared" ref="F47:N47" si="10">SUM(F43,F45)</f>
        <v>0</v>
      </c>
      <c r="G47" s="154">
        <f t="shared" si="10"/>
        <v>0</v>
      </c>
      <c r="H47" s="154">
        <f t="shared" si="10"/>
        <v>0</v>
      </c>
      <c r="I47" s="154">
        <f t="shared" si="10"/>
        <v>0</v>
      </c>
      <c r="J47" s="154">
        <f t="shared" si="10"/>
        <v>0</v>
      </c>
      <c r="K47" s="154">
        <f t="shared" si="10"/>
        <v>0</v>
      </c>
      <c r="L47" s="154">
        <f t="shared" si="10"/>
        <v>0</v>
      </c>
      <c r="M47" s="154">
        <f t="shared" si="10"/>
        <v>0</v>
      </c>
      <c r="N47" s="154">
        <f t="shared" si="10"/>
        <v>0</v>
      </c>
      <c r="O47" s="316">
        <f>SUM(G47:J47)</f>
        <v>0</v>
      </c>
      <c r="P47" s="15"/>
      <c r="Q47" s="15"/>
      <c r="R47" s="24"/>
      <c r="S47" s="15"/>
      <c r="T47" s="15"/>
      <c r="U47" s="15"/>
      <c r="V47" s="15"/>
      <c r="W47" s="15"/>
      <c r="X47" s="15"/>
      <c r="Y47" s="15"/>
      <c r="Z47" s="15"/>
    </row>
    <row r="48" spans="1:26" x14ac:dyDescent="0.2">
      <c r="B48" s="58"/>
      <c r="C48" s="53"/>
      <c r="D48" s="53"/>
      <c r="E48" s="53"/>
      <c r="F48" s="53"/>
      <c r="G48" s="53"/>
      <c r="H48" s="53"/>
      <c r="I48" s="53"/>
      <c r="J48" s="53"/>
      <c r="K48" s="53"/>
      <c r="L48" s="53"/>
      <c r="M48" s="53"/>
      <c r="N48" s="53"/>
      <c r="O48" s="53"/>
      <c r="P48" s="15"/>
      <c r="Q48" s="15"/>
      <c r="R48" s="24"/>
      <c r="S48" s="15"/>
      <c r="T48" s="15"/>
      <c r="U48" s="15"/>
      <c r="V48" s="15"/>
      <c r="W48" s="15"/>
      <c r="X48" s="15"/>
      <c r="Y48" s="15"/>
      <c r="Z48" s="15"/>
    </row>
    <row r="49" spans="1:26" x14ac:dyDescent="0.2">
      <c r="B49" s="13" t="s">
        <v>188</v>
      </c>
      <c r="C49" s="19" t="s">
        <v>341</v>
      </c>
      <c r="D49" s="53"/>
      <c r="E49" s="53"/>
      <c r="F49" s="55"/>
      <c r="G49" s="55"/>
      <c r="H49" s="55"/>
      <c r="I49" s="55"/>
      <c r="J49" s="55"/>
      <c r="K49" s="55"/>
      <c r="L49" s="55"/>
      <c r="M49" s="55"/>
      <c r="N49" s="55"/>
      <c r="O49" s="155">
        <f>SUM(G49:J49)</f>
        <v>0</v>
      </c>
      <c r="P49" s="15"/>
      <c r="Q49" s="15"/>
      <c r="R49" s="24"/>
      <c r="S49" s="15"/>
      <c r="T49" s="15"/>
      <c r="U49" s="15"/>
      <c r="V49" s="15"/>
      <c r="W49" s="15"/>
      <c r="X49" s="15"/>
      <c r="Y49" s="15"/>
      <c r="Z49" s="15"/>
    </row>
    <row r="50" spans="1:26" x14ac:dyDescent="0.2">
      <c r="B50" s="58"/>
      <c r="C50" s="53"/>
      <c r="D50" s="53"/>
      <c r="E50" s="53"/>
      <c r="F50" s="53"/>
      <c r="G50" s="53"/>
      <c r="H50" s="53"/>
      <c r="I50" s="53"/>
      <c r="J50" s="53"/>
      <c r="K50" s="53"/>
      <c r="L50" s="53"/>
      <c r="M50" s="53"/>
      <c r="N50" s="53"/>
      <c r="O50" s="53"/>
      <c r="P50" s="15"/>
      <c r="Q50" s="15"/>
      <c r="R50" s="24"/>
      <c r="S50" s="15"/>
      <c r="T50" s="15"/>
      <c r="U50" s="15"/>
      <c r="V50" s="15"/>
      <c r="W50" s="15"/>
      <c r="X50" s="15"/>
      <c r="Y50" s="15"/>
      <c r="Z50" s="15"/>
    </row>
    <row r="51" spans="1:26" x14ac:dyDescent="0.2">
      <c r="B51" s="13" t="s">
        <v>189</v>
      </c>
      <c r="C51" s="19" t="s">
        <v>342</v>
      </c>
      <c r="D51" s="53"/>
      <c r="E51" s="53"/>
      <c r="F51" s="154">
        <f t="shared" ref="F51:N51" si="11">SUM(F47,F49)</f>
        <v>0</v>
      </c>
      <c r="G51" s="154">
        <f t="shared" si="11"/>
        <v>0</v>
      </c>
      <c r="H51" s="154">
        <f t="shared" si="11"/>
        <v>0</v>
      </c>
      <c r="I51" s="154">
        <f t="shared" si="11"/>
        <v>0</v>
      </c>
      <c r="J51" s="154">
        <f t="shared" si="11"/>
        <v>0</v>
      </c>
      <c r="K51" s="154">
        <f t="shared" si="11"/>
        <v>0</v>
      </c>
      <c r="L51" s="154">
        <f t="shared" si="11"/>
        <v>0</v>
      </c>
      <c r="M51" s="154">
        <f t="shared" si="11"/>
        <v>0</v>
      </c>
      <c r="N51" s="154">
        <f t="shared" si="11"/>
        <v>0</v>
      </c>
      <c r="O51" s="316">
        <f>SUM(G51:J51)</f>
        <v>0</v>
      </c>
      <c r="P51" s="15"/>
      <c r="Q51" s="15"/>
      <c r="R51" s="24"/>
      <c r="S51" s="15"/>
      <c r="T51" s="15"/>
      <c r="U51" s="15"/>
      <c r="V51" s="15"/>
      <c r="W51" s="15"/>
      <c r="X51" s="15"/>
      <c r="Y51" s="15"/>
      <c r="Z51" s="15"/>
    </row>
    <row r="52" spans="1:26" x14ac:dyDescent="0.2">
      <c r="B52" s="53"/>
      <c r="C52" s="20" t="s">
        <v>173</v>
      </c>
      <c r="D52" s="53"/>
      <c r="E52" s="53"/>
      <c r="F52" s="53"/>
      <c r="G52" s="53"/>
      <c r="H52" s="53"/>
      <c r="I52" s="53"/>
      <c r="J52" s="53"/>
      <c r="K52" s="53"/>
      <c r="L52" s="53"/>
      <c r="M52" s="53"/>
      <c r="N52" s="53"/>
      <c r="O52" s="53"/>
      <c r="P52" s="15"/>
      <c r="Q52" s="15"/>
      <c r="R52" s="24"/>
      <c r="S52" s="15"/>
      <c r="T52" s="15"/>
      <c r="U52" s="15"/>
      <c r="V52" s="15"/>
      <c r="W52" s="15"/>
      <c r="X52" s="15"/>
      <c r="Y52" s="15"/>
      <c r="Z52" s="15"/>
    </row>
    <row r="53" spans="1:26" x14ac:dyDescent="0.2">
      <c r="B53" s="2" t="s">
        <v>190</v>
      </c>
      <c r="C53" s="23" t="s">
        <v>29</v>
      </c>
      <c r="D53" s="53"/>
      <c r="E53" s="53"/>
      <c r="F53" s="55"/>
      <c r="G53" s="55"/>
      <c r="H53" s="55"/>
      <c r="I53" s="55"/>
      <c r="J53" s="55"/>
      <c r="K53" s="55"/>
      <c r="L53" s="55"/>
      <c r="M53" s="55"/>
      <c r="N53" s="55"/>
      <c r="O53" s="155">
        <f>SUM(G53:J53)</f>
        <v>0</v>
      </c>
      <c r="P53" s="15"/>
      <c r="Q53" s="15"/>
      <c r="R53" s="24"/>
      <c r="S53" s="15"/>
      <c r="T53" s="15"/>
      <c r="U53" s="15"/>
      <c r="V53" s="15"/>
      <c r="W53" s="15"/>
      <c r="X53" s="15"/>
      <c r="Y53" s="15"/>
      <c r="Z53" s="15"/>
    </row>
    <row r="54" spans="1:26" x14ac:dyDescent="0.2">
      <c r="B54" s="2" t="s">
        <v>191</v>
      </c>
      <c r="C54" s="20" t="s">
        <v>174</v>
      </c>
      <c r="D54" s="53"/>
      <c r="E54" s="53"/>
      <c r="F54" s="124">
        <f>F51-F53</f>
        <v>0</v>
      </c>
      <c r="G54" s="124">
        <f t="shared" ref="G54:O54" si="12">G51-G53</f>
        <v>0</v>
      </c>
      <c r="H54" s="124">
        <f t="shared" si="12"/>
        <v>0</v>
      </c>
      <c r="I54" s="124">
        <f t="shared" si="12"/>
        <v>0</v>
      </c>
      <c r="J54" s="124">
        <f>J51-J53</f>
        <v>0</v>
      </c>
      <c r="K54" s="124">
        <f t="shared" si="12"/>
        <v>0</v>
      </c>
      <c r="L54" s="124">
        <f t="shared" si="12"/>
        <v>0</v>
      </c>
      <c r="M54" s="124">
        <f t="shared" si="12"/>
        <v>0</v>
      </c>
      <c r="N54" s="124">
        <f t="shared" si="12"/>
        <v>0</v>
      </c>
      <c r="O54" s="124">
        <f t="shared" si="12"/>
        <v>0</v>
      </c>
      <c r="P54" s="15"/>
      <c r="Q54" s="15"/>
      <c r="R54" s="24"/>
      <c r="S54" s="15"/>
      <c r="T54" s="15"/>
      <c r="U54" s="15"/>
      <c r="V54" s="15"/>
      <c r="W54" s="15"/>
      <c r="X54" s="15"/>
      <c r="Y54" s="15"/>
      <c r="Z54" s="15"/>
    </row>
    <row r="55" spans="1:26" x14ac:dyDescent="0.2">
      <c r="B55" s="53"/>
      <c r="C55" s="53"/>
      <c r="D55" s="53"/>
      <c r="E55" s="53"/>
      <c r="F55" s="53"/>
      <c r="G55" s="53"/>
      <c r="H55" s="53"/>
      <c r="I55" s="53"/>
      <c r="J55" s="53"/>
      <c r="K55" s="53"/>
      <c r="L55" s="53"/>
      <c r="M55" s="53"/>
      <c r="N55" s="53"/>
      <c r="O55" s="53"/>
      <c r="P55" s="15"/>
      <c r="Q55" s="15"/>
      <c r="R55" s="24"/>
      <c r="S55" s="15"/>
      <c r="T55" s="15"/>
      <c r="U55" s="15"/>
      <c r="V55" s="15"/>
      <c r="W55" s="15"/>
      <c r="X55" s="15"/>
      <c r="Y55" s="15"/>
      <c r="Z55" s="15"/>
    </row>
    <row r="56" spans="1:26" x14ac:dyDescent="0.2">
      <c r="B56" s="13" t="s">
        <v>676</v>
      </c>
      <c r="C56" s="19" t="s">
        <v>677</v>
      </c>
      <c r="D56" s="53"/>
      <c r="E56" s="53"/>
      <c r="F56" s="53"/>
      <c r="G56" s="53"/>
      <c r="H56" s="53"/>
      <c r="I56" s="53"/>
      <c r="J56" s="53"/>
      <c r="K56" s="53"/>
      <c r="L56" s="53"/>
      <c r="M56" s="53"/>
      <c r="N56" s="53"/>
      <c r="O56" s="53"/>
      <c r="P56" s="15"/>
      <c r="Q56" s="15"/>
      <c r="R56" s="24"/>
      <c r="S56" s="15"/>
      <c r="T56" s="15"/>
      <c r="U56" s="15"/>
      <c r="V56" s="15"/>
      <c r="W56" s="15"/>
      <c r="X56" s="15"/>
      <c r="Y56" s="15"/>
      <c r="Z56" s="15"/>
    </row>
    <row r="57" spans="1:26" x14ac:dyDescent="0.2">
      <c r="B57" s="2" t="s">
        <v>390</v>
      </c>
      <c r="C57" s="23" t="s">
        <v>34</v>
      </c>
      <c r="D57" s="67"/>
      <c r="E57" s="53"/>
      <c r="F57" s="55"/>
      <c r="G57" s="55"/>
      <c r="H57" s="55"/>
      <c r="I57" s="55"/>
      <c r="J57" s="55"/>
      <c r="K57" s="55"/>
      <c r="L57" s="55"/>
      <c r="M57" s="55"/>
      <c r="N57" s="55"/>
      <c r="O57" s="155">
        <f>SUM(G57:J57)</f>
        <v>0</v>
      </c>
      <c r="P57" s="15"/>
      <c r="Q57" s="15"/>
      <c r="R57" s="24"/>
      <c r="S57" s="15"/>
      <c r="T57" s="15"/>
      <c r="U57" s="15"/>
      <c r="V57" s="15"/>
      <c r="W57" s="15"/>
      <c r="X57" s="15"/>
      <c r="Y57" s="15"/>
      <c r="Z57" s="15"/>
    </row>
    <row r="58" spans="1:26" x14ac:dyDescent="0.2">
      <c r="A58" s="6" t="s">
        <v>929</v>
      </c>
      <c r="B58" s="2" t="s">
        <v>391</v>
      </c>
      <c r="C58" s="23" t="s">
        <v>42</v>
      </c>
      <c r="D58" s="67"/>
      <c r="E58" s="53"/>
      <c r="F58" s="56"/>
      <c r="G58" s="56"/>
      <c r="H58" s="56"/>
      <c r="I58" s="56"/>
      <c r="J58" s="56"/>
      <c r="K58" s="56"/>
      <c r="L58" s="56"/>
      <c r="M58" s="56"/>
      <c r="N58" s="56"/>
      <c r="O58" s="155">
        <f>SUM(G58:J58)</f>
        <v>0</v>
      </c>
      <c r="P58" s="15"/>
      <c r="Q58" s="15"/>
      <c r="R58" s="24"/>
      <c r="S58" s="15"/>
      <c r="T58" s="15"/>
      <c r="U58" s="15"/>
      <c r="V58" s="15"/>
      <c r="W58" s="15"/>
      <c r="X58" s="15"/>
      <c r="Y58" s="15"/>
      <c r="Z58" s="15"/>
    </row>
    <row r="59" spans="1:26" x14ac:dyDescent="0.2">
      <c r="C59" s="24"/>
      <c r="D59" s="24"/>
      <c r="E59" s="24"/>
      <c r="F59" s="25"/>
      <c r="G59" s="25"/>
      <c r="H59" s="25"/>
      <c r="I59" s="25"/>
      <c r="J59" s="25"/>
      <c r="K59" s="25"/>
      <c r="L59" s="25"/>
      <c r="M59" s="25"/>
      <c r="N59" s="25"/>
      <c r="O59" s="25"/>
      <c r="P59" s="15"/>
      <c r="Q59" s="15"/>
      <c r="R59" s="24"/>
      <c r="S59" s="15"/>
      <c r="T59" s="15"/>
      <c r="U59" s="15"/>
      <c r="V59" s="15"/>
      <c r="W59" s="15"/>
      <c r="X59" s="15"/>
      <c r="Y59" s="15"/>
      <c r="Z59" s="15"/>
    </row>
    <row r="60" spans="1:26" x14ac:dyDescent="0.2">
      <c r="C60" s="24"/>
      <c r="D60" s="24"/>
      <c r="E60" s="24"/>
      <c r="F60" s="25"/>
      <c r="G60" s="25"/>
      <c r="H60" s="25"/>
      <c r="I60" s="25"/>
      <c r="J60" s="25"/>
      <c r="K60" s="25"/>
      <c r="L60" s="25"/>
      <c r="M60" s="25"/>
      <c r="N60" s="25"/>
      <c r="O60" s="25"/>
      <c r="P60" s="15"/>
      <c r="Q60" s="15"/>
      <c r="R60" s="15"/>
      <c r="S60" s="15"/>
      <c r="T60" s="15"/>
      <c r="U60" s="15"/>
      <c r="V60" s="15"/>
      <c r="W60" s="15"/>
      <c r="X60" s="15"/>
      <c r="Y60" s="15"/>
      <c r="Z60" s="15"/>
    </row>
    <row r="61" spans="1:26" ht="38.25" x14ac:dyDescent="0.2">
      <c r="B61" s="13" t="s">
        <v>142</v>
      </c>
      <c r="C61" s="19" t="s">
        <v>32</v>
      </c>
      <c r="D61" s="19"/>
      <c r="E61" s="146" t="s">
        <v>70</v>
      </c>
      <c r="F61" s="321" t="s">
        <v>63</v>
      </c>
      <c r="G61" s="322"/>
      <c r="H61" s="322"/>
      <c r="I61" s="323"/>
      <c r="J61" s="149" t="s">
        <v>829</v>
      </c>
      <c r="K61" s="149" t="s">
        <v>76</v>
      </c>
      <c r="L61" s="149" t="s">
        <v>75</v>
      </c>
      <c r="M61" s="149" t="s">
        <v>74</v>
      </c>
      <c r="N61" s="149" t="s">
        <v>73</v>
      </c>
      <c r="O61" s="149" t="s">
        <v>71</v>
      </c>
      <c r="P61" s="15"/>
      <c r="Q61" s="15"/>
      <c r="R61" s="15"/>
      <c r="S61" s="15"/>
      <c r="T61" s="15"/>
      <c r="U61" s="15"/>
      <c r="V61" s="15"/>
      <c r="W61" s="15"/>
      <c r="X61" s="15"/>
      <c r="Y61" s="15"/>
      <c r="Z61" s="15"/>
    </row>
    <row r="62" spans="1:26" x14ac:dyDescent="0.2">
      <c r="B62" s="13"/>
      <c r="C62" s="20"/>
      <c r="D62" s="20"/>
      <c r="E62" s="147" t="s">
        <v>87</v>
      </c>
      <c r="F62" s="151">
        <f t="shared" ref="F62:O62" si="13">F11</f>
        <v>41906.600000000006</v>
      </c>
      <c r="G62" s="151">
        <f t="shared" si="13"/>
        <v>41999.200000000004</v>
      </c>
      <c r="H62" s="151">
        <f t="shared" si="13"/>
        <v>42091.8</v>
      </c>
      <c r="I62" s="151">
        <f t="shared" si="13"/>
        <v>42184.4</v>
      </c>
      <c r="J62" s="151">
        <f t="shared" si="13"/>
        <v>42277</v>
      </c>
      <c r="K62" s="150">
        <f t="shared" si="13"/>
        <v>40905</v>
      </c>
      <c r="L62" s="150">
        <f t="shared" si="13"/>
        <v>41271</v>
      </c>
      <c r="M62" s="150">
        <f t="shared" si="13"/>
        <v>41637</v>
      </c>
      <c r="N62" s="150">
        <f t="shared" si="13"/>
        <v>42003</v>
      </c>
      <c r="O62" s="151">
        <f t="shared" si="13"/>
        <v>42277</v>
      </c>
      <c r="P62" s="15"/>
      <c r="Q62" s="15"/>
      <c r="R62" s="15"/>
      <c r="S62" s="15"/>
      <c r="T62" s="15"/>
      <c r="U62" s="15"/>
      <c r="V62" s="15"/>
      <c r="W62" s="15"/>
      <c r="X62" s="15"/>
      <c r="Y62" s="15"/>
      <c r="Z62" s="15"/>
    </row>
    <row r="63" spans="1:26" x14ac:dyDescent="0.2">
      <c r="B63" s="53"/>
      <c r="C63" s="53"/>
      <c r="D63" s="53"/>
      <c r="E63" s="53"/>
      <c r="F63" s="53"/>
      <c r="G63" s="53"/>
      <c r="H63" s="53"/>
      <c r="I63" s="53"/>
      <c r="J63" s="53"/>
      <c r="K63" s="53"/>
      <c r="L63" s="53"/>
      <c r="M63" s="53"/>
      <c r="N63" s="53"/>
      <c r="O63" s="53"/>
      <c r="P63" s="15"/>
      <c r="Q63" s="15"/>
      <c r="R63" s="15"/>
      <c r="S63" s="15"/>
      <c r="T63" s="15"/>
      <c r="U63" s="15"/>
      <c r="V63" s="15"/>
      <c r="W63" s="15"/>
      <c r="X63" s="15"/>
      <c r="Y63" s="15"/>
      <c r="Z63" s="15"/>
    </row>
    <row r="64" spans="1:26" x14ac:dyDescent="0.2">
      <c r="B64" s="13" t="s">
        <v>202</v>
      </c>
      <c r="C64" s="19" t="s">
        <v>0</v>
      </c>
      <c r="D64" s="53"/>
      <c r="E64" s="53"/>
      <c r="F64" s="154">
        <f>SUM(F65:F69)</f>
        <v>0</v>
      </c>
      <c r="G64" s="154">
        <f t="shared" ref="G64:N64" si="14">SUM(G65:G69)</f>
        <v>0</v>
      </c>
      <c r="H64" s="154">
        <f t="shared" si="14"/>
        <v>0</v>
      </c>
      <c r="I64" s="154">
        <f t="shared" si="14"/>
        <v>0</v>
      </c>
      <c r="J64" s="154">
        <f>SUM(J65:J69)</f>
        <v>0</v>
      </c>
      <c r="K64" s="154">
        <f t="shared" si="14"/>
        <v>0</v>
      </c>
      <c r="L64" s="154">
        <f t="shared" si="14"/>
        <v>0</v>
      </c>
      <c r="M64" s="154">
        <f t="shared" si="14"/>
        <v>0</v>
      </c>
      <c r="N64" s="154">
        <f t="shared" si="14"/>
        <v>0</v>
      </c>
      <c r="O64" s="314">
        <f>J64</f>
        <v>0</v>
      </c>
      <c r="P64" s="15"/>
      <c r="Q64" s="15"/>
      <c r="R64" s="15"/>
      <c r="S64" s="15"/>
      <c r="T64" s="15"/>
      <c r="U64" s="15"/>
      <c r="V64" s="15"/>
      <c r="W64" s="15"/>
      <c r="X64" s="15"/>
      <c r="Y64" s="15"/>
      <c r="Z64" s="15"/>
    </row>
    <row r="65" spans="2:26" x14ac:dyDescent="0.2">
      <c r="B65" s="2" t="s">
        <v>203</v>
      </c>
      <c r="C65" s="20" t="s">
        <v>3</v>
      </c>
      <c r="D65" s="53"/>
      <c r="E65" s="53"/>
      <c r="F65" s="55"/>
      <c r="G65" s="55"/>
      <c r="H65" s="55"/>
      <c r="I65" s="55"/>
      <c r="J65" s="55"/>
      <c r="K65" s="55"/>
      <c r="L65" s="55"/>
      <c r="M65" s="55"/>
      <c r="N65" s="55"/>
      <c r="O65" s="59">
        <f>J65</f>
        <v>0</v>
      </c>
      <c r="P65" s="15"/>
      <c r="Q65" s="15"/>
      <c r="R65" s="46"/>
      <c r="S65" s="15"/>
      <c r="T65" s="15"/>
      <c r="U65" s="15"/>
      <c r="V65" s="15"/>
      <c r="W65" s="15"/>
      <c r="X65" s="15"/>
      <c r="Y65" s="15"/>
      <c r="Z65" s="15"/>
    </row>
    <row r="66" spans="2:26" x14ac:dyDescent="0.2">
      <c r="B66" s="2" t="s">
        <v>204</v>
      </c>
      <c r="C66" s="20" t="s">
        <v>2</v>
      </c>
      <c r="D66" s="53"/>
      <c r="E66" s="53"/>
      <c r="F66" s="55"/>
      <c r="G66" s="55"/>
      <c r="H66" s="55"/>
      <c r="I66" s="55"/>
      <c r="J66" s="55"/>
      <c r="K66" s="55"/>
      <c r="L66" s="55"/>
      <c r="M66" s="55"/>
      <c r="N66" s="55"/>
      <c r="O66" s="59">
        <f>J66</f>
        <v>0</v>
      </c>
      <c r="P66" s="15"/>
      <c r="Q66" s="15"/>
      <c r="R66" s="15"/>
      <c r="S66" s="15"/>
      <c r="T66" s="15"/>
      <c r="U66" s="15"/>
      <c r="V66" s="15"/>
      <c r="W66" s="15"/>
      <c r="X66" s="15"/>
      <c r="Y66" s="15"/>
      <c r="Z66" s="15"/>
    </row>
    <row r="67" spans="2:26" x14ac:dyDescent="0.2">
      <c r="B67" s="2" t="s">
        <v>205</v>
      </c>
      <c r="C67" s="20" t="s">
        <v>5</v>
      </c>
      <c r="D67" s="53"/>
      <c r="E67" s="53"/>
      <c r="F67" s="55"/>
      <c r="G67" s="55"/>
      <c r="H67" s="55"/>
      <c r="I67" s="55"/>
      <c r="J67" s="55"/>
      <c r="K67" s="55"/>
      <c r="L67" s="55"/>
      <c r="M67" s="55"/>
      <c r="N67" s="55"/>
      <c r="O67" s="59">
        <f>J67</f>
        <v>0</v>
      </c>
      <c r="P67" s="15"/>
      <c r="Q67" s="15"/>
      <c r="R67" s="15"/>
      <c r="S67" s="15"/>
      <c r="T67" s="15"/>
      <c r="U67" s="15"/>
      <c r="V67" s="15"/>
      <c r="W67" s="15"/>
      <c r="X67" s="15"/>
      <c r="Y67" s="15"/>
      <c r="Z67" s="15"/>
    </row>
    <row r="68" spans="2:26" x14ac:dyDescent="0.2">
      <c r="B68" s="2" t="s">
        <v>206</v>
      </c>
      <c r="C68" s="20" t="s">
        <v>1</v>
      </c>
      <c r="D68" s="53"/>
      <c r="E68" s="53"/>
      <c r="F68" s="55"/>
      <c r="G68" s="55"/>
      <c r="H68" s="55"/>
      <c r="I68" s="55"/>
      <c r="J68" s="55"/>
      <c r="K68" s="55"/>
      <c r="L68" s="55"/>
      <c r="M68" s="55"/>
      <c r="N68" s="55"/>
      <c r="O68" s="59">
        <f>J68</f>
        <v>0</v>
      </c>
      <c r="P68" s="15"/>
      <c r="Q68" s="15"/>
      <c r="R68" s="15"/>
      <c r="S68" s="15"/>
      <c r="T68" s="15"/>
      <c r="U68" s="15"/>
      <c r="V68" s="15"/>
      <c r="W68" s="15"/>
      <c r="X68" s="15"/>
      <c r="Y68" s="15"/>
      <c r="Z68" s="15"/>
    </row>
    <row r="69" spans="2:26" x14ac:dyDescent="0.2">
      <c r="B69" s="2" t="s">
        <v>207</v>
      </c>
      <c r="C69" s="20" t="s">
        <v>4</v>
      </c>
      <c r="D69" s="53"/>
      <c r="E69" s="53"/>
      <c r="F69" s="154">
        <f t="shared" ref="F69:N69" si="15">SUM(F70:F76)</f>
        <v>0</v>
      </c>
      <c r="G69" s="154">
        <f t="shared" si="15"/>
        <v>0</v>
      </c>
      <c r="H69" s="154">
        <f t="shared" si="15"/>
        <v>0</v>
      </c>
      <c r="I69" s="154">
        <f t="shared" si="15"/>
        <v>0</v>
      </c>
      <c r="J69" s="154">
        <f>SUM(J70:J76)</f>
        <v>0</v>
      </c>
      <c r="K69" s="154">
        <f t="shared" si="15"/>
        <v>0</v>
      </c>
      <c r="L69" s="154">
        <f t="shared" si="15"/>
        <v>0</v>
      </c>
      <c r="M69" s="154">
        <f>SUM(M70:M76)</f>
        <v>0</v>
      </c>
      <c r="N69" s="154">
        <f t="shared" si="15"/>
        <v>0</v>
      </c>
      <c r="O69" s="314">
        <f t="shared" ref="O69:O76" si="16">J69</f>
        <v>0</v>
      </c>
      <c r="P69" s="15"/>
      <c r="Q69" s="15"/>
      <c r="R69" s="15"/>
      <c r="S69" s="15"/>
      <c r="T69" s="15"/>
      <c r="U69" s="15"/>
      <c r="V69" s="15"/>
      <c r="W69" s="15"/>
      <c r="X69" s="15"/>
      <c r="Y69" s="15"/>
      <c r="Z69" s="15"/>
    </row>
    <row r="70" spans="2:26" x14ac:dyDescent="0.2">
      <c r="B70" s="2" t="s">
        <v>208</v>
      </c>
      <c r="C70" s="21" t="s">
        <v>192</v>
      </c>
      <c r="D70" s="53"/>
      <c r="E70" s="53"/>
      <c r="F70" s="55"/>
      <c r="G70" s="55"/>
      <c r="H70" s="55"/>
      <c r="I70" s="55"/>
      <c r="J70" s="55"/>
      <c r="K70" s="55"/>
      <c r="L70" s="55"/>
      <c r="M70" s="55"/>
      <c r="N70" s="55"/>
      <c r="O70" s="59">
        <f t="shared" si="16"/>
        <v>0</v>
      </c>
      <c r="P70" s="15"/>
      <c r="Q70" s="15"/>
      <c r="R70" s="15"/>
      <c r="S70" s="15"/>
      <c r="T70" s="15"/>
      <c r="U70" s="15"/>
      <c r="V70" s="15"/>
      <c r="W70" s="15"/>
      <c r="X70" s="15"/>
      <c r="Y70" s="15"/>
      <c r="Z70" s="15"/>
    </row>
    <row r="71" spans="2:26" x14ac:dyDescent="0.2">
      <c r="B71" s="2" t="s">
        <v>209</v>
      </c>
      <c r="C71" s="21" t="s">
        <v>6</v>
      </c>
      <c r="D71" s="53"/>
      <c r="E71" s="53"/>
      <c r="F71" s="55"/>
      <c r="G71" s="55"/>
      <c r="H71" s="55"/>
      <c r="I71" s="55"/>
      <c r="J71" s="55"/>
      <c r="K71" s="55"/>
      <c r="L71" s="55"/>
      <c r="M71" s="55"/>
      <c r="N71" s="55"/>
      <c r="O71" s="59">
        <f t="shared" si="16"/>
        <v>0</v>
      </c>
      <c r="P71" s="15"/>
      <c r="Q71" s="15"/>
      <c r="R71" s="15"/>
      <c r="S71" s="15"/>
      <c r="T71" s="15"/>
      <c r="U71" s="15"/>
      <c r="V71" s="15"/>
      <c r="W71" s="15"/>
      <c r="X71" s="15"/>
      <c r="Y71" s="15"/>
      <c r="Z71" s="15"/>
    </row>
    <row r="72" spans="2:26" x14ac:dyDescent="0.2">
      <c r="B72" s="2" t="s">
        <v>210</v>
      </c>
      <c r="C72" s="21" t="s">
        <v>193</v>
      </c>
      <c r="D72" s="53"/>
      <c r="E72" s="53"/>
      <c r="F72" s="55"/>
      <c r="G72" s="55"/>
      <c r="H72" s="55"/>
      <c r="I72" s="55"/>
      <c r="J72" s="55"/>
      <c r="K72" s="55"/>
      <c r="L72" s="55"/>
      <c r="M72" s="55"/>
      <c r="N72" s="55"/>
      <c r="O72" s="59">
        <f t="shared" si="16"/>
        <v>0</v>
      </c>
      <c r="P72" s="15"/>
      <c r="Q72" s="15"/>
      <c r="R72" s="15"/>
      <c r="S72" s="15"/>
      <c r="T72" s="15"/>
      <c r="U72" s="15"/>
      <c r="V72" s="15"/>
      <c r="W72" s="15"/>
      <c r="X72" s="15"/>
      <c r="Y72" s="15"/>
      <c r="Z72" s="15"/>
    </row>
    <row r="73" spans="2:26" x14ac:dyDescent="0.2">
      <c r="B73" s="2" t="s">
        <v>211</v>
      </c>
      <c r="C73" s="21" t="s">
        <v>344</v>
      </c>
      <c r="D73" s="53"/>
      <c r="E73" s="53"/>
      <c r="F73" s="55"/>
      <c r="G73" s="55"/>
      <c r="H73" s="55"/>
      <c r="I73" s="55"/>
      <c r="J73" s="55"/>
      <c r="K73" s="55"/>
      <c r="L73" s="55"/>
      <c r="M73" s="55"/>
      <c r="N73" s="55"/>
      <c r="O73" s="59">
        <f t="shared" si="16"/>
        <v>0</v>
      </c>
      <c r="P73" s="15"/>
      <c r="Q73" s="15"/>
      <c r="R73" s="15"/>
      <c r="S73" s="15"/>
      <c r="T73" s="15"/>
      <c r="U73" s="15"/>
      <c r="V73" s="15"/>
      <c r="W73" s="15"/>
      <c r="X73" s="15"/>
      <c r="Y73" s="15"/>
      <c r="Z73" s="15"/>
    </row>
    <row r="74" spans="2:26" x14ac:dyDescent="0.2">
      <c r="B74" s="2" t="s">
        <v>212</v>
      </c>
      <c r="C74" s="21" t="s">
        <v>194</v>
      </c>
      <c r="D74" s="53"/>
      <c r="E74" s="53"/>
      <c r="F74" s="55"/>
      <c r="G74" s="55"/>
      <c r="H74" s="55"/>
      <c r="I74" s="55"/>
      <c r="J74" s="55"/>
      <c r="K74" s="55"/>
      <c r="L74" s="55"/>
      <c r="M74" s="55"/>
      <c r="N74" s="55"/>
      <c r="O74" s="59">
        <f t="shared" si="16"/>
        <v>0</v>
      </c>
      <c r="P74" s="15"/>
      <c r="Q74" s="15"/>
      <c r="R74" s="15"/>
      <c r="S74" s="15"/>
      <c r="T74" s="15"/>
      <c r="U74" s="15"/>
      <c r="V74" s="15"/>
      <c r="W74" s="15"/>
      <c r="X74" s="15"/>
      <c r="Y74" s="15"/>
      <c r="Z74" s="15"/>
    </row>
    <row r="75" spans="2:26" x14ac:dyDescent="0.2">
      <c r="B75" s="2" t="s">
        <v>213</v>
      </c>
      <c r="C75" s="21" t="s">
        <v>195</v>
      </c>
      <c r="D75" s="53"/>
      <c r="E75" s="53"/>
      <c r="F75" s="55"/>
      <c r="G75" s="55"/>
      <c r="H75" s="55"/>
      <c r="I75" s="55"/>
      <c r="J75" s="55"/>
      <c r="K75" s="55"/>
      <c r="L75" s="55"/>
      <c r="M75" s="55"/>
      <c r="N75" s="55"/>
      <c r="O75" s="59">
        <f t="shared" si="16"/>
        <v>0</v>
      </c>
      <c r="P75" s="15"/>
      <c r="Q75" s="15"/>
      <c r="R75" s="15"/>
      <c r="S75" s="15"/>
      <c r="T75" s="15"/>
      <c r="U75" s="15"/>
      <c r="V75" s="15"/>
      <c r="W75" s="15"/>
      <c r="X75" s="15"/>
      <c r="Y75" s="15"/>
      <c r="Z75" s="15"/>
    </row>
    <row r="76" spans="2:26" x14ac:dyDescent="0.2">
      <c r="B76" s="2" t="s">
        <v>214</v>
      </c>
      <c r="C76" s="21" t="s">
        <v>21</v>
      </c>
      <c r="D76" s="53"/>
      <c r="E76" s="53"/>
      <c r="F76" s="55"/>
      <c r="G76" s="55"/>
      <c r="H76" s="55"/>
      <c r="I76" s="55"/>
      <c r="J76" s="55"/>
      <c r="K76" s="55"/>
      <c r="L76" s="55"/>
      <c r="M76" s="55"/>
      <c r="N76" s="55"/>
      <c r="O76" s="59">
        <f t="shared" si="16"/>
        <v>0</v>
      </c>
      <c r="P76" s="15"/>
      <c r="Q76" s="15"/>
      <c r="R76" s="15"/>
      <c r="S76" s="15"/>
      <c r="T76" s="15"/>
      <c r="U76" s="15"/>
      <c r="V76" s="15"/>
      <c r="W76" s="15"/>
      <c r="X76" s="15"/>
      <c r="Y76" s="15"/>
      <c r="Z76" s="15"/>
    </row>
    <row r="77" spans="2:26" x14ac:dyDescent="0.2">
      <c r="B77" s="53"/>
      <c r="C77" s="53"/>
      <c r="D77" s="53"/>
      <c r="E77" s="53"/>
      <c r="F77" s="53"/>
      <c r="G77" s="53"/>
      <c r="H77" s="53"/>
      <c r="I77" s="53"/>
      <c r="J77" s="53"/>
      <c r="K77" s="53"/>
      <c r="L77" s="53"/>
      <c r="M77" s="53"/>
      <c r="N77" s="53"/>
      <c r="O77" s="53"/>
      <c r="P77" s="15"/>
      <c r="Q77" s="15"/>
      <c r="R77" s="15"/>
      <c r="S77" s="15"/>
      <c r="T77" s="15"/>
      <c r="U77" s="15"/>
      <c r="V77" s="15"/>
      <c r="W77" s="15"/>
      <c r="X77" s="15"/>
      <c r="Y77" s="15"/>
      <c r="Z77" s="15"/>
    </row>
    <row r="78" spans="2:26" x14ac:dyDescent="0.2">
      <c r="B78" s="13" t="s">
        <v>215</v>
      </c>
      <c r="C78" s="19" t="s">
        <v>7</v>
      </c>
      <c r="D78" s="53"/>
      <c r="E78" s="53"/>
      <c r="F78" s="154">
        <f>SUM(F79:F85)</f>
        <v>0</v>
      </c>
      <c r="G78" s="154">
        <f t="shared" ref="G78:N78" si="17">SUM(G79:G85)</f>
        <v>0</v>
      </c>
      <c r="H78" s="154">
        <f t="shared" si="17"/>
        <v>0</v>
      </c>
      <c r="I78" s="154">
        <f t="shared" si="17"/>
        <v>0</v>
      </c>
      <c r="J78" s="154">
        <f>SUM(J79:J85)</f>
        <v>0</v>
      </c>
      <c r="K78" s="154">
        <f t="shared" si="17"/>
        <v>0</v>
      </c>
      <c r="L78" s="154">
        <f t="shared" si="17"/>
        <v>0</v>
      </c>
      <c r="M78" s="154">
        <f>SUM(M79:M85)</f>
        <v>0</v>
      </c>
      <c r="N78" s="154">
        <f t="shared" si="17"/>
        <v>0</v>
      </c>
      <c r="O78" s="314">
        <f t="shared" ref="O78:O84" si="18">J78</f>
        <v>0</v>
      </c>
      <c r="P78" s="15"/>
      <c r="Q78" s="15"/>
      <c r="R78" s="15"/>
      <c r="S78" s="15"/>
      <c r="T78" s="15"/>
      <c r="U78" s="15"/>
      <c r="V78" s="15"/>
      <c r="W78" s="15"/>
      <c r="X78" s="15"/>
      <c r="Y78" s="15"/>
      <c r="Z78" s="15"/>
    </row>
    <row r="79" spans="2:26" x14ac:dyDescent="0.2">
      <c r="B79" s="2" t="s">
        <v>216</v>
      </c>
      <c r="C79" s="23" t="s">
        <v>10</v>
      </c>
      <c r="D79" s="53"/>
      <c r="E79" s="53"/>
      <c r="F79" s="55"/>
      <c r="G79" s="55"/>
      <c r="H79" s="55"/>
      <c r="I79" s="55"/>
      <c r="J79" s="55"/>
      <c r="K79" s="55"/>
      <c r="L79" s="55"/>
      <c r="M79" s="55"/>
      <c r="N79" s="55"/>
      <c r="O79" s="59">
        <f t="shared" si="18"/>
        <v>0</v>
      </c>
      <c r="P79" s="15"/>
      <c r="Q79" s="15"/>
      <c r="R79" s="15"/>
      <c r="S79" s="15"/>
      <c r="T79" s="15"/>
      <c r="U79" s="15"/>
      <c r="V79" s="15"/>
      <c r="W79" s="15"/>
      <c r="X79" s="15"/>
      <c r="Y79" s="15"/>
      <c r="Z79" s="15"/>
    </row>
    <row r="80" spans="2:26" x14ac:dyDescent="0.2">
      <c r="B80" s="2" t="s">
        <v>217</v>
      </c>
      <c r="C80" s="20" t="s">
        <v>9</v>
      </c>
      <c r="D80" s="53"/>
      <c r="E80" s="53"/>
      <c r="F80" s="55"/>
      <c r="G80" s="55"/>
      <c r="H80" s="55"/>
      <c r="I80" s="55"/>
      <c r="J80" s="55"/>
      <c r="K80" s="55"/>
      <c r="L80" s="55"/>
      <c r="M80" s="55"/>
      <c r="N80" s="55"/>
      <c r="O80" s="59">
        <f t="shared" si="18"/>
        <v>0</v>
      </c>
      <c r="P80" s="15"/>
      <c r="Q80" s="15"/>
      <c r="R80" s="15"/>
      <c r="S80" s="15"/>
      <c r="T80" s="15"/>
      <c r="U80" s="15"/>
      <c r="V80" s="15"/>
      <c r="W80" s="15"/>
      <c r="X80" s="15"/>
      <c r="Y80" s="15"/>
      <c r="Z80" s="15"/>
    </row>
    <row r="81" spans="2:26" x14ac:dyDescent="0.2">
      <c r="B81" s="2" t="s">
        <v>218</v>
      </c>
      <c r="C81" s="23" t="s">
        <v>15</v>
      </c>
      <c r="D81" s="248"/>
      <c r="E81" s="53"/>
      <c r="F81" s="55"/>
      <c r="G81" s="55"/>
      <c r="H81" s="55"/>
      <c r="I81" s="55"/>
      <c r="J81" s="55"/>
      <c r="K81" s="55"/>
      <c r="L81" s="55"/>
      <c r="M81" s="55"/>
      <c r="N81" s="55"/>
      <c r="O81" s="59">
        <f t="shared" si="18"/>
        <v>0</v>
      </c>
      <c r="P81" s="15"/>
      <c r="Q81" s="15"/>
      <c r="R81" s="15"/>
      <c r="S81" s="15"/>
      <c r="T81" s="15"/>
      <c r="U81" s="15"/>
      <c r="V81" s="15"/>
      <c r="W81" s="15"/>
      <c r="X81" s="15"/>
      <c r="Y81" s="15"/>
      <c r="Z81" s="15"/>
    </row>
    <row r="82" spans="2:26" x14ac:dyDescent="0.2">
      <c r="B82" s="2" t="s">
        <v>219</v>
      </c>
      <c r="C82" s="23" t="s">
        <v>197</v>
      </c>
      <c r="D82" s="53"/>
      <c r="E82" s="248"/>
      <c r="F82" s="55"/>
      <c r="G82" s="55"/>
      <c r="H82" s="55"/>
      <c r="I82" s="55"/>
      <c r="J82" s="55"/>
      <c r="K82" s="55"/>
      <c r="L82" s="55"/>
      <c r="M82" s="55"/>
      <c r="N82" s="55"/>
      <c r="O82" s="59">
        <f t="shared" si="18"/>
        <v>0</v>
      </c>
      <c r="P82" s="15"/>
      <c r="Q82" s="15"/>
      <c r="R82" s="15"/>
      <c r="S82" s="15"/>
      <c r="T82" s="15"/>
      <c r="U82" s="15"/>
      <c r="V82" s="15"/>
      <c r="W82" s="15"/>
      <c r="X82" s="15"/>
      <c r="Y82" s="15"/>
      <c r="Z82" s="15"/>
    </row>
    <row r="83" spans="2:26" x14ac:dyDescent="0.2">
      <c r="B83" s="2" t="s">
        <v>220</v>
      </c>
      <c r="C83" s="23" t="s">
        <v>8</v>
      </c>
      <c r="D83" s="53"/>
      <c r="E83" s="53"/>
      <c r="F83" s="55"/>
      <c r="G83" s="55"/>
      <c r="H83" s="55"/>
      <c r="I83" s="55"/>
      <c r="J83" s="55"/>
      <c r="K83" s="55"/>
      <c r="L83" s="55"/>
      <c r="M83" s="55"/>
      <c r="N83" s="55"/>
      <c r="O83" s="59">
        <f t="shared" si="18"/>
        <v>0</v>
      </c>
      <c r="P83" s="15"/>
      <c r="Q83" s="15"/>
      <c r="R83" s="15"/>
      <c r="S83" s="15"/>
      <c r="T83" s="15"/>
      <c r="U83" s="15"/>
      <c r="V83" s="15"/>
      <c r="W83" s="15"/>
      <c r="X83" s="15"/>
      <c r="Y83" s="15"/>
      <c r="Z83" s="15"/>
    </row>
    <row r="84" spans="2:26" x14ac:dyDescent="0.2">
      <c r="B84" s="2" t="s">
        <v>221</v>
      </c>
      <c r="C84" s="20" t="s">
        <v>196</v>
      </c>
      <c r="D84" s="53"/>
      <c r="E84" s="53"/>
      <c r="F84" s="55"/>
      <c r="G84" s="55"/>
      <c r="H84" s="55"/>
      <c r="I84" s="55"/>
      <c r="J84" s="55"/>
      <c r="K84" s="55"/>
      <c r="L84" s="55"/>
      <c r="M84" s="55"/>
      <c r="N84" s="55"/>
      <c r="O84" s="59">
        <f t="shared" si="18"/>
        <v>0</v>
      </c>
      <c r="P84" s="15"/>
      <c r="Q84" s="15"/>
      <c r="R84" s="15"/>
      <c r="S84" s="15"/>
      <c r="T84" s="15"/>
      <c r="U84" s="15"/>
      <c r="V84" s="15"/>
      <c r="W84" s="15"/>
      <c r="X84" s="15"/>
      <c r="Y84" s="15"/>
      <c r="Z84" s="15"/>
    </row>
    <row r="85" spans="2:26" x14ac:dyDescent="0.2">
      <c r="B85" s="2" t="s">
        <v>222</v>
      </c>
      <c r="C85" s="20" t="s">
        <v>11</v>
      </c>
      <c r="D85" s="53"/>
      <c r="E85" s="53"/>
      <c r="F85" s="154">
        <f>SUM(F86:F91)</f>
        <v>0</v>
      </c>
      <c r="G85" s="154">
        <f t="shared" ref="G85:N85" si="19">SUM(G86:G91)</f>
        <v>0</v>
      </c>
      <c r="H85" s="154">
        <f t="shared" si="19"/>
        <v>0</v>
      </c>
      <c r="I85" s="154">
        <f t="shared" si="19"/>
        <v>0</v>
      </c>
      <c r="J85" s="154">
        <f>SUM(J86:J91)</f>
        <v>0</v>
      </c>
      <c r="K85" s="154">
        <f t="shared" si="19"/>
        <v>0</v>
      </c>
      <c r="L85" s="154">
        <f t="shared" si="19"/>
        <v>0</v>
      </c>
      <c r="M85" s="154">
        <f>SUM(M86:M91)</f>
        <v>0</v>
      </c>
      <c r="N85" s="154">
        <f t="shared" si="19"/>
        <v>0</v>
      </c>
      <c r="O85" s="314">
        <f t="shared" ref="O85:O93" si="20">J85</f>
        <v>0</v>
      </c>
      <c r="P85" s="15"/>
      <c r="Q85" s="15"/>
      <c r="R85" s="15"/>
      <c r="S85" s="15"/>
      <c r="T85" s="15"/>
      <c r="U85" s="15"/>
      <c r="V85" s="15"/>
      <c r="W85" s="15"/>
      <c r="X85" s="15"/>
      <c r="Y85" s="15"/>
      <c r="Z85" s="15"/>
    </row>
    <row r="86" spans="2:26" x14ac:dyDescent="0.2">
      <c r="B86" s="2" t="s">
        <v>223</v>
      </c>
      <c r="C86" s="21" t="s">
        <v>198</v>
      </c>
      <c r="D86" s="53"/>
      <c r="E86" s="53"/>
      <c r="F86" s="55"/>
      <c r="G86" s="55"/>
      <c r="H86" s="55"/>
      <c r="I86" s="55"/>
      <c r="J86" s="55"/>
      <c r="K86" s="55"/>
      <c r="L86" s="55"/>
      <c r="M86" s="55"/>
      <c r="N86" s="55"/>
      <c r="O86" s="59">
        <f t="shared" si="20"/>
        <v>0</v>
      </c>
      <c r="P86" s="15"/>
      <c r="Q86" s="15"/>
      <c r="R86" s="15"/>
      <c r="S86" s="15"/>
      <c r="T86" s="15"/>
      <c r="U86" s="15"/>
      <c r="V86" s="15"/>
      <c r="W86" s="15"/>
      <c r="X86" s="15"/>
      <c r="Y86" s="15"/>
      <c r="Z86" s="15"/>
    </row>
    <row r="87" spans="2:26" x14ac:dyDescent="0.2">
      <c r="B87" s="2" t="s">
        <v>224</v>
      </c>
      <c r="C87" s="21" t="s">
        <v>199</v>
      </c>
      <c r="D87" s="53"/>
      <c r="E87" s="53"/>
      <c r="F87" s="55"/>
      <c r="G87" s="55"/>
      <c r="H87" s="55"/>
      <c r="I87" s="55"/>
      <c r="J87" s="55"/>
      <c r="K87" s="55"/>
      <c r="L87" s="55"/>
      <c r="M87" s="55"/>
      <c r="N87" s="55"/>
      <c r="O87" s="59">
        <f t="shared" si="20"/>
        <v>0</v>
      </c>
      <c r="P87" s="15"/>
      <c r="Q87" s="15"/>
      <c r="R87" s="15"/>
      <c r="S87" s="15"/>
      <c r="T87" s="15"/>
      <c r="U87" s="15"/>
      <c r="V87" s="15"/>
      <c r="W87" s="15"/>
      <c r="X87" s="15"/>
      <c r="Y87" s="15"/>
      <c r="Z87" s="15"/>
    </row>
    <row r="88" spans="2:26" x14ac:dyDescent="0.2">
      <c r="B88" s="2" t="s">
        <v>225</v>
      </c>
      <c r="C88" s="21" t="s">
        <v>200</v>
      </c>
      <c r="D88" s="53"/>
      <c r="E88" s="53"/>
      <c r="F88" s="55"/>
      <c r="G88" s="55"/>
      <c r="H88" s="55"/>
      <c r="I88" s="55"/>
      <c r="J88" s="55"/>
      <c r="K88" s="55"/>
      <c r="L88" s="55"/>
      <c r="M88" s="55"/>
      <c r="N88" s="55"/>
      <c r="O88" s="59">
        <f t="shared" si="20"/>
        <v>0</v>
      </c>
      <c r="P88" s="15"/>
      <c r="Q88" s="15"/>
      <c r="R88" s="15"/>
      <c r="S88" s="15"/>
      <c r="T88" s="15"/>
      <c r="U88" s="15"/>
      <c r="V88" s="15"/>
      <c r="W88" s="15"/>
      <c r="X88" s="15"/>
      <c r="Y88" s="15"/>
      <c r="Z88" s="15"/>
    </row>
    <row r="89" spans="2:26" x14ac:dyDescent="0.2">
      <c r="B89" s="2" t="s">
        <v>226</v>
      </c>
      <c r="C89" s="21" t="s">
        <v>345</v>
      </c>
      <c r="D89" s="53"/>
      <c r="E89" s="53"/>
      <c r="F89" s="55"/>
      <c r="G89" s="55"/>
      <c r="H89" s="55"/>
      <c r="I89" s="55"/>
      <c r="J89" s="55"/>
      <c r="K89" s="55"/>
      <c r="L89" s="55"/>
      <c r="M89" s="55"/>
      <c r="N89" s="55"/>
      <c r="O89" s="59">
        <f t="shared" si="20"/>
        <v>0</v>
      </c>
      <c r="P89" s="15"/>
      <c r="Q89" s="15"/>
      <c r="R89" s="15"/>
      <c r="S89" s="15"/>
      <c r="T89" s="15"/>
      <c r="U89" s="15"/>
      <c r="V89" s="15"/>
      <c r="W89" s="15"/>
      <c r="X89" s="15"/>
      <c r="Y89" s="15"/>
      <c r="Z89" s="15"/>
    </row>
    <row r="90" spans="2:26" x14ac:dyDescent="0.2">
      <c r="B90" s="2" t="s">
        <v>227</v>
      </c>
      <c r="C90" s="21" t="s">
        <v>201</v>
      </c>
      <c r="D90" s="53"/>
      <c r="E90" s="53"/>
      <c r="F90" s="55"/>
      <c r="G90" s="55"/>
      <c r="H90" s="55"/>
      <c r="I90" s="55"/>
      <c r="J90" s="55"/>
      <c r="K90" s="55"/>
      <c r="L90" s="55"/>
      <c r="M90" s="55"/>
      <c r="N90" s="55"/>
      <c r="O90" s="59">
        <f t="shared" si="20"/>
        <v>0</v>
      </c>
      <c r="P90" s="15"/>
      <c r="Q90" s="15"/>
      <c r="R90" s="15"/>
      <c r="S90" s="15"/>
      <c r="T90" s="15"/>
      <c r="U90" s="15"/>
      <c r="V90" s="15"/>
      <c r="W90" s="15"/>
      <c r="X90" s="15"/>
      <c r="Y90" s="15"/>
      <c r="Z90" s="15"/>
    </row>
    <row r="91" spans="2:26" x14ac:dyDescent="0.2">
      <c r="B91" s="2" t="s">
        <v>228</v>
      </c>
      <c r="C91" s="21" t="s">
        <v>19</v>
      </c>
      <c r="D91" s="53"/>
      <c r="E91" s="53"/>
      <c r="F91" s="55"/>
      <c r="G91" s="55"/>
      <c r="H91" s="55"/>
      <c r="I91" s="55"/>
      <c r="J91" s="55"/>
      <c r="K91" s="55"/>
      <c r="L91" s="55"/>
      <c r="M91" s="55"/>
      <c r="N91" s="55"/>
      <c r="O91" s="59">
        <f t="shared" si="20"/>
        <v>0</v>
      </c>
      <c r="P91" s="15"/>
      <c r="Q91" s="15"/>
      <c r="R91" s="15"/>
      <c r="S91" s="15"/>
      <c r="T91" s="15"/>
      <c r="U91" s="15"/>
      <c r="V91" s="15"/>
      <c r="W91" s="15"/>
      <c r="X91" s="15"/>
      <c r="Y91" s="15"/>
      <c r="Z91" s="15"/>
    </row>
    <row r="92" spans="2:26" x14ac:dyDescent="0.2">
      <c r="B92" s="53"/>
      <c r="C92" s="53"/>
      <c r="D92" s="53"/>
      <c r="E92" s="53"/>
      <c r="F92" s="53"/>
      <c r="G92" s="53"/>
      <c r="H92" s="53"/>
      <c r="I92" s="53"/>
      <c r="J92" s="53"/>
      <c r="K92" s="53"/>
      <c r="L92" s="53"/>
      <c r="M92" s="53"/>
      <c r="N92" s="53"/>
      <c r="O92" s="53"/>
      <c r="P92" s="15"/>
      <c r="Q92" s="15"/>
      <c r="R92" s="15"/>
      <c r="S92" s="15"/>
      <c r="T92" s="15"/>
      <c r="U92" s="15"/>
      <c r="V92" s="15"/>
      <c r="W92" s="15"/>
      <c r="X92" s="15"/>
      <c r="Y92" s="15"/>
      <c r="Z92" s="15"/>
    </row>
    <row r="93" spans="2:26" x14ac:dyDescent="0.2">
      <c r="B93" s="13" t="s">
        <v>229</v>
      </c>
      <c r="C93" s="19" t="s">
        <v>12</v>
      </c>
      <c r="D93" s="53"/>
      <c r="E93" s="53"/>
      <c r="F93" s="154">
        <f t="shared" ref="F93:N93" si="21">SUM(F64,F78)</f>
        <v>0</v>
      </c>
      <c r="G93" s="154">
        <f t="shared" si="21"/>
        <v>0</v>
      </c>
      <c r="H93" s="154">
        <f t="shared" si="21"/>
        <v>0</v>
      </c>
      <c r="I93" s="154">
        <f t="shared" si="21"/>
        <v>0</v>
      </c>
      <c r="J93" s="154">
        <f>SUM(J64,J78)</f>
        <v>0</v>
      </c>
      <c r="K93" s="154">
        <f t="shared" si="21"/>
        <v>0</v>
      </c>
      <c r="L93" s="154">
        <f t="shared" si="21"/>
        <v>0</v>
      </c>
      <c r="M93" s="154">
        <f>SUM(M64,M78)</f>
        <v>0</v>
      </c>
      <c r="N93" s="154">
        <f t="shared" si="21"/>
        <v>0</v>
      </c>
      <c r="O93" s="314">
        <f t="shared" si="20"/>
        <v>0</v>
      </c>
      <c r="P93" s="15"/>
      <c r="Q93" s="15"/>
      <c r="R93" s="15"/>
      <c r="S93" s="15"/>
      <c r="T93" s="15"/>
      <c r="U93" s="15"/>
      <c r="V93" s="15"/>
      <c r="W93" s="15"/>
      <c r="X93" s="15"/>
      <c r="Y93" s="15"/>
      <c r="Z93" s="15"/>
    </row>
    <row r="94" spans="2:26" x14ac:dyDescent="0.2">
      <c r="B94" s="53"/>
      <c r="C94" s="53"/>
      <c r="D94" s="53"/>
      <c r="E94" s="53"/>
      <c r="F94" s="53"/>
      <c r="G94" s="53"/>
      <c r="H94" s="53"/>
      <c r="I94" s="53"/>
      <c r="J94" s="53"/>
      <c r="K94" s="53"/>
      <c r="L94" s="53"/>
      <c r="M94" s="53"/>
      <c r="N94" s="53"/>
      <c r="O94" s="53"/>
      <c r="P94" s="15"/>
      <c r="Q94" s="15"/>
      <c r="R94" s="15"/>
      <c r="S94" s="15"/>
      <c r="T94" s="15"/>
      <c r="U94" s="15"/>
      <c r="V94" s="15"/>
      <c r="W94" s="15"/>
      <c r="X94" s="15"/>
      <c r="Y94" s="15"/>
      <c r="Z94" s="15"/>
    </row>
    <row r="95" spans="2:26" x14ac:dyDescent="0.2">
      <c r="B95" s="16" t="s">
        <v>230</v>
      </c>
      <c r="C95" s="19" t="s">
        <v>231</v>
      </c>
      <c r="D95" s="53"/>
      <c r="E95" s="53"/>
      <c r="F95" s="154">
        <f>SUM(F96:F99)</f>
        <v>0</v>
      </c>
      <c r="G95" s="154">
        <f t="shared" ref="G95:N95" si="22">SUM(G96:G99)</f>
        <v>0</v>
      </c>
      <c r="H95" s="154">
        <f t="shared" si="22"/>
        <v>0</v>
      </c>
      <c r="I95" s="154">
        <f t="shared" si="22"/>
        <v>0</v>
      </c>
      <c r="J95" s="154">
        <f>SUM(J96:J99)</f>
        <v>0</v>
      </c>
      <c r="K95" s="154">
        <f t="shared" si="22"/>
        <v>0</v>
      </c>
      <c r="L95" s="154">
        <f t="shared" si="22"/>
        <v>0</v>
      </c>
      <c r="M95" s="154">
        <f>SUM(M96:M99)</f>
        <v>0</v>
      </c>
      <c r="N95" s="154">
        <f t="shared" si="22"/>
        <v>0</v>
      </c>
      <c r="O95" s="314">
        <f>J95</f>
        <v>0</v>
      </c>
      <c r="P95" s="15"/>
      <c r="Q95" s="15"/>
      <c r="R95" s="15"/>
      <c r="S95" s="15"/>
      <c r="T95" s="15"/>
      <c r="U95" s="15"/>
      <c r="V95" s="15"/>
      <c r="W95" s="15"/>
      <c r="X95" s="15"/>
      <c r="Y95" s="15"/>
      <c r="Z95" s="15"/>
    </row>
    <row r="96" spans="2:26" x14ac:dyDescent="0.2">
      <c r="B96" s="2" t="s">
        <v>232</v>
      </c>
      <c r="C96" s="20" t="s">
        <v>13</v>
      </c>
      <c r="D96" s="53"/>
      <c r="E96" s="53"/>
      <c r="F96" s="55"/>
      <c r="G96" s="55"/>
      <c r="H96" s="55"/>
      <c r="I96" s="55"/>
      <c r="J96" s="55"/>
      <c r="K96" s="55"/>
      <c r="L96" s="55"/>
      <c r="M96" s="55"/>
      <c r="N96" s="55"/>
      <c r="O96" s="59">
        <f>J96</f>
        <v>0</v>
      </c>
      <c r="P96" s="15"/>
      <c r="Q96" s="15"/>
      <c r="R96" s="15"/>
      <c r="S96" s="15"/>
      <c r="T96" s="15"/>
      <c r="U96" s="15"/>
      <c r="V96" s="15"/>
      <c r="W96" s="15"/>
      <c r="X96" s="15"/>
      <c r="Y96" s="15"/>
      <c r="Z96" s="15"/>
    </row>
    <row r="97" spans="2:26" x14ac:dyDescent="0.2">
      <c r="B97" s="2" t="s">
        <v>233</v>
      </c>
      <c r="C97" s="20" t="s">
        <v>14</v>
      </c>
      <c r="D97" s="53"/>
      <c r="E97" s="53"/>
      <c r="F97" s="55"/>
      <c r="G97" s="55"/>
      <c r="H97" s="55"/>
      <c r="I97" s="55"/>
      <c r="J97" s="55"/>
      <c r="K97" s="55"/>
      <c r="L97" s="55"/>
      <c r="M97" s="55"/>
      <c r="N97" s="55"/>
      <c r="O97" s="59">
        <f>J97</f>
        <v>0</v>
      </c>
      <c r="P97" s="15"/>
      <c r="Q97" s="15"/>
      <c r="R97" s="15"/>
      <c r="S97" s="15"/>
      <c r="T97" s="15"/>
      <c r="U97" s="15"/>
      <c r="V97" s="15"/>
      <c r="W97" s="15"/>
      <c r="X97" s="15"/>
      <c r="Y97" s="15"/>
      <c r="Z97" s="15"/>
    </row>
    <row r="98" spans="2:26" x14ac:dyDescent="0.2">
      <c r="B98" s="2" t="s">
        <v>234</v>
      </c>
      <c r="C98" s="20" t="s">
        <v>235</v>
      </c>
      <c r="D98" s="53"/>
      <c r="E98" s="53"/>
      <c r="F98" s="55"/>
      <c r="G98" s="55"/>
      <c r="H98" s="55"/>
      <c r="I98" s="55"/>
      <c r="J98" s="55"/>
      <c r="K98" s="55"/>
      <c r="L98" s="55"/>
      <c r="M98" s="55"/>
      <c r="N98" s="55"/>
      <c r="O98" s="59">
        <f>J98</f>
        <v>0</v>
      </c>
      <c r="P98" s="15"/>
      <c r="Q98" s="15"/>
      <c r="R98" s="15"/>
      <c r="S98" s="15"/>
      <c r="T98" s="15"/>
      <c r="U98" s="15"/>
      <c r="V98" s="15"/>
      <c r="W98" s="15"/>
      <c r="X98" s="15"/>
      <c r="Y98" s="15"/>
      <c r="Z98" s="15"/>
    </row>
    <row r="99" spans="2:26" x14ac:dyDescent="0.2">
      <c r="B99" s="2" t="s">
        <v>236</v>
      </c>
      <c r="C99" s="20" t="s">
        <v>16</v>
      </c>
      <c r="D99" s="53"/>
      <c r="E99" s="53"/>
      <c r="F99" s="154">
        <f t="shared" ref="F99:N99" si="23">SUM(F100:F105)</f>
        <v>0</v>
      </c>
      <c r="G99" s="154">
        <f t="shared" si="23"/>
        <v>0</v>
      </c>
      <c r="H99" s="154">
        <f t="shared" si="23"/>
        <v>0</v>
      </c>
      <c r="I99" s="154">
        <f t="shared" si="23"/>
        <v>0</v>
      </c>
      <c r="J99" s="154">
        <f t="shared" si="23"/>
        <v>0</v>
      </c>
      <c r="K99" s="154">
        <f t="shared" si="23"/>
        <v>0</v>
      </c>
      <c r="L99" s="154">
        <f t="shared" si="23"/>
        <v>0</v>
      </c>
      <c r="M99" s="154">
        <f t="shared" si="23"/>
        <v>0</v>
      </c>
      <c r="N99" s="154">
        <f t="shared" si="23"/>
        <v>0</v>
      </c>
      <c r="O99" s="314">
        <f t="shared" ref="O99:O105" si="24">J99</f>
        <v>0</v>
      </c>
      <c r="P99" s="15"/>
      <c r="Q99" s="15"/>
      <c r="R99" s="15"/>
      <c r="S99" s="15"/>
      <c r="T99" s="15"/>
      <c r="U99" s="15"/>
      <c r="V99" s="15"/>
      <c r="W99" s="15"/>
      <c r="X99" s="15"/>
      <c r="Y99" s="15"/>
      <c r="Z99" s="15"/>
    </row>
    <row r="100" spans="2:26" x14ac:dyDescent="0.2">
      <c r="B100" s="2" t="s">
        <v>237</v>
      </c>
      <c r="C100" s="21" t="s">
        <v>17</v>
      </c>
      <c r="D100" s="53"/>
      <c r="E100" s="53"/>
      <c r="F100" s="55"/>
      <c r="G100" s="55"/>
      <c r="H100" s="55"/>
      <c r="I100" s="55"/>
      <c r="J100" s="55"/>
      <c r="K100" s="55"/>
      <c r="L100" s="55"/>
      <c r="M100" s="55"/>
      <c r="N100" s="55"/>
      <c r="O100" s="59">
        <f t="shared" si="24"/>
        <v>0</v>
      </c>
      <c r="P100" s="15"/>
      <c r="Q100" s="15"/>
      <c r="R100" s="15"/>
      <c r="S100" s="15"/>
      <c r="T100" s="15"/>
      <c r="U100" s="15"/>
      <c r="V100" s="15"/>
      <c r="W100" s="15"/>
      <c r="X100" s="15"/>
      <c r="Y100" s="15"/>
      <c r="Z100" s="15"/>
    </row>
    <row r="101" spans="2:26" x14ac:dyDescent="0.2">
      <c r="B101" s="2" t="s">
        <v>238</v>
      </c>
      <c r="C101" s="21" t="s">
        <v>239</v>
      </c>
      <c r="D101" s="53"/>
      <c r="E101" s="53"/>
      <c r="F101" s="55"/>
      <c r="G101" s="55"/>
      <c r="H101" s="55"/>
      <c r="I101" s="55"/>
      <c r="J101" s="55"/>
      <c r="K101" s="55"/>
      <c r="L101" s="55"/>
      <c r="M101" s="55"/>
      <c r="N101" s="55"/>
      <c r="O101" s="59">
        <f t="shared" si="24"/>
        <v>0</v>
      </c>
      <c r="P101" s="15"/>
      <c r="Q101" s="15"/>
      <c r="R101" s="15"/>
      <c r="S101" s="15"/>
      <c r="T101" s="15"/>
      <c r="U101" s="15"/>
      <c r="V101" s="15"/>
      <c r="W101" s="15"/>
      <c r="X101" s="15"/>
      <c r="Y101" s="15"/>
      <c r="Z101" s="15"/>
    </row>
    <row r="102" spans="2:26" x14ac:dyDescent="0.2">
      <c r="B102" s="2" t="s">
        <v>240</v>
      </c>
      <c r="C102" s="21" t="s">
        <v>241</v>
      </c>
      <c r="D102" s="53"/>
      <c r="E102" s="53"/>
      <c r="F102" s="55"/>
      <c r="G102" s="55"/>
      <c r="H102" s="55"/>
      <c r="I102" s="55"/>
      <c r="J102" s="55"/>
      <c r="K102" s="55"/>
      <c r="L102" s="55"/>
      <c r="M102" s="55"/>
      <c r="N102" s="55"/>
      <c r="O102" s="59">
        <f t="shared" si="24"/>
        <v>0</v>
      </c>
      <c r="P102" s="15"/>
      <c r="Q102" s="15"/>
      <c r="R102" s="15"/>
      <c r="S102" s="15"/>
      <c r="T102" s="15"/>
      <c r="U102" s="15"/>
      <c r="V102" s="15"/>
      <c r="W102" s="15"/>
      <c r="X102" s="15"/>
      <c r="Y102" s="15"/>
      <c r="Z102" s="15"/>
    </row>
    <row r="103" spans="2:26" x14ac:dyDescent="0.2">
      <c r="B103" s="2" t="s">
        <v>242</v>
      </c>
      <c r="C103" s="21" t="s">
        <v>840</v>
      </c>
      <c r="D103" s="53"/>
      <c r="E103" s="53"/>
      <c r="F103" s="55"/>
      <c r="G103" s="55"/>
      <c r="H103" s="55"/>
      <c r="I103" s="55"/>
      <c r="J103" s="55"/>
      <c r="K103" s="55"/>
      <c r="L103" s="55"/>
      <c r="M103" s="55"/>
      <c r="N103" s="55"/>
      <c r="O103" s="59">
        <f t="shared" si="24"/>
        <v>0</v>
      </c>
      <c r="P103" s="15"/>
      <c r="Q103" s="15"/>
      <c r="R103" s="15"/>
      <c r="S103" s="15"/>
      <c r="T103" s="15"/>
      <c r="U103" s="15"/>
      <c r="V103" s="15"/>
      <c r="W103" s="15"/>
      <c r="X103" s="15"/>
      <c r="Y103" s="15"/>
      <c r="Z103" s="15"/>
    </row>
    <row r="104" spans="2:26" x14ac:dyDescent="0.2">
      <c r="B104" s="2" t="s">
        <v>243</v>
      </c>
      <c r="C104" s="21" t="s">
        <v>244</v>
      </c>
      <c r="D104" s="53"/>
      <c r="E104" s="53"/>
      <c r="F104" s="55"/>
      <c r="G104" s="55"/>
      <c r="H104" s="55"/>
      <c r="I104" s="55"/>
      <c r="J104" s="55"/>
      <c r="K104" s="55"/>
      <c r="L104" s="55"/>
      <c r="M104" s="55"/>
      <c r="N104" s="55"/>
      <c r="O104" s="59">
        <f t="shared" si="24"/>
        <v>0</v>
      </c>
      <c r="P104" s="15"/>
      <c r="Q104" s="15"/>
      <c r="R104" s="15"/>
      <c r="S104" s="15"/>
      <c r="T104" s="15"/>
      <c r="U104" s="15"/>
      <c r="V104" s="15"/>
      <c r="W104" s="15"/>
      <c r="X104" s="15"/>
      <c r="Y104" s="15"/>
      <c r="Z104" s="15"/>
    </row>
    <row r="105" spans="2:26" x14ac:dyDescent="0.2">
      <c r="B105" s="2" t="s">
        <v>245</v>
      </c>
      <c r="C105" s="21" t="s">
        <v>20</v>
      </c>
      <c r="D105" s="53"/>
      <c r="E105" s="53"/>
      <c r="F105" s="55"/>
      <c r="G105" s="55"/>
      <c r="H105" s="55"/>
      <c r="I105" s="55"/>
      <c r="J105" s="55"/>
      <c r="K105" s="55"/>
      <c r="L105" s="55"/>
      <c r="M105" s="55"/>
      <c r="N105" s="55"/>
      <c r="O105" s="59">
        <f t="shared" si="24"/>
        <v>0</v>
      </c>
      <c r="P105" s="15"/>
      <c r="Q105" s="15"/>
      <c r="R105" s="15"/>
      <c r="S105" s="15"/>
      <c r="T105" s="15"/>
      <c r="U105" s="15"/>
      <c r="V105" s="15"/>
      <c r="W105" s="15"/>
      <c r="X105" s="15"/>
      <c r="Y105" s="15"/>
      <c r="Z105" s="15"/>
    </row>
    <row r="106" spans="2:26" x14ac:dyDescent="0.2">
      <c r="B106" s="53"/>
      <c r="C106" s="53"/>
      <c r="D106" s="53"/>
      <c r="E106" s="53"/>
      <c r="F106" s="53"/>
      <c r="G106" s="53"/>
      <c r="H106" s="53"/>
      <c r="I106" s="53"/>
      <c r="J106" s="53"/>
      <c r="K106" s="53"/>
      <c r="L106" s="53"/>
      <c r="M106" s="53"/>
      <c r="N106" s="53"/>
      <c r="O106" s="53"/>
      <c r="P106" s="15"/>
      <c r="Q106" s="15"/>
      <c r="R106" s="15"/>
      <c r="S106" s="15"/>
      <c r="T106" s="15"/>
      <c r="U106" s="15"/>
      <c r="V106" s="15"/>
      <c r="W106" s="15"/>
      <c r="X106" s="15"/>
      <c r="Y106" s="15"/>
      <c r="Z106" s="15"/>
    </row>
    <row r="107" spans="2:26" x14ac:dyDescent="0.2">
      <c r="B107" s="13" t="s">
        <v>246</v>
      </c>
      <c r="C107" s="19" t="s">
        <v>18</v>
      </c>
      <c r="D107" s="53"/>
      <c r="E107" s="53"/>
      <c r="F107" s="154">
        <f>SUM(F108:F110)</f>
        <v>0</v>
      </c>
      <c r="G107" s="154">
        <f t="shared" ref="G107:N107" si="25">SUM(G108:G110)</f>
        <v>0</v>
      </c>
      <c r="H107" s="154">
        <f t="shared" si="25"/>
        <v>0</v>
      </c>
      <c r="I107" s="154">
        <f t="shared" si="25"/>
        <v>0</v>
      </c>
      <c r="J107" s="154">
        <f>SUM(J108:J110)</f>
        <v>0</v>
      </c>
      <c r="K107" s="154">
        <f t="shared" si="25"/>
        <v>0</v>
      </c>
      <c r="L107" s="154">
        <f t="shared" si="25"/>
        <v>0</v>
      </c>
      <c r="M107" s="154">
        <f>SUM(M108:M110)</f>
        <v>0</v>
      </c>
      <c r="N107" s="154">
        <f t="shared" si="25"/>
        <v>0</v>
      </c>
      <c r="O107" s="314">
        <f>J107</f>
        <v>0</v>
      </c>
      <c r="P107" s="15"/>
      <c r="Q107" s="15"/>
      <c r="R107" s="15"/>
      <c r="S107" s="15"/>
      <c r="T107" s="15"/>
      <c r="U107" s="15"/>
      <c r="V107" s="15"/>
      <c r="W107" s="15"/>
      <c r="X107" s="15"/>
      <c r="Y107" s="15"/>
      <c r="Z107" s="15"/>
    </row>
    <row r="108" spans="2:26" x14ac:dyDescent="0.2">
      <c r="B108" s="2" t="s">
        <v>247</v>
      </c>
      <c r="C108" s="20" t="s">
        <v>22</v>
      </c>
      <c r="D108" s="53"/>
      <c r="E108" s="53"/>
      <c r="F108" s="55"/>
      <c r="G108" s="55"/>
      <c r="H108" s="55"/>
      <c r="I108" s="55"/>
      <c r="J108" s="55"/>
      <c r="K108" s="55"/>
      <c r="L108" s="55"/>
      <c r="M108" s="55"/>
      <c r="N108" s="55"/>
      <c r="O108" s="59">
        <f>J108</f>
        <v>0</v>
      </c>
      <c r="P108" s="15"/>
      <c r="Q108" s="15"/>
      <c r="R108" s="15"/>
      <c r="S108" s="15"/>
      <c r="T108" s="15"/>
      <c r="U108" s="15"/>
      <c r="V108" s="15"/>
      <c r="W108" s="15"/>
      <c r="X108" s="15"/>
      <c r="Y108" s="15"/>
      <c r="Z108" s="15"/>
    </row>
    <row r="109" spans="2:26" x14ac:dyDescent="0.2">
      <c r="B109" s="2" t="s">
        <v>248</v>
      </c>
      <c r="C109" s="20" t="s">
        <v>249</v>
      </c>
      <c r="D109" s="53"/>
      <c r="E109" s="53"/>
      <c r="F109" s="55"/>
      <c r="G109" s="55"/>
      <c r="H109" s="55"/>
      <c r="I109" s="55"/>
      <c r="J109" s="55"/>
      <c r="K109" s="55"/>
      <c r="L109" s="55"/>
      <c r="M109" s="55"/>
      <c r="N109" s="55"/>
      <c r="O109" s="59">
        <f>J109</f>
        <v>0</v>
      </c>
      <c r="P109" s="15"/>
      <c r="Q109" s="15"/>
      <c r="R109" s="15"/>
      <c r="S109" s="15"/>
      <c r="T109" s="15"/>
      <c r="U109" s="15"/>
      <c r="V109" s="15"/>
      <c r="W109" s="15"/>
      <c r="X109" s="15"/>
      <c r="Y109" s="15"/>
      <c r="Z109" s="15"/>
    </row>
    <row r="110" spans="2:26" x14ac:dyDescent="0.2">
      <c r="B110" s="2" t="s">
        <v>250</v>
      </c>
      <c r="C110" s="20" t="s">
        <v>23</v>
      </c>
      <c r="D110" s="53"/>
      <c r="E110" s="53"/>
      <c r="F110" s="154">
        <f t="shared" ref="F110:N110" si="26">SUM(F111:F116)</f>
        <v>0</v>
      </c>
      <c r="G110" s="154">
        <f t="shared" si="26"/>
        <v>0</v>
      </c>
      <c r="H110" s="154">
        <f t="shared" si="26"/>
        <v>0</v>
      </c>
      <c r="I110" s="154">
        <f t="shared" si="26"/>
        <v>0</v>
      </c>
      <c r="J110" s="154">
        <f t="shared" si="26"/>
        <v>0</v>
      </c>
      <c r="K110" s="154">
        <f t="shared" si="26"/>
        <v>0</v>
      </c>
      <c r="L110" s="154">
        <f t="shared" si="26"/>
        <v>0</v>
      </c>
      <c r="M110" s="154">
        <f t="shared" si="26"/>
        <v>0</v>
      </c>
      <c r="N110" s="154">
        <f t="shared" si="26"/>
        <v>0</v>
      </c>
      <c r="O110" s="314">
        <f t="shared" ref="O110:O118" si="27">J110</f>
        <v>0</v>
      </c>
      <c r="P110" s="15"/>
      <c r="Q110" s="15"/>
      <c r="R110" s="15"/>
      <c r="S110" s="15"/>
      <c r="T110" s="15"/>
      <c r="U110" s="15"/>
      <c r="V110" s="15"/>
      <c r="W110" s="15"/>
      <c r="X110" s="15"/>
      <c r="Y110" s="15"/>
      <c r="Z110" s="15"/>
    </row>
    <row r="111" spans="2:26" x14ac:dyDescent="0.2">
      <c r="B111" s="2" t="s">
        <v>251</v>
      </c>
      <c r="C111" s="21" t="s">
        <v>24</v>
      </c>
      <c r="D111" s="53"/>
      <c r="E111" s="53"/>
      <c r="F111" s="55"/>
      <c r="G111" s="55"/>
      <c r="H111" s="55"/>
      <c r="I111" s="55"/>
      <c r="J111" s="55"/>
      <c r="K111" s="55"/>
      <c r="L111" s="55"/>
      <c r="M111" s="55"/>
      <c r="N111" s="55"/>
      <c r="O111" s="59">
        <f t="shared" si="27"/>
        <v>0</v>
      </c>
      <c r="P111" s="15"/>
      <c r="Q111" s="15"/>
      <c r="R111" s="15"/>
      <c r="S111" s="15"/>
      <c r="T111" s="15"/>
      <c r="U111" s="15"/>
      <c r="V111" s="15"/>
      <c r="W111" s="15"/>
      <c r="X111" s="15"/>
      <c r="Y111" s="15"/>
      <c r="Z111" s="15"/>
    </row>
    <row r="112" spans="2:26" x14ac:dyDescent="0.2">
      <c r="B112" s="2" t="s">
        <v>252</v>
      </c>
      <c r="C112" s="21" t="s">
        <v>31</v>
      </c>
      <c r="D112" s="53"/>
      <c r="E112" s="53"/>
      <c r="F112" s="55"/>
      <c r="G112" s="55"/>
      <c r="H112" s="55"/>
      <c r="I112" s="55"/>
      <c r="J112" s="55"/>
      <c r="K112" s="55"/>
      <c r="L112" s="55"/>
      <c r="M112" s="55"/>
      <c r="N112" s="55"/>
      <c r="O112" s="59">
        <f t="shared" si="27"/>
        <v>0</v>
      </c>
      <c r="P112" s="15"/>
      <c r="Q112" s="15"/>
      <c r="R112" s="15"/>
      <c r="S112" s="15"/>
      <c r="T112" s="15"/>
      <c r="U112" s="15"/>
      <c r="V112" s="15"/>
      <c r="W112" s="15"/>
      <c r="X112" s="15"/>
      <c r="Y112" s="15"/>
      <c r="Z112" s="15"/>
    </row>
    <row r="113" spans="2:26" x14ac:dyDescent="0.2">
      <c r="B113" s="2" t="s">
        <v>253</v>
      </c>
      <c r="C113" s="21" t="s">
        <v>436</v>
      </c>
      <c r="D113" s="53"/>
      <c r="E113" s="53"/>
      <c r="F113" s="55"/>
      <c r="G113" s="55"/>
      <c r="H113" s="55"/>
      <c r="I113" s="55"/>
      <c r="J113" s="55"/>
      <c r="K113" s="55"/>
      <c r="L113" s="55"/>
      <c r="M113" s="55"/>
      <c r="N113" s="55"/>
      <c r="O113" s="59">
        <f t="shared" si="27"/>
        <v>0</v>
      </c>
      <c r="P113" s="15"/>
      <c r="Q113" s="15"/>
      <c r="R113" s="15"/>
      <c r="S113" s="15"/>
      <c r="T113" s="15"/>
      <c r="U113" s="15"/>
      <c r="V113" s="15"/>
      <c r="W113" s="15"/>
      <c r="X113" s="15"/>
      <c r="Y113" s="15"/>
      <c r="Z113" s="15"/>
    </row>
    <row r="114" spans="2:26" x14ac:dyDescent="0.2">
      <c r="B114" s="2" t="s">
        <v>254</v>
      </c>
      <c r="C114" s="21" t="s">
        <v>917</v>
      </c>
      <c r="D114" s="53"/>
      <c r="E114" s="53"/>
      <c r="F114" s="55"/>
      <c r="G114" s="55"/>
      <c r="H114" s="55"/>
      <c r="I114" s="55"/>
      <c r="J114" s="55"/>
      <c r="K114" s="55"/>
      <c r="L114" s="55"/>
      <c r="M114" s="55"/>
      <c r="N114" s="55"/>
      <c r="O114" s="59">
        <f t="shared" si="27"/>
        <v>0</v>
      </c>
      <c r="P114" s="15"/>
      <c r="Q114" s="15"/>
      <c r="R114" s="15"/>
      <c r="S114" s="15"/>
      <c r="T114" s="15"/>
      <c r="U114" s="15"/>
      <c r="V114" s="15"/>
      <c r="W114" s="15"/>
      <c r="X114" s="15"/>
      <c r="Y114" s="15"/>
      <c r="Z114" s="15"/>
    </row>
    <row r="115" spans="2:26" x14ac:dyDescent="0.2">
      <c r="B115" s="2" t="s">
        <v>256</v>
      </c>
      <c r="C115" s="21" t="s">
        <v>255</v>
      </c>
      <c r="D115" s="53"/>
      <c r="E115" s="53"/>
      <c r="F115" s="55"/>
      <c r="G115" s="55"/>
      <c r="H115" s="55"/>
      <c r="I115" s="55"/>
      <c r="J115" s="55"/>
      <c r="K115" s="55"/>
      <c r="L115" s="55"/>
      <c r="M115" s="55"/>
      <c r="N115" s="55"/>
      <c r="O115" s="59">
        <f t="shared" si="27"/>
        <v>0</v>
      </c>
      <c r="P115" s="15"/>
      <c r="Q115" s="15"/>
      <c r="R115" s="15"/>
      <c r="S115" s="15"/>
      <c r="T115" s="15"/>
      <c r="U115" s="15"/>
      <c r="V115" s="15"/>
      <c r="W115" s="15"/>
      <c r="X115" s="15"/>
      <c r="Y115" s="15"/>
      <c r="Z115" s="15"/>
    </row>
    <row r="116" spans="2:26" x14ac:dyDescent="0.2">
      <c r="B116" s="2" t="s">
        <v>435</v>
      </c>
      <c r="C116" s="21" t="s">
        <v>25</v>
      </c>
      <c r="D116" s="53"/>
      <c r="E116" s="53"/>
      <c r="F116" s="55"/>
      <c r="G116" s="55"/>
      <c r="H116" s="55"/>
      <c r="I116" s="55"/>
      <c r="J116" s="55"/>
      <c r="K116" s="55"/>
      <c r="L116" s="55"/>
      <c r="M116" s="55"/>
      <c r="N116" s="55"/>
      <c r="O116" s="59">
        <f t="shared" si="27"/>
        <v>0</v>
      </c>
      <c r="P116" s="15"/>
      <c r="Q116" s="15"/>
      <c r="R116" s="15"/>
      <c r="S116" s="15"/>
      <c r="T116" s="15"/>
      <c r="U116" s="15"/>
      <c r="V116" s="15"/>
      <c r="W116" s="15"/>
      <c r="X116" s="15"/>
      <c r="Y116" s="15"/>
      <c r="Z116" s="15"/>
    </row>
    <row r="117" spans="2:26" x14ac:dyDescent="0.2">
      <c r="B117" s="53"/>
      <c r="C117" s="53"/>
      <c r="D117" s="53"/>
      <c r="E117" s="53"/>
      <c r="F117" s="53"/>
      <c r="G117" s="53"/>
      <c r="H117" s="53"/>
      <c r="I117" s="53"/>
      <c r="J117" s="53"/>
      <c r="K117" s="53"/>
      <c r="L117" s="53"/>
      <c r="M117" s="53"/>
      <c r="N117" s="53"/>
      <c r="O117" s="53"/>
      <c r="P117" s="15"/>
      <c r="Q117" s="15"/>
      <c r="R117" s="15"/>
      <c r="S117" s="15"/>
      <c r="T117" s="15"/>
      <c r="U117" s="15"/>
      <c r="V117" s="15"/>
      <c r="W117" s="15"/>
      <c r="X117" s="15"/>
      <c r="Y117" s="15"/>
      <c r="Z117" s="15"/>
    </row>
    <row r="118" spans="2:26" x14ac:dyDescent="0.2">
      <c r="B118" s="13" t="s">
        <v>257</v>
      </c>
      <c r="C118" s="19" t="s">
        <v>88</v>
      </c>
      <c r="D118" s="53"/>
      <c r="E118" s="53"/>
      <c r="F118" s="154">
        <f>SUM(F95,F107)</f>
        <v>0</v>
      </c>
      <c r="G118" s="154">
        <f t="shared" ref="G118:N118" si="28">SUM(G95,G107)</f>
        <v>0</v>
      </c>
      <c r="H118" s="154">
        <f t="shared" si="28"/>
        <v>0</v>
      </c>
      <c r="I118" s="154">
        <f t="shared" si="28"/>
        <v>0</v>
      </c>
      <c r="J118" s="154">
        <f>SUM(J95,J107)</f>
        <v>0</v>
      </c>
      <c r="K118" s="154">
        <f t="shared" si="28"/>
        <v>0</v>
      </c>
      <c r="L118" s="154">
        <f t="shared" si="28"/>
        <v>0</v>
      </c>
      <c r="M118" s="154">
        <f>SUM(M95,M107)</f>
        <v>0</v>
      </c>
      <c r="N118" s="154">
        <f t="shared" si="28"/>
        <v>0</v>
      </c>
      <c r="O118" s="314">
        <f t="shared" si="27"/>
        <v>0</v>
      </c>
      <c r="P118" s="15"/>
      <c r="Q118" s="15"/>
      <c r="R118" s="15"/>
      <c r="S118" s="15"/>
      <c r="T118" s="15"/>
      <c r="U118" s="15"/>
      <c r="V118" s="15"/>
      <c r="W118" s="15"/>
      <c r="X118" s="15"/>
      <c r="Y118" s="15"/>
      <c r="Z118" s="15"/>
    </row>
    <row r="119" spans="2:26" x14ac:dyDescent="0.2">
      <c r="B119" s="53"/>
      <c r="C119" s="53"/>
      <c r="D119" s="53"/>
      <c r="E119" s="53"/>
      <c r="F119" s="53"/>
      <c r="G119" s="53"/>
      <c r="H119" s="53"/>
      <c r="I119" s="53"/>
      <c r="J119" s="53"/>
      <c r="K119" s="53"/>
      <c r="L119" s="53"/>
      <c r="M119" s="53"/>
      <c r="N119" s="53"/>
      <c r="O119" s="53"/>
      <c r="P119" s="15"/>
      <c r="Q119" s="15"/>
      <c r="R119" s="15"/>
      <c r="S119" s="15"/>
      <c r="T119" s="15"/>
      <c r="U119" s="15"/>
      <c r="V119" s="15"/>
      <c r="W119" s="15"/>
      <c r="X119" s="15"/>
      <c r="Y119" s="15"/>
      <c r="Z119" s="15"/>
    </row>
    <row r="120" spans="2:26" x14ac:dyDescent="0.2">
      <c r="B120" s="13" t="s">
        <v>258</v>
      </c>
      <c r="C120" s="19" t="s">
        <v>27</v>
      </c>
      <c r="D120" s="53"/>
      <c r="E120" s="53"/>
      <c r="F120" s="154">
        <f>SUM(F121:F126)</f>
        <v>0</v>
      </c>
      <c r="G120" s="154">
        <f t="shared" ref="G120:N120" si="29">SUM(G121:G126)</f>
        <v>0</v>
      </c>
      <c r="H120" s="154">
        <f t="shared" si="29"/>
        <v>0</v>
      </c>
      <c r="I120" s="154">
        <f t="shared" si="29"/>
        <v>0</v>
      </c>
      <c r="J120" s="154">
        <f>SUM(J121:J126)</f>
        <v>0</v>
      </c>
      <c r="K120" s="154">
        <f t="shared" si="29"/>
        <v>0</v>
      </c>
      <c r="L120" s="154">
        <f t="shared" si="29"/>
        <v>0</v>
      </c>
      <c r="M120" s="154">
        <f>SUM(M121:M126)</f>
        <v>0</v>
      </c>
      <c r="N120" s="154">
        <f t="shared" si="29"/>
        <v>0</v>
      </c>
      <c r="O120" s="314">
        <f t="shared" ref="O120:O130" si="30">J120</f>
        <v>0</v>
      </c>
      <c r="P120" s="15"/>
      <c r="Q120" s="15"/>
      <c r="R120" s="15"/>
      <c r="S120" s="15"/>
      <c r="T120" s="15"/>
      <c r="U120" s="15"/>
      <c r="V120" s="15"/>
      <c r="W120" s="15"/>
      <c r="X120" s="15"/>
      <c r="Y120" s="15"/>
      <c r="Z120" s="15"/>
    </row>
    <row r="121" spans="2:26" x14ac:dyDescent="0.2">
      <c r="B121" s="2" t="s">
        <v>259</v>
      </c>
      <c r="C121" s="20" t="s">
        <v>28</v>
      </c>
      <c r="D121" s="53"/>
      <c r="E121" s="53"/>
      <c r="F121" s="55"/>
      <c r="G121" s="55"/>
      <c r="H121" s="55"/>
      <c r="I121" s="55"/>
      <c r="J121" s="55"/>
      <c r="K121" s="55"/>
      <c r="L121" s="55"/>
      <c r="M121" s="55"/>
      <c r="N121" s="55"/>
      <c r="O121" s="59">
        <f t="shared" si="30"/>
        <v>0</v>
      </c>
      <c r="P121" s="15"/>
      <c r="Q121" s="15"/>
      <c r="R121" s="15"/>
      <c r="S121" s="15"/>
      <c r="T121" s="15"/>
      <c r="U121" s="15"/>
      <c r="V121" s="15"/>
      <c r="W121" s="15"/>
      <c r="X121" s="15"/>
      <c r="Y121" s="15"/>
      <c r="Z121" s="15"/>
    </row>
    <row r="122" spans="2:26" x14ac:dyDescent="0.2">
      <c r="B122" s="2" t="s">
        <v>260</v>
      </c>
      <c r="C122" s="20" t="s">
        <v>261</v>
      </c>
      <c r="D122" s="53"/>
      <c r="E122" s="53"/>
      <c r="F122" s="55"/>
      <c r="G122" s="55"/>
      <c r="H122" s="55"/>
      <c r="I122" s="55"/>
      <c r="J122" s="55"/>
      <c r="K122" s="55"/>
      <c r="L122" s="55"/>
      <c r="M122" s="55"/>
      <c r="N122" s="55"/>
      <c r="O122" s="59">
        <f t="shared" si="30"/>
        <v>0</v>
      </c>
      <c r="P122" s="15"/>
      <c r="Q122" s="15"/>
      <c r="R122" s="15"/>
      <c r="S122" s="15"/>
      <c r="T122" s="15"/>
      <c r="U122" s="15"/>
      <c r="V122" s="15"/>
      <c r="W122" s="15"/>
      <c r="X122" s="15"/>
      <c r="Y122" s="15"/>
      <c r="Z122" s="15"/>
    </row>
    <row r="123" spans="2:26" x14ac:dyDescent="0.2">
      <c r="B123" s="2" t="s">
        <v>262</v>
      </c>
      <c r="C123" s="20" t="s">
        <v>336</v>
      </c>
      <c r="D123" s="53"/>
      <c r="E123" s="53"/>
      <c r="F123" s="55"/>
      <c r="G123" s="55"/>
      <c r="H123" s="55"/>
      <c r="I123" s="55"/>
      <c r="J123" s="55"/>
      <c r="K123" s="55"/>
      <c r="L123" s="55"/>
      <c r="M123" s="55"/>
      <c r="N123" s="55"/>
      <c r="O123" s="59">
        <f t="shared" si="30"/>
        <v>0</v>
      </c>
      <c r="P123" s="15"/>
      <c r="Q123" s="15"/>
      <c r="R123" s="15"/>
      <c r="S123" s="15"/>
      <c r="T123" s="15"/>
      <c r="U123" s="15"/>
      <c r="V123" s="15"/>
      <c r="W123" s="15"/>
      <c r="X123" s="15"/>
      <c r="Y123" s="15"/>
      <c r="Z123" s="15"/>
    </row>
    <row r="124" spans="2:26" x14ac:dyDescent="0.2">
      <c r="B124" s="2" t="s">
        <v>263</v>
      </c>
      <c r="C124" s="23" t="s">
        <v>264</v>
      </c>
      <c r="D124" s="53"/>
      <c r="E124" s="53"/>
      <c r="F124" s="55"/>
      <c r="G124" s="55"/>
      <c r="H124" s="55"/>
      <c r="I124" s="55"/>
      <c r="J124" s="55"/>
      <c r="K124" s="55"/>
      <c r="L124" s="55"/>
      <c r="M124" s="55"/>
      <c r="N124" s="55"/>
      <c r="O124" s="59">
        <f t="shared" si="30"/>
        <v>0</v>
      </c>
      <c r="P124" s="15"/>
      <c r="Q124" s="15"/>
      <c r="R124" s="15"/>
      <c r="S124" s="15"/>
      <c r="T124" s="15"/>
      <c r="U124" s="15"/>
      <c r="V124" s="15"/>
      <c r="W124" s="15"/>
      <c r="X124" s="15"/>
      <c r="Y124" s="15"/>
      <c r="Z124" s="15"/>
    </row>
    <row r="125" spans="2:26" x14ac:dyDescent="0.2">
      <c r="B125" s="2" t="s">
        <v>265</v>
      </c>
      <c r="C125" s="20" t="s">
        <v>29</v>
      </c>
      <c r="D125" s="53"/>
      <c r="E125" s="53"/>
      <c r="F125" s="55"/>
      <c r="G125" s="55"/>
      <c r="H125" s="55"/>
      <c r="I125" s="55"/>
      <c r="J125" s="55"/>
      <c r="K125" s="55"/>
      <c r="L125" s="55"/>
      <c r="M125" s="55"/>
      <c r="N125" s="55"/>
      <c r="O125" s="59">
        <f t="shared" si="30"/>
        <v>0</v>
      </c>
      <c r="P125" s="15"/>
      <c r="Q125" s="15"/>
      <c r="R125" s="15"/>
      <c r="S125" s="15"/>
      <c r="T125" s="15"/>
      <c r="U125" s="15"/>
      <c r="V125" s="15"/>
      <c r="W125" s="15"/>
      <c r="X125" s="15"/>
      <c r="Y125" s="15"/>
      <c r="Z125" s="15"/>
    </row>
    <row r="126" spans="2:26" x14ac:dyDescent="0.2">
      <c r="B126" s="2" t="s">
        <v>266</v>
      </c>
      <c r="C126" s="20" t="s">
        <v>30</v>
      </c>
      <c r="D126" s="53"/>
      <c r="E126" s="53"/>
      <c r="F126" s="55"/>
      <c r="G126" s="55"/>
      <c r="H126" s="55"/>
      <c r="I126" s="55"/>
      <c r="J126" s="55"/>
      <c r="K126" s="55"/>
      <c r="L126" s="55"/>
      <c r="M126" s="55"/>
      <c r="N126" s="55"/>
      <c r="O126" s="59">
        <f t="shared" si="30"/>
        <v>0</v>
      </c>
      <c r="P126" s="15"/>
      <c r="Q126" s="15"/>
      <c r="R126" s="15"/>
      <c r="S126" s="15"/>
      <c r="T126" s="15"/>
      <c r="U126" s="15"/>
      <c r="V126" s="15"/>
      <c r="W126" s="15"/>
      <c r="X126" s="15"/>
      <c r="Y126" s="15"/>
      <c r="Z126" s="15"/>
    </row>
    <row r="127" spans="2:26" x14ac:dyDescent="0.2">
      <c r="B127" s="53"/>
      <c r="C127" s="53"/>
      <c r="D127" s="53"/>
      <c r="E127" s="53"/>
      <c r="F127" s="53"/>
      <c r="G127" s="53"/>
      <c r="H127" s="53"/>
      <c r="I127" s="53"/>
      <c r="J127" s="53"/>
      <c r="K127" s="53"/>
      <c r="L127" s="53"/>
      <c r="M127" s="53"/>
      <c r="N127" s="53"/>
      <c r="O127" s="53"/>
      <c r="P127" s="15"/>
      <c r="Q127" s="15"/>
      <c r="R127" s="15"/>
      <c r="S127" s="15"/>
      <c r="T127" s="15"/>
      <c r="U127" s="15"/>
      <c r="V127" s="15"/>
      <c r="W127" s="15"/>
      <c r="X127" s="15"/>
      <c r="Y127" s="15"/>
      <c r="Z127" s="15"/>
    </row>
    <row r="128" spans="2:26" x14ac:dyDescent="0.2">
      <c r="B128" s="13" t="s">
        <v>267</v>
      </c>
      <c r="C128" s="19" t="s">
        <v>89</v>
      </c>
      <c r="D128" s="53"/>
      <c r="E128" s="53"/>
      <c r="F128" s="154">
        <f>SUM(F118,F120)</f>
        <v>0</v>
      </c>
      <c r="G128" s="154">
        <f t="shared" ref="G128:N128" si="31">SUM(G118,G120)</f>
        <v>0</v>
      </c>
      <c r="H128" s="154">
        <f t="shared" si="31"/>
        <v>0</v>
      </c>
      <c r="I128" s="154">
        <f t="shared" si="31"/>
        <v>0</v>
      </c>
      <c r="J128" s="154">
        <f t="shared" si="31"/>
        <v>0</v>
      </c>
      <c r="K128" s="154">
        <f t="shared" si="31"/>
        <v>0</v>
      </c>
      <c r="L128" s="154">
        <f t="shared" si="31"/>
        <v>0</v>
      </c>
      <c r="M128" s="154">
        <f>SUM(M118,M120)</f>
        <v>0</v>
      </c>
      <c r="N128" s="154">
        <f t="shared" si="31"/>
        <v>0</v>
      </c>
      <c r="O128" s="314">
        <f t="shared" si="30"/>
        <v>0</v>
      </c>
      <c r="P128" s="15"/>
      <c r="Q128" s="15"/>
      <c r="R128" s="15"/>
      <c r="S128" s="15"/>
      <c r="T128" s="15"/>
      <c r="U128" s="15"/>
      <c r="V128" s="15"/>
      <c r="W128" s="15"/>
      <c r="X128" s="15"/>
      <c r="Y128" s="15"/>
      <c r="Z128" s="15"/>
    </row>
    <row r="129" spans="1:26" ht="15" x14ac:dyDescent="0.25">
      <c r="A129" t="s">
        <v>826</v>
      </c>
      <c r="B129" s="53"/>
      <c r="C129" s="53"/>
      <c r="D129" s="53"/>
      <c r="E129" s="60" t="s">
        <v>90</v>
      </c>
      <c r="F129" s="61">
        <f>ROUND(F93-F128,0)</f>
        <v>0</v>
      </c>
      <c r="G129" s="61">
        <f t="shared" ref="G129:O129" si="32">ROUND(G93-G128,0)</f>
        <v>0</v>
      </c>
      <c r="H129" s="61">
        <f t="shared" si="32"/>
        <v>0</v>
      </c>
      <c r="I129" s="61">
        <f t="shared" si="32"/>
        <v>0</v>
      </c>
      <c r="J129" s="61">
        <f t="shared" si="32"/>
        <v>0</v>
      </c>
      <c r="K129" s="61">
        <f t="shared" si="32"/>
        <v>0</v>
      </c>
      <c r="L129" s="61">
        <f t="shared" si="32"/>
        <v>0</v>
      </c>
      <c r="M129" s="61">
        <f t="shared" si="32"/>
        <v>0</v>
      </c>
      <c r="N129" s="61">
        <f t="shared" si="32"/>
        <v>0</v>
      </c>
      <c r="O129" s="61">
        <f t="shared" si="32"/>
        <v>0</v>
      </c>
      <c r="P129" s="15"/>
      <c r="Q129" s="15"/>
      <c r="R129" s="15"/>
      <c r="S129" s="15"/>
      <c r="T129" s="15"/>
      <c r="U129" s="15"/>
      <c r="V129" s="15"/>
      <c r="W129" s="15"/>
      <c r="X129" s="15"/>
      <c r="Y129" s="15"/>
      <c r="Z129" s="15"/>
    </row>
    <row r="130" spans="1:26" x14ac:dyDescent="0.2">
      <c r="B130" s="13" t="s">
        <v>1330</v>
      </c>
      <c r="C130" s="22" t="s">
        <v>444</v>
      </c>
      <c r="D130" s="53"/>
      <c r="E130" s="53"/>
      <c r="F130" s="154">
        <f>SUM(F131:F133)</f>
        <v>0</v>
      </c>
      <c r="G130" s="154">
        <f t="shared" ref="G130:N130" si="33">SUM(G131:G133)</f>
        <v>0</v>
      </c>
      <c r="H130" s="154">
        <f t="shared" si="33"/>
        <v>0</v>
      </c>
      <c r="I130" s="154">
        <f t="shared" si="33"/>
        <v>0</v>
      </c>
      <c r="J130" s="154">
        <f t="shared" si="33"/>
        <v>0</v>
      </c>
      <c r="K130" s="154">
        <f t="shared" si="33"/>
        <v>0</v>
      </c>
      <c r="L130" s="154">
        <f t="shared" si="33"/>
        <v>0</v>
      </c>
      <c r="M130" s="154">
        <f t="shared" si="33"/>
        <v>0</v>
      </c>
      <c r="N130" s="154">
        <f t="shared" si="33"/>
        <v>0</v>
      </c>
      <c r="O130" s="314">
        <f t="shared" si="30"/>
        <v>0</v>
      </c>
      <c r="P130" s="15"/>
      <c r="Q130" s="15"/>
      <c r="R130" s="15"/>
      <c r="S130" s="15"/>
      <c r="T130" s="15"/>
      <c r="U130" s="15"/>
      <c r="V130" s="15"/>
      <c r="W130" s="15"/>
      <c r="X130" s="15"/>
      <c r="Y130" s="15"/>
      <c r="Z130" s="15"/>
    </row>
    <row r="131" spans="1:26" x14ac:dyDescent="0.2">
      <c r="B131" s="2" t="s">
        <v>443</v>
      </c>
      <c r="C131" s="23" t="s">
        <v>445</v>
      </c>
      <c r="D131" s="53"/>
      <c r="E131" s="53"/>
      <c r="F131" s="55"/>
      <c r="G131" s="55"/>
      <c r="H131" s="55"/>
      <c r="I131" s="55"/>
      <c r="J131" s="55"/>
      <c r="K131" s="55"/>
      <c r="L131" s="55"/>
      <c r="M131" s="55"/>
      <c r="N131" s="55"/>
      <c r="O131" s="59">
        <f t="shared" ref="O131:O133" si="34">J131</f>
        <v>0</v>
      </c>
      <c r="P131" s="15"/>
      <c r="Q131" s="15"/>
      <c r="R131" s="15"/>
      <c r="S131" s="15"/>
      <c r="T131" s="15"/>
      <c r="U131" s="15"/>
      <c r="V131" s="15"/>
      <c r="W131" s="15"/>
      <c r="X131" s="15"/>
      <c r="Y131" s="15"/>
      <c r="Z131" s="15"/>
    </row>
    <row r="132" spans="1:26" x14ac:dyDescent="0.2">
      <c r="B132" s="2" t="s">
        <v>1331</v>
      </c>
      <c r="C132" s="23" t="s">
        <v>446</v>
      </c>
      <c r="D132" s="53"/>
      <c r="E132" s="53"/>
      <c r="F132" s="55"/>
      <c r="G132" s="55"/>
      <c r="H132" s="55"/>
      <c r="I132" s="55"/>
      <c r="J132" s="55"/>
      <c r="K132" s="55"/>
      <c r="L132" s="55"/>
      <c r="M132" s="55"/>
      <c r="N132" s="55"/>
      <c r="O132" s="59">
        <f t="shared" si="34"/>
        <v>0</v>
      </c>
      <c r="P132" s="15"/>
      <c r="Q132" s="15"/>
      <c r="R132" s="15"/>
      <c r="S132" s="15"/>
      <c r="T132" s="15"/>
      <c r="U132" s="15"/>
      <c r="V132" s="15"/>
      <c r="W132" s="15"/>
      <c r="X132" s="15"/>
      <c r="Y132" s="15"/>
      <c r="Z132" s="15"/>
    </row>
    <row r="133" spans="1:26" x14ac:dyDescent="0.2">
      <c r="B133" s="2" t="s">
        <v>1332</v>
      </c>
      <c r="C133" s="23" t="s">
        <v>447</v>
      </c>
      <c r="D133" s="53"/>
      <c r="E133" s="53"/>
      <c r="F133" s="55"/>
      <c r="G133" s="55"/>
      <c r="H133" s="55"/>
      <c r="I133" s="55"/>
      <c r="J133" s="55"/>
      <c r="K133" s="55"/>
      <c r="L133" s="55"/>
      <c r="M133" s="55"/>
      <c r="N133" s="55"/>
      <c r="O133" s="59">
        <f t="shared" si="34"/>
        <v>0</v>
      </c>
      <c r="P133" s="15"/>
      <c r="Q133" s="15"/>
      <c r="R133" s="15"/>
      <c r="S133" s="15"/>
      <c r="T133" s="15"/>
      <c r="U133" s="15"/>
      <c r="V133" s="15"/>
      <c r="W133" s="15"/>
      <c r="X133" s="15"/>
      <c r="Y133" s="15"/>
      <c r="Z133" s="15"/>
    </row>
    <row r="134" spans="1:26" x14ac:dyDescent="0.2">
      <c r="C134" s="24"/>
      <c r="D134" s="24"/>
      <c r="E134" s="4"/>
      <c r="F134" s="3"/>
      <c r="G134" s="3"/>
      <c r="H134" s="3"/>
      <c r="I134" s="3"/>
      <c r="J134" s="3"/>
      <c r="K134" s="3"/>
      <c r="L134" s="3"/>
      <c r="M134" s="3"/>
      <c r="N134" s="3"/>
      <c r="O134" s="3"/>
      <c r="P134" s="15"/>
      <c r="Q134" s="15"/>
      <c r="R134" s="15"/>
      <c r="S134" s="15"/>
      <c r="T134" s="15"/>
      <c r="U134" s="15"/>
      <c r="V134" s="15"/>
      <c r="W134" s="15"/>
      <c r="X134" s="15"/>
      <c r="Y134" s="15"/>
      <c r="Z134" s="15"/>
    </row>
    <row r="135" spans="1:26" x14ac:dyDescent="0.2">
      <c r="C135" s="24"/>
      <c r="D135" s="24"/>
      <c r="E135" s="4"/>
      <c r="F135" s="3"/>
      <c r="G135" s="3"/>
      <c r="H135" s="3"/>
      <c r="I135" s="3"/>
      <c r="J135" s="3"/>
      <c r="K135" s="3"/>
      <c r="L135" s="3"/>
      <c r="M135" s="3"/>
      <c r="N135" s="3"/>
      <c r="O135" s="3"/>
      <c r="P135" s="15"/>
      <c r="Q135" s="15"/>
      <c r="R135" s="15"/>
      <c r="S135" s="15"/>
      <c r="T135" s="15"/>
      <c r="U135" s="15"/>
      <c r="V135" s="15"/>
      <c r="W135" s="15"/>
      <c r="X135" s="15"/>
      <c r="Y135" s="15"/>
      <c r="Z135" s="15"/>
    </row>
    <row r="136" spans="1:26" ht="38.25" x14ac:dyDescent="0.2">
      <c r="B136" s="232" t="s">
        <v>142</v>
      </c>
      <c r="C136" s="19" t="s">
        <v>959</v>
      </c>
      <c r="D136" s="152"/>
      <c r="E136" s="262" t="s">
        <v>70</v>
      </c>
      <c r="F136" s="321" t="s">
        <v>63</v>
      </c>
      <c r="G136" s="322"/>
      <c r="H136" s="322"/>
      <c r="I136" s="323"/>
      <c r="J136" s="264" t="s">
        <v>829</v>
      </c>
      <c r="K136" s="264" t="s">
        <v>76</v>
      </c>
      <c r="L136" s="264" t="s">
        <v>75</v>
      </c>
      <c r="M136" s="264" t="s">
        <v>74</v>
      </c>
      <c r="N136" s="264" t="s">
        <v>73</v>
      </c>
      <c r="O136" s="264" t="s">
        <v>71</v>
      </c>
      <c r="P136" s="15"/>
      <c r="Q136" s="15"/>
      <c r="R136" s="15"/>
      <c r="S136" s="15"/>
      <c r="T136" s="15"/>
      <c r="U136" s="15"/>
      <c r="V136" s="15"/>
      <c r="W136" s="15"/>
      <c r="X136" s="15"/>
      <c r="Y136" s="15"/>
      <c r="Z136" s="15"/>
    </row>
    <row r="137" spans="1:26" x14ac:dyDescent="0.2">
      <c r="B137" s="232"/>
      <c r="C137" s="235"/>
      <c r="D137" s="153"/>
      <c r="E137" s="263" t="s">
        <v>87</v>
      </c>
      <c r="F137" s="148">
        <f t="shared" ref="F137:O137" si="35">F11</f>
        <v>41906.600000000006</v>
      </c>
      <c r="G137" s="148">
        <f t="shared" si="35"/>
        <v>41999.200000000004</v>
      </c>
      <c r="H137" s="148">
        <f t="shared" si="35"/>
        <v>42091.8</v>
      </c>
      <c r="I137" s="148">
        <f t="shared" si="35"/>
        <v>42184.4</v>
      </c>
      <c r="J137" s="148">
        <f t="shared" si="35"/>
        <v>42277</v>
      </c>
      <c r="K137" s="265">
        <f t="shared" si="35"/>
        <v>40905</v>
      </c>
      <c r="L137" s="265">
        <f t="shared" si="35"/>
        <v>41271</v>
      </c>
      <c r="M137" s="265">
        <f t="shared" si="35"/>
        <v>41637</v>
      </c>
      <c r="N137" s="265">
        <f t="shared" si="35"/>
        <v>42003</v>
      </c>
      <c r="O137" s="148">
        <f t="shared" si="35"/>
        <v>42277</v>
      </c>
      <c r="P137" s="15"/>
      <c r="Q137" s="15"/>
      <c r="R137" s="15"/>
      <c r="S137" s="15"/>
      <c r="T137" s="15"/>
      <c r="U137" s="15"/>
      <c r="V137" s="15"/>
      <c r="W137" s="15"/>
      <c r="X137" s="15"/>
      <c r="Y137" s="15"/>
      <c r="Z137" s="15"/>
    </row>
    <row r="138" spans="1:26" x14ac:dyDescent="0.2">
      <c r="B138" s="248"/>
      <c r="C138" s="248"/>
      <c r="D138" s="67"/>
      <c r="E138" s="248"/>
      <c r="F138" s="248"/>
      <c r="G138" s="248"/>
      <c r="H138" s="248"/>
      <c r="I138" s="248"/>
      <c r="J138" s="248"/>
      <c r="K138" s="248"/>
      <c r="L138" s="248"/>
      <c r="M138" s="248"/>
      <c r="N138" s="248"/>
      <c r="O138" s="248"/>
      <c r="P138" s="15"/>
      <c r="Q138" s="15"/>
      <c r="R138" s="15"/>
      <c r="S138" s="15"/>
      <c r="T138" s="15"/>
      <c r="U138" s="15"/>
      <c r="V138" s="15"/>
      <c r="W138" s="15"/>
      <c r="X138" s="15"/>
      <c r="Y138" s="15"/>
      <c r="Z138" s="15"/>
    </row>
    <row r="139" spans="1:26" x14ac:dyDescent="0.2">
      <c r="B139" s="232" t="s">
        <v>268</v>
      </c>
      <c r="C139" s="19" t="s">
        <v>33</v>
      </c>
      <c r="D139" s="67"/>
      <c r="E139" s="248"/>
      <c r="F139" s="248"/>
      <c r="G139" s="68">
        <f>SUM(G140:G141,G142,G148)</f>
        <v>0</v>
      </c>
      <c r="H139" s="68">
        <f>SUM(H140:H141,H142,H148)</f>
        <v>0</v>
      </c>
      <c r="I139" s="68">
        <f>SUM(I140:I141,I142,I148)</f>
        <v>0</v>
      </c>
      <c r="J139" s="68">
        <f>SUM(J140:J141,J142,J148)</f>
        <v>0</v>
      </c>
      <c r="K139" s="248"/>
      <c r="L139" s="68">
        <f>SUM(L140:L141,L142,L148)</f>
        <v>0</v>
      </c>
      <c r="M139" s="68">
        <f>SUM(M140:M141,M142,M148)</f>
        <v>0</v>
      </c>
      <c r="N139" s="68">
        <f>SUM(N140:N141,N142,N148)</f>
        <v>0</v>
      </c>
      <c r="O139" s="318">
        <f>SUM(O140:O141,O142,O148)</f>
        <v>0</v>
      </c>
      <c r="P139" s="15"/>
      <c r="Q139" s="15"/>
      <c r="R139" s="15"/>
      <c r="S139" s="15"/>
      <c r="T139" s="15"/>
      <c r="U139" s="15"/>
      <c r="V139" s="15"/>
      <c r="W139" s="15"/>
      <c r="X139" s="15"/>
      <c r="Y139" s="15"/>
      <c r="Z139" s="15"/>
    </row>
    <row r="140" spans="1:26" x14ac:dyDescent="0.2">
      <c r="B140" s="229" t="s">
        <v>269</v>
      </c>
      <c r="C140" s="235" t="s">
        <v>122</v>
      </c>
      <c r="D140" s="67"/>
      <c r="E140" s="248"/>
      <c r="F140" s="248"/>
      <c r="G140" s="68">
        <f>G51</f>
        <v>0</v>
      </c>
      <c r="H140" s="68">
        <f>H51</f>
        <v>0</v>
      </c>
      <c r="I140" s="68">
        <f>I51</f>
        <v>0</v>
      </c>
      <c r="J140" s="68">
        <f>J51</f>
        <v>0</v>
      </c>
      <c r="K140" s="248"/>
      <c r="L140" s="68">
        <f>L51</f>
        <v>0</v>
      </c>
      <c r="M140" s="68">
        <f>M51</f>
        <v>0</v>
      </c>
      <c r="N140" s="68">
        <f>N51</f>
        <v>0</v>
      </c>
      <c r="O140" s="318">
        <f>O51</f>
        <v>0</v>
      </c>
      <c r="P140" s="15"/>
      <c r="Q140" s="15"/>
      <c r="R140" s="15"/>
      <c r="S140" s="15"/>
      <c r="T140" s="15"/>
      <c r="U140" s="15"/>
      <c r="V140" s="15"/>
      <c r="W140" s="15"/>
      <c r="X140" s="15"/>
      <c r="Y140" s="15"/>
      <c r="Z140" s="15"/>
    </row>
    <row r="141" spans="1:26" x14ac:dyDescent="0.2">
      <c r="B141" s="229" t="s">
        <v>270</v>
      </c>
      <c r="C141" s="235" t="s">
        <v>36</v>
      </c>
      <c r="D141" s="67"/>
      <c r="E141" s="248"/>
      <c r="F141" s="248"/>
      <c r="G141" s="68">
        <f>(G65-F65)-SUM(G140,G142,G148,G152,G157)</f>
        <v>0</v>
      </c>
      <c r="H141" s="68">
        <f>(H65-G65)-SUM(H140,H142,H148,H152,H157)</f>
        <v>0</v>
      </c>
      <c r="I141" s="68">
        <f>(I65-H65)-SUM(I140,I142,I148,I152,I157)</f>
        <v>0</v>
      </c>
      <c r="J141" s="68">
        <f>(J65-I65)-SUM(J140,J142,J148,J152,J157)</f>
        <v>0</v>
      </c>
      <c r="K141" s="248"/>
      <c r="L141" s="68">
        <f>(L65-K65)-SUM(L140,L142,L148,L152,L157)</f>
        <v>0</v>
      </c>
      <c r="M141" s="68">
        <f>(M65-L65)-SUM(M140,M142,M148,M152,M157)</f>
        <v>0</v>
      </c>
      <c r="N141" s="68">
        <f>(N65-M65)-SUM(N140,N142,N148,N152,N157)</f>
        <v>0</v>
      </c>
      <c r="O141" s="318">
        <f>(O65-F65)-SUM(O140,O142,O148,O152,O157)</f>
        <v>0</v>
      </c>
      <c r="P141" s="15"/>
      <c r="Q141" s="69"/>
      <c r="R141" s="15"/>
      <c r="S141" s="15"/>
      <c r="T141" s="15"/>
      <c r="U141" s="15"/>
      <c r="V141" s="15"/>
      <c r="W141" s="15"/>
      <c r="X141" s="15"/>
      <c r="Y141" s="15"/>
      <c r="Z141" s="15"/>
    </row>
    <row r="142" spans="1:26" x14ac:dyDescent="0.2">
      <c r="B142" s="229" t="s">
        <v>271</v>
      </c>
      <c r="C142" s="235" t="s">
        <v>35</v>
      </c>
      <c r="D142" s="67"/>
      <c r="E142" s="248"/>
      <c r="F142" s="248"/>
      <c r="G142" s="68">
        <f>SUM(G143:G147)</f>
        <v>0</v>
      </c>
      <c r="H142" s="68">
        <f>SUM(H143:H147)</f>
        <v>0</v>
      </c>
      <c r="I142" s="68">
        <f>SUM(I143:I147)</f>
        <v>0</v>
      </c>
      <c r="J142" s="68">
        <f>SUM(J143:J147)</f>
        <v>0</v>
      </c>
      <c r="K142" s="248"/>
      <c r="L142" s="68">
        <f>SUM(L143:L147)</f>
        <v>0</v>
      </c>
      <c r="M142" s="68">
        <f>SUM(M143:M147)</f>
        <v>0</v>
      </c>
      <c r="N142" s="68">
        <f>SUM(N143:N147)</f>
        <v>0</v>
      </c>
      <c r="O142" s="318">
        <f>SUM(O143:O147)</f>
        <v>0</v>
      </c>
      <c r="P142" s="15"/>
      <c r="Q142" s="15"/>
      <c r="R142" s="15"/>
      <c r="S142" s="15"/>
      <c r="T142" s="15"/>
      <c r="U142" s="15"/>
      <c r="V142" s="15"/>
      <c r="W142" s="15"/>
      <c r="X142" s="15"/>
      <c r="Y142" s="15"/>
      <c r="Z142" s="15"/>
    </row>
    <row r="143" spans="1:26" x14ac:dyDescent="0.2">
      <c r="B143" s="229" t="s">
        <v>272</v>
      </c>
      <c r="C143" s="236" t="s">
        <v>37</v>
      </c>
      <c r="D143" s="67"/>
      <c r="E143" s="248"/>
      <c r="F143" s="248"/>
      <c r="G143" s="68">
        <f t="shared" ref="G143:J144" si="36">-(G67-F67)</f>
        <v>0</v>
      </c>
      <c r="H143" s="68">
        <f t="shared" si="36"/>
        <v>0</v>
      </c>
      <c r="I143" s="68">
        <f t="shared" si="36"/>
        <v>0</v>
      </c>
      <c r="J143" s="68">
        <f t="shared" si="36"/>
        <v>0</v>
      </c>
      <c r="K143" s="248"/>
      <c r="L143" s="68">
        <f t="shared" ref="L143:N144" si="37">-(L67-K67)</f>
        <v>0</v>
      </c>
      <c r="M143" s="68">
        <f t="shared" si="37"/>
        <v>0</v>
      </c>
      <c r="N143" s="68">
        <f t="shared" si="37"/>
        <v>0</v>
      </c>
      <c r="O143" s="318">
        <f>-(O67-F67)</f>
        <v>0</v>
      </c>
      <c r="P143" s="15"/>
      <c r="Q143" s="15"/>
      <c r="R143" s="15"/>
      <c r="S143" s="15"/>
      <c r="T143" s="15"/>
      <c r="U143" s="15"/>
      <c r="V143" s="15"/>
      <c r="W143" s="15"/>
      <c r="X143" s="15"/>
      <c r="Y143" s="15"/>
      <c r="Z143" s="15"/>
    </row>
    <row r="144" spans="1:26" x14ac:dyDescent="0.2">
      <c r="B144" s="229" t="s">
        <v>273</v>
      </c>
      <c r="C144" s="236" t="s">
        <v>38</v>
      </c>
      <c r="D144" s="67"/>
      <c r="E144" s="248"/>
      <c r="F144" s="248"/>
      <c r="G144" s="68">
        <f t="shared" si="36"/>
        <v>0</v>
      </c>
      <c r="H144" s="68">
        <f t="shared" si="36"/>
        <v>0</v>
      </c>
      <c r="I144" s="68">
        <f t="shared" si="36"/>
        <v>0</v>
      </c>
      <c r="J144" s="68">
        <f t="shared" si="36"/>
        <v>0</v>
      </c>
      <c r="K144" s="248"/>
      <c r="L144" s="68">
        <f t="shared" si="37"/>
        <v>0</v>
      </c>
      <c r="M144" s="68">
        <f t="shared" si="37"/>
        <v>0</v>
      </c>
      <c r="N144" s="68">
        <f t="shared" si="37"/>
        <v>0</v>
      </c>
      <c r="O144" s="318">
        <f>-(O68-F68)</f>
        <v>0</v>
      </c>
      <c r="P144" s="15"/>
      <c r="Q144" s="15"/>
      <c r="R144" s="15"/>
      <c r="S144" s="15"/>
      <c r="T144" s="15"/>
      <c r="U144" s="15"/>
      <c r="V144" s="15"/>
      <c r="W144" s="15"/>
      <c r="X144" s="15"/>
      <c r="Y144" s="15"/>
      <c r="Z144" s="15"/>
    </row>
    <row r="145" spans="2:26" x14ac:dyDescent="0.2">
      <c r="B145" s="229" t="s">
        <v>274</v>
      </c>
      <c r="C145" s="236" t="s">
        <v>39</v>
      </c>
      <c r="D145" s="67"/>
      <c r="E145" s="248"/>
      <c r="F145" s="248"/>
      <c r="G145" s="68">
        <f>G96-F96</f>
        <v>0</v>
      </c>
      <c r="H145" s="68">
        <f>H96-G96</f>
        <v>0</v>
      </c>
      <c r="I145" s="68">
        <f>I96-H96</f>
        <v>0</v>
      </c>
      <c r="J145" s="68">
        <f>J96-I96</f>
        <v>0</v>
      </c>
      <c r="K145" s="248"/>
      <c r="L145" s="68">
        <f>L96-K96</f>
        <v>0</v>
      </c>
      <c r="M145" s="68">
        <f>M96-L96</f>
        <v>0</v>
      </c>
      <c r="N145" s="68">
        <f>N96-M96</f>
        <v>0</v>
      </c>
      <c r="O145" s="318">
        <f>O96-F96</f>
        <v>0</v>
      </c>
      <c r="P145" s="15"/>
      <c r="Q145" s="15"/>
      <c r="R145" s="15"/>
      <c r="S145" s="15"/>
      <c r="T145" s="15"/>
      <c r="U145" s="15"/>
      <c r="V145" s="15"/>
      <c r="W145" s="15"/>
      <c r="X145" s="15"/>
      <c r="Y145" s="15"/>
      <c r="Z145" s="15"/>
    </row>
    <row r="146" spans="2:26" x14ac:dyDescent="0.2">
      <c r="B146" s="229" t="s">
        <v>275</v>
      </c>
      <c r="C146" s="236" t="s">
        <v>279</v>
      </c>
      <c r="D146" s="67"/>
      <c r="E146" s="248"/>
      <c r="F146" s="248"/>
      <c r="G146" s="68">
        <f>-(G69-F69)</f>
        <v>0</v>
      </c>
      <c r="H146" s="68">
        <f>-(H69-G69)</f>
        <v>0</v>
      </c>
      <c r="I146" s="68">
        <f>-(I69-H69)</f>
        <v>0</v>
      </c>
      <c r="J146" s="68">
        <f>-(J69-I69)</f>
        <v>0</v>
      </c>
      <c r="K146" s="248"/>
      <c r="L146" s="68">
        <f>-(L69-K69)</f>
        <v>0</v>
      </c>
      <c r="M146" s="68">
        <f>-(M69-L69)</f>
        <v>0</v>
      </c>
      <c r="N146" s="68">
        <f>-(N69-M69)</f>
        <v>0</v>
      </c>
      <c r="O146" s="318">
        <f>-(O69-F69)</f>
        <v>0</v>
      </c>
      <c r="P146" s="15"/>
      <c r="Q146" s="15"/>
      <c r="R146" s="15"/>
      <c r="S146" s="15"/>
      <c r="T146" s="15"/>
      <c r="U146" s="15"/>
      <c r="V146" s="15"/>
      <c r="W146" s="15"/>
      <c r="X146" s="15"/>
      <c r="Y146" s="15"/>
      <c r="Z146" s="15"/>
    </row>
    <row r="147" spans="2:26" x14ac:dyDescent="0.2">
      <c r="B147" s="229" t="s">
        <v>392</v>
      </c>
      <c r="C147" s="236" t="s">
        <v>281</v>
      </c>
      <c r="D147" s="67"/>
      <c r="E147" s="248"/>
      <c r="F147" s="248"/>
      <c r="G147" s="68">
        <f>G99-F99</f>
        <v>0</v>
      </c>
      <c r="H147" s="68">
        <f>H99-G99</f>
        <v>0</v>
      </c>
      <c r="I147" s="68">
        <f>I99-H99</f>
        <v>0</v>
      </c>
      <c r="J147" s="68">
        <f>J99-I99</f>
        <v>0</v>
      </c>
      <c r="K147" s="248"/>
      <c r="L147" s="68">
        <f>L99-K99</f>
        <v>0</v>
      </c>
      <c r="M147" s="68">
        <f>M99-L99</f>
        <v>0</v>
      </c>
      <c r="N147" s="68">
        <f>N99-M99</f>
        <v>0</v>
      </c>
      <c r="O147" s="318">
        <f>O99-F99</f>
        <v>0</v>
      </c>
      <c r="P147" s="15"/>
      <c r="Q147" s="15"/>
      <c r="R147" s="15"/>
      <c r="S147" s="15"/>
      <c r="T147" s="15"/>
      <c r="U147" s="15"/>
      <c r="V147" s="15"/>
      <c r="W147" s="15"/>
      <c r="X147" s="15"/>
      <c r="Y147" s="15"/>
      <c r="Z147" s="15"/>
    </row>
    <row r="148" spans="2:26" x14ac:dyDescent="0.2">
      <c r="B148" s="229" t="s">
        <v>276</v>
      </c>
      <c r="C148" s="235" t="s">
        <v>393</v>
      </c>
      <c r="D148" s="67"/>
      <c r="E148" s="248"/>
      <c r="F148" s="248"/>
      <c r="G148" s="68">
        <f>SUM(G149:G150)</f>
        <v>0</v>
      </c>
      <c r="H148" s="68">
        <f>SUM(H149:H150)</f>
        <v>0</v>
      </c>
      <c r="I148" s="68">
        <f>SUM(I149:I150)</f>
        <v>0</v>
      </c>
      <c r="J148" s="68">
        <f>SUM(J149:J150)</f>
        <v>0</v>
      </c>
      <c r="K148" s="248"/>
      <c r="L148" s="68">
        <f>SUM(L149:L150)</f>
        <v>0</v>
      </c>
      <c r="M148" s="68">
        <f>SUM(M149:M150)</f>
        <v>0</v>
      </c>
      <c r="N148" s="68">
        <f>SUM(N149:N150)</f>
        <v>0</v>
      </c>
      <c r="O148" s="318">
        <f>SUM(O149:O150)</f>
        <v>0</v>
      </c>
      <c r="P148" s="15"/>
      <c r="Q148" s="15"/>
      <c r="R148" s="15"/>
      <c r="S148" s="15"/>
      <c r="T148" s="15"/>
      <c r="U148" s="15"/>
      <c r="V148" s="15"/>
      <c r="W148" s="15"/>
      <c r="X148" s="15"/>
      <c r="Y148" s="15"/>
      <c r="Z148" s="15"/>
    </row>
    <row r="149" spans="2:26" x14ac:dyDescent="0.2">
      <c r="B149" s="229" t="s">
        <v>277</v>
      </c>
      <c r="C149" s="236" t="s">
        <v>280</v>
      </c>
      <c r="D149" s="67"/>
      <c r="E149" s="248"/>
      <c r="F149" s="248"/>
      <c r="G149" s="68">
        <f>-(G85-F85)</f>
        <v>0</v>
      </c>
      <c r="H149" s="68">
        <f>-(H85-G85)</f>
        <v>0</v>
      </c>
      <c r="I149" s="68">
        <f>-(I85-H85)</f>
        <v>0</v>
      </c>
      <c r="J149" s="68">
        <f>-(J85-I85)</f>
        <v>0</v>
      </c>
      <c r="K149" s="248"/>
      <c r="L149" s="68">
        <f>-(L85-K85)</f>
        <v>0</v>
      </c>
      <c r="M149" s="68">
        <f>-(M85-L85)</f>
        <v>0</v>
      </c>
      <c r="N149" s="68">
        <f>-(N85-M85)</f>
        <v>0</v>
      </c>
      <c r="O149" s="318">
        <f>-(O85-F85)</f>
        <v>0</v>
      </c>
      <c r="P149" s="15"/>
      <c r="Q149" s="15"/>
      <c r="R149" s="15"/>
      <c r="S149" s="15"/>
      <c r="T149" s="15"/>
      <c r="U149" s="15"/>
      <c r="V149" s="15"/>
      <c r="W149" s="15"/>
      <c r="X149" s="15"/>
      <c r="Y149" s="15"/>
      <c r="Z149" s="15"/>
    </row>
    <row r="150" spans="2:26" x14ac:dyDescent="0.2">
      <c r="B150" s="229" t="s">
        <v>278</v>
      </c>
      <c r="C150" s="236" t="s">
        <v>282</v>
      </c>
      <c r="D150" s="67"/>
      <c r="E150" s="248"/>
      <c r="F150" s="248"/>
      <c r="G150" s="68">
        <f>G110-F110</f>
        <v>0</v>
      </c>
      <c r="H150" s="68">
        <f>H110-G110</f>
        <v>0</v>
      </c>
      <c r="I150" s="68">
        <f>I110-H110</f>
        <v>0</v>
      </c>
      <c r="J150" s="68">
        <f>J110-I110</f>
        <v>0</v>
      </c>
      <c r="K150" s="248"/>
      <c r="L150" s="68">
        <f>L110-K110</f>
        <v>0</v>
      </c>
      <c r="M150" s="68">
        <f>M110-L110</f>
        <v>0</v>
      </c>
      <c r="N150" s="68">
        <f>N110-M110</f>
        <v>0</v>
      </c>
      <c r="O150" s="318">
        <f>O110-F110</f>
        <v>0</v>
      </c>
      <c r="P150" s="15"/>
      <c r="Q150" s="15"/>
      <c r="R150" s="15"/>
      <c r="S150" s="15"/>
      <c r="T150" s="15"/>
      <c r="U150" s="15"/>
      <c r="V150" s="15"/>
      <c r="W150" s="15"/>
      <c r="X150" s="15"/>
      <c r="Y150" s="15"/>
      <c r="Z150" s="15"/>
    </row>
    <row r="151" spans="2:26" x14ac:dyDescent="0.2">
      <c r="B151" s="248"/>
      <c r="C151" s="70"/>
      <c r="D151" s="67"/>
      <c r="E151" s="248"/>
      <c r="F151" s="248"/>
      <c r="G151" s="248"/>
      <c r="H151" s="248"/>
      <c r="I151" s="248"/>
      <c r="J151" s="248"/>
      <c r="K151" s="248"/>
      <c r="L151" s="248"/>
      <c r="M151" s="248"/>
      <c r="N151" s="248"/>
      <c r="O151" s="248"/>
      <c r="P151" s="15"/>
      <c r="Q151" s="15"/>
      <c r="R151" s="15"/>
      <c r="S151" s="15"/>
      <c r="T151" s="15"/>
      <c r="U151" s="15"/>
      <c r="V151" s="15"/>
      <c r="W151" s="15"/>
      <c r="X151" s="15"/>
      <c r="Y151" s="15"/>
      <c r="Z151" s="15"/>
    </row>
    <row r="152" spans="2:26" x14ac:dyDescent="0.2">
      <c r="B152" s="232" t="s">
        <v>284</v>
      </c>
      <c r="C152" s="19" t="s">
        <v>40</v>
      </c>
      <c r="D152" s="67"/>
      <c r="E152" s="248"/>
      <c r="F152" s="248"/>
      <c r="G152" s="68">
        <f>SUM(G153,G154,G155)</f>
        <v>0</v>
      </c>
      <c r="H152" s="68">
        <f>SUM(H153,H154,H155)</f>
        <v>0</v>
      </c>
      <c r="I152" s="68">
        <f>SUM(I153,I154,I155)</f>
        <v>0</v>
      </c>
      <c r="J152" s="68">
        <f>SUM(J153,J154,J155)</f>
        <v>0</v>
      </c>
      <c r="K152" s="248"/>
      <c r="L152" s="68">
        <f>SUM(L153,L154,L155)</f>
        <v>0</v>
      </c>
      <c r="M152" s="68">
        <f>SUM(M153,M154,M155)</f>
        <v>0</v>
      </c>
      <c r="N152" s="68">
        <f>SUM(N153,N154,N155)</f>
        <v>0</v>
      </c>
      <c r="O152" s="318">
        <f>SUM(O153,O154,O155)</f>
        <v>0</v>
      </c>
      <c r="P152" s="15"/>
      <c r="Q152" s="15"/>
      <c r="R152" s="15"/>
      <c r="S152" s="15"/>
      <c r="T152" s="15"/>
      <c r="U152" s="15"/>
      <c r="V152" s="15"/>
      <c r="W152" s="15"/>
      <c r="X152" s="15"/>
      <c r="Y152" s="15"/>
      <c r="Z152" s="15"/>
    </row>
    <row r="153" spans="2:26" x14ac:dyDescent="0.2">
      <c r="B153" s="229" t="s">
        <v>285</v>
      </c>
      <c r="C153" s="23" t="s">
        <v>283</v>
      </c>
      <c r="D153" s="67"/>
      <c r="E153" s="248"/>
      <c r="F153" s="248"/>
      <c r="G153" s="68">
        <f>-(SUM(G79:G80,G83)-SUM(F79:F80,F83))-G57</f>
        <v>0</v>
      </c>
      <c r="H153" s="68">
        <f>-(SUM(H79:H80,H83)-SUM(G79:G80,G83))-H57</f>
        <v>0</v>
      </c>
      <c r="I153" s="68">
        <f>-(SUM(I79:I80,I83)-SUM(H79:H80,H83))-I57</f>
        <v>0</v>
      </c>
      <c r="J153" s="68">
        <f>-(SUM(J79:J80,J83)-SUM(I79:I80,I83))-J57</f>
        <v>0</v>
      </c>
      <c r="K153" s="248"/>
      <c r="L153" s="68">
        <f>-(SUM(L79:L80,L83)-SUM(K79:K80,K83))-L57</f>
        <v>0</v>
      </c>
      <c r="M153" s="68">
        <f>-(SUM(M79:M80,M83)-SUM(L79:L80,L83))-M57</f>
        <v>0</v>
      </c>
      <c r="N153" s="68">
        <f>-(SUM(N79:N80,N83)-SUM(M79:M80,M83))-N57</f>
        <v>0</v>
      </c>
      <c r="O153" s="318">
        <f>-(SUM(O79:O80,O83)-SUM(F79:F80,F83))-O57</f>
        <v>0</v>
      </c>
      <c r="P153" s="15"/>
      <c r="Q153" s="15"/>
      <c r="R153" s="15"/>
      <c r="S153" s="15"/>
      <c r="T153" s="15"/>
      <c r="U153" s="15"/>
      <c r="V153" s="15"/>
      <c r="W153" s="15"/>
      <c r="X153" s="15"/>
      <c r="Y153" s="15"/>
      <c r="Z153" s="15"/>
    </row>
    <row r="154" spans="2:26" x14ac:dyDescent="0.2">
      <c r="B154" s="229" t="s">
        <v>286</v>
      </c>
      <c r="C154" s="235" t="s">
        <v>287</v>
      </c>
      <c r="D154" s="67"/>
      <c r="E154" s="248"/>
      <c r="F154" s="248"/>
      <c r="G154" s="68">
        <f>-(SUM(G81,G84)-SUM(F81,F84))+(SUM(G98,G109)-SUM(F98,F109))</f>
        <v>0</v>
      </c>
      <c r="H154" s="68">
        <f>-(SUM(H81,H84)-SUM(G81,G84))+(SUM(H98,H109)-SUM(G98,G109))</f>
        <v>0</v>
      </c>
      <c r="I154" s="68">
        <f>-(SUM(I81,I84)-SUM(H81,H84))+(SUM(I98,I109)-SUM(H98,H109))</f>
        <v>0</v>
      </c>
      <c r="J154" s="68">
        <f>-(SUM(J81,J84)-SUM(I81,I84))+(SUM(J98,J109)-SUM(I98,I109))</f>
        <v>0</v>
      </c>
      <c r="K154" s="248"/>
      <c r="L154" s="68">
        <f>-(SUM(L81,L84)-SUM(K81,K84))+(SUM(L98,L109)-SUM(K98,K109))</f>
        <v>0</v>
      </c>
      <c r="M154" s="68">
        <f>-(SUM(M81,M84)-SUM(L81,L84))+(SUM(M98,M109)-SUM(L98,L109))</f>
        <v>0</v>
      </c>
      <c r="N154" s="68">
        <f>-(SUM(N81,N84)-SUM(M81,M84))+(SUM(N98,N109)-SUM(M98,M109))</f>
        <v>0</v>
      </c>
      <c r="O154" s="318">
        <f>-(SUM(O81,O84)-SUM(F81,F84))+(SUM(O98,O109)-SUM(F98,F109))</f>
        <v>0</v>
      </c>
      <c r="P154" s="15"/>
      <c r="Q154" s="15"/>
      <c r="R154" s="15"/>
      <c r="S154" s="15"/>
      <c r="T154" s="15"/>
      <c r="U154" s="15"/>
      <c r="V154" s="15"/>
      <c r="W154" s="15"/>
      <c r="X154" s="15"/>
      <c r="Y154" s="15"/>
      <c r="Z154" s="15"/>
    </row>
    <row r="155" spans="2:26" x14ac:dyDescent="0.2">
      <c r="B155" s="229" t="s">
        <v>288</v>
      </c>
      <c r="C155" s="235" t="s">
        <v>289</v>
      </c>
      <c r="D155" s="67"/>
      <c r="E155" s="248"/>
      <c r="F155" s="248"/>
      <c r="G155" s="68">
        <f>-(G82-F82)</f>
        <v>0</v>
      </c>
      <c r="H155" s="68">
        <f>-(H82-G82)</f>
        <v>0</v>
      </c>
      <c r="I155" s="68">
        <f>-(I82-H82)</f>
        <v>0</v>
      </c>
      <c r="J155" s="68">
        <f>-(J82-I82)</f>
        <v>0</v>
      </c>
      <c r="K155" s="248"/>
      <c r="L155" s="68">
        <f>-(L82-K82)</f>
        <v>0</v>
      </c>
      <c r="M155" s="68">
        <f>-(M82-L82)</f>
        <v>0</v>
      </c>
      <c r="N155" s="68">
        <f>-(N82-M82)</f>
        <v>0</v>
      </c>
      <c r="O155" s="318">
        <f>-(O82-F82)</f>
        <v>0</v>
      </c>
      <c r="P155" s="15"/>
      <c r="Q155" s="15"/>
      <c r="R155" s="15"/>
      <c r="S155" s="15"/>
      <c r="T155" s="15"/>
      <c r="U155" s="15"/>
      <c r="V155" s="15"/>
      <c r="W155" s="15"/>
      <c r="X155" s="15"/>
      <c r="Y155" s="15"/>
      <c r="Z155" s="15"/>
    </row>
    <row r="156" spans="2:26" x14ac:dyDescent="0.2">
      <c r="B156" s="248"/>
      <c r="C156" s="70"/>
      <c r="D156" s="67"/>
      <c r="E156" s="248"/>
      <c r="F156" s="248"/>
      <c r="G156" s="248"/>
      <c r="H156" s="248"/>
      <c r="I156" s="248"/>
      <c r="J156" s="248"/>
      <c r="K156" s="248"/>
      <c r="L156" s="248"/>
      <c r="M156" s="248"/>
      <c r="N156" s="248"/>
      <c r="O156" s="248"/>
      <c r="P156" s="15"/>
      <c r="Q156" s="15"/>
      <c r="R156" s="15"/>
      <c r="S156" s="15"/>
      <c r="T156" s="15"/>
      <c r="U156" s="15"/>
      <c r="V156" s="15"/>
      <c r="W156" s="15"/>
      <c r="X156" s="15"/>
      <c r="Y156" s="15"/>
      <c r="Z156" s="15"/>
    </row>
    <row r="157" spans="2:26" x14ac:dyDescent="0.2">
      <c r="B157" s="232" t="s">
        <v>290</v>
      </c>
      <c r="C157" s="19" t="s">
        <v>41</v>
      </c>
      <c r="D157" s="67"/>
      <c r="E157" s="248"/>
      <c r="F157" s="248"/>
      <c r="G157" s="68">
        <f>SUM(G158:G160)</f>
        <v>0</v>
      </c>
      <c r="H157" s="68">
        <f>SUM(H158:H160)</f>
        <v>0</v>
      </c>
      <c r="I157" s="68">
        <f>SUM(I158:I160)</f>
        <v>0</v>
      </c>
      <c r="J157" s="68">
        <f>SUM(J158:J160)</f>
        <v>0</v>
      </c>
      <c r="K157" s="248"/>
      <c r="L157" s="68">
        <f>SUM(L158:L160)</f>
        <v>0</v>
      </c>
      <c r="M157" s="68">
        <f>SUM(M158:M160)</f>
        <v>0</v>
      </c>
      <c r="N157" s="68">
        <f>SUM(N158:N160)</f>
        <v>0</v>
      </c>
      <c r="O157" s="318">
        <f>SUM(O158:O160)</f>
        <v>0</v>
      </c>
      <c r="R157" s="46"/>
    </row>
    <row r="158" spans="2:26" x14ac:dyDescent="0.2">
      <c r="B158" s="229" t="s">
        <v>291</v>
      </c>
      <c r="C158" s="235" t="s">
        <v>292</v>
      </c>
      <c r="D158" s="67"/>
      <c r="E158" s="248"/>
      <c r="F158" s="248"/>
      <c r="G158" s="68">
        <f>G120-F120-G51-G58</f>
        <v>0</v>
      </c>
      <c r="H158" s="68">
        <f>H120-G120-H51-H58</f>
        <v>0</v>
      </c>
      <c r="I158" s="68">
        <f>I120-H120-I51-I58</f>
        <v>0</v>
      </c>
      <c r="J158" s="68">
        <f>J120-I120-J51-J58</f>
        <v>0</v>
      </c>
      <c r="K158" s="248"/>
      <c r="L158" s="68">
        <f>L120-K120-L51-L58</f>
        <v>0</v>
      </c>
      <c r="M158" s="68">
        <f>M120-L120-M51-M58</f>
        <v>0</v>
      </c>
      <c r="N158" s="68">
        <f>N120-M120-N51-N58</f>
        <v>0</v>
      </c>
      <c r="O158" s="318">
        <f>O120-F120-O51-O58</f>
        <v>0</v>
      </c>
      <c r="P158" s="15"/>
      <c r="Q158" s="15"/>
      <c r="R158" s="15"/>
      <c r="S158" s="15"/>
      <c r="T158" s="15"/>
      <c r="U158" s="15"/>
      <c r="V158" s="15"/>
      <c r="W158" s="15"/>
      <c r="X158" s="15"/>
      <c r="Y158" s="15"/>
      <c r="Z158" s="15"/>
    </row>
    <row r="159" spans="2:26" x14ac:dyDescent="0.2">
      <c r="B159" s="229" t="s">
        <v>293</v>
      </c>
      <c r="C159" s="23" t="s">
        <v>42</v>
      </c>
      <c r="D159" s="67"/>
      <c r="E159" s="248"/>
      <c r="F159" s="248"/>
      <c r="G159" s="68">
        <f>G58</f>
        <v>0</v>
      </c>
      <c r="H159" s="68">
        <f>H58</f>
        <v>0</v>
      </c>
      <c r="I159" s="68">
        <f>I58</f>
        <v>0</v>
      </c>
      <c r="J159" s="68">
        <f>J58</f>
        <v>0</v>
      </c>
      <c r="K159" s="70"/>
      <c r="L159" s="68">
        <f>L58</f>
        <v>0</v>
      </c>
      <c r="M159" s="68">
        <f>M58</f>
        <v>0</v>
      </c>
      <c r="N159" s="68">
        <f>N58</f>
        <v>0</v>
      </c>
      <c r="O159" s="318">
        <f>O58</f>
        <v>0</v>
      </c>
      <c r="P159" s="15"/>
      <c r="Q159" s="15"/>
      <c r="R159" s="15"/>
      <c r="S159" s="15"/>
      <c r="T159" s="15"/>
      <c r="U159" s="15"/>
      <c r="V159" s="15"/>
      <c r="W159" s="15"/>
      <c r="X159" s="15"/>
      <c r="Y159" s="15"/>
      <c r="Z159" s="15"/>
    </row>
    <row r="160" spans="2:26" x14ac:dyDescent="0.2">
      <c r="B160" s="229" t="s">
        <v>294</v>
      </c>
      <c r="C160" s="23" t="s">
        <v>295</v>
      </c>
      <c r="D160" s="67"/>
      <c r="E160" s="248"/>
      <c r="F160" s="248"/>
      <c r="G160" s="68">
        <f>SUM(G97,G108)-SUM(F97,F108)</f>
        <v>0</v>
      </c>
      <c r="H160" s="68">
        <f>SUM(H97,H108)-SUM(G97,G108)</f>
        <v>0</v>
      </c>
      <c r="I160" s="68">
        <f>SUM(I97,I108)-SUM(H97,H108)</f>
        <v>0</v>
      </c>
      <c r="J160" s="68">
        <f>SUM(J97,J108)-SUM(I97,I108)</f>
        <v>0</v>
      </c>
      <c r="K160" s="248"/>
      <c r="L160" s="68">
        <f>SUM(L97,L108)-SUM(K97,K108)</f>
        <v>0</v>
      </c>
      <c r="M160" s="68">
        <f>SUM(M97,M108)-SUM(L97,L108)</f>
        <v>0</v>
      </c>
      <c r="N160" s="68">
        <f>SUM(N97,N108)-SUM(M97,M108)</f>
        <v>0</v>
      </c>
      <c r="O160" s="318">
        <f>SUM(O97,O108)-SUM(F97,F108)</f>
        <v>0</v>
      </c>
      <c r="P160" s="15"/>
      <c r="Q160" s="15"/>
      <c r="R160" s="15"/>
      <c r="S160" s="15"/>
      <c r="T160" s="15"/>
      <c r="U160" s="15"/>
      <c r="V160" s="15"/>
      <c r="W160" s="15"/>
      <c r="X160" s="15"/>
      <c r="Y160" s="15"/>
      <c r="Z160" s="15"/>
    </row>
    <row r="161" spans="1:15" x14ac:dyDescent="0.2">
      <c r="B161" s="248"/>
      <c r="C161" s="70"/>
      <c r="D161" s="67"/>
      <c r="E161" s="248"/>
      <c r="F161" s="248"/>
      <c r="G161" s="248"/>
      <c r="H161" s="248"/>
      <c r="I161" s="248"/>
      <c r="J161" s="248"/>
      <c r="K161" s="248"/>
      <c r="L161" s="248"/>
      <c r="M161" s="248"/>
      <c r="N161" s="248"/>
      <c r="O161" s="248"/>
    </row>
    <row r="162" spans="1:15" x14ac:dyDescent="0.2">
      <c r="B162" s="232" t="s">
        <v>296</v>
      </c>
      <c r="C162" s="19" t="s">
        <v>43</v>
      </c>
      <c r="D162" s="67"/>
      <c r="E162" s="248"/>
      <c r="F162" s="248"/>
      <c r="G162" s="68">
        <f>SUM(G139,G152,G157)</f>
        <v>0</v>
      </c>
      <c r="H162" s="68">
        <f>SUM(H139,H152,H157)</f>
        <v>0</v>
      </c>
      <c r="I162" s="68">
        <f>SUM(I139,I152,I157)</f>
        <v>0</v>
      </c>
      <c r="J162" s="68">
        <f>SUM(J139,J152,J157)</f>
        <v>0</v>
      </c>
      <c r="K162" s="248"/>
      <c r="L162" s="68">
        <f>SUM(L139,L152,L157)</f>
        <v>0</v>
      </c>
      <c r="M162" s="68">
        <f>SUM(M139,M152,M157)</f>
        <v>0</v>
      </c>
      <c r="N162" s="68">
        <f>SUM(N139,N152,N157)</f>
        <v>0</v>
      </c>
      <c r="O162" s="318">
        <f>SUM(O139,O152,O157)</f>
        <v>0</v>
      </c>
    </row>
    <row r="163" spans="1:15" x14ac:dyDescent="0.2">
      <c r="B163" s="232" t="s">
        <v>297</v>
      </c>
      <c r="C163" s="19" t="s">
        <v>91</v>
      </c>
      <c r="D163" s="67"/>
      <c r="E163" s="248"/>
      <c r="F163" s="248"/>
      <c r="G163" s="71">
        <f>F65</f>
        <v>0</v>
      </c>
      <c r="H163" s="71">
        <f>G164</f>
        <v>0</v>
      </c>
      <c r="I163" s="71">
        <f>H164</f>
        <v>0</v>
      </c>
      <c r="J163" s="71">
        <f>I164</f>
        <v>0</v>
      </c>
      <c r="K163" s="248"/>
      <c r="L163" s="71">
        <f>K65</f>
        <v>0</v>
      </c>
      <c r="M163" s="71">
        <f>L164</f>
        <v>0</v>
      </c>
      <c r="N163" s="71">
        <f>M164</f>
        <v>0</v>
      </c>
      <c r="O163" s="71">
        <f>G163</f>
        <v>0</v>
      </c>
    </row>
    <row r="164" spans="1:15" ht="15" x14ac:dyDescent="0.25">
      <c r="A164" t="s">
        <v>827</v>
      </c>
      <c r="B164" s="232" t="s">
        <v>298</v>
      </c>
      <c r="C164" s="19" t="s">
        <v>92</v>
      </c>
      <c r="D164" s="67"/>
      <c r="E164" s="248"/>
      <c r="F164" s="248"/>
      <c r="G164" s="71">
        <f>SUM(G162:G163)</f>
        <v>0</v>
      </c>
      <c r="H164" s="71">
        <f>SUM(H162:H163)</f>
        <v>0</v>
      </c>
      <c r="I164" s="71">
        <f>SUM(I162:I163)</f>
        <v>0</v>
      </c>
      <c r="J164" s="71">
        <f>SUM(J162:J163)</f>
        <v>0</v>
      </c>
      <c r="K164" s="248"/>
      <c r="L164" s="71">
        <f>SUM(L162:L163)</f>
        <v>0</v>
      </c>
      <c r="M164" s="71">
        <f>SUM(M162:M163)</f>
        <v>0</v>
      </c>
      <c r="N164" s="71">
        <f>SUM(N162:N163)</f>
        <v>0</v>
      </c>
      <c r="O164" s="71">
        <f>SUM(O162:O163)</f>
        <v>0</v>
      </c>
    </row>
    <row r="165" spans="1:15" x14ac:dyDescent="0.2">
      <c r="A165" s="6" t="s">
        <v>828</v>
      </c>
      <c r="B165" s="248"/>
      <c r="C165" s="248"/>
      <c r="D165" s="67"/>
      <c r="E165" s="60" t="s">
        <v>90</v>
      </c>
      <c r="F165" s="248"/>
      <c r="G165" s="62">
        <f>ROUND(G65-G164,0)</f>
        <v>0</v>
      </c>
      <c r="H165" s="62">
        <f>ROUND(H65-H164,0)</f>
        <v>0</v>
      </c>
      <c r="I165" s="62">
        <f>ROUND(I65-I164,0)</f>
        <v>0</v>
      </c>
      <c r="J165" s="62">
        <f>ROUND(J65-J164,0)</f>
        <v>0</v>
      </c>
      <c r="K165" s="248"/>
      <c r="L165" s="62">
        <f>ROUND(L65-L164,0)</f>
        <v>0</v>
      </c>
      <c r="M165" s="62">
        <f>ROUND(M65-M164,0)</f>
        <v>0</v>
      </c>
      <c r="N165" s="62">
        <f>ROUND(N65-N164,0)</f>
        <v>0</v>
      </c>
      <c r="O165" s="62">
        <f>ROUND(O65-O164,0)</f>
        <v>0</v>
      </c>
    </row>
  </sheetData>
  <mergeCells count="3">
    <mergeCell ref="F10:I10"/>
    <mergeCell ref="F61:I61"/>
    <mergeCell ref="F136:I136"/>
  </mergeCells>
  <pageMargins left="0.25" right="0.25" top="0.75" bottom="0.75" header="0.3" footer="0.3"/>
  <pageSetup paperSize="9" scale="38" fitToHeight="0" orientation="portrait"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BN239"/>
  <sheetViews>
    <sheetView topLeftCell="A37" zoomScale="80" zoomScaleNormal="80" workbookViewId="0">
      <selection activeCell="F111" sqref="F111:N112"/>
    </sheetView>
  </sheetViews>
  <sheetFormatPr defaultRowHeight="12.75" x14ac:dyDescent="0.2"/>
  <cols>
    <col min="1" max="1" width="6.42578125" style="6" customWidth="1"/>
    <col min="2" max="2" width="7.5703125" style="98" customWidth="1"/>
    <col min="3" max="3" width="38.85546875" style="6" customWidth="1"/>
    <col min="4" max="4" width="26.5703125" style="6" customWidth="1"/>
    <col min="5" max="5" width="9.42578125" style="6" customWidth="1"/>
    <col min="6" max="13" width="12.7109375" style="6" customWidth="1"/>
    <col min="14" max="14" width="12.7109375" style="200" customWidth="1"/>
    <col min="15" max="15" width="12.7109375" style="6" customWidth="1"/>
    <col min="16" max="16" width="9.42578125" style="6" bestFit="1" customWidth="1"/>
    <col min="17" max="17" width="12" style="6" customWidth="1"/>
    <col min="18" max="23" width="9.140625" style="6"/>
    <col min="24" max="24" width="9.85546875" style="6" bestFit="1" customWidth="1"/>
    <col min="25" max="25" width="9.7109375" style="6" bestFit="1" customWidth="1"/>
    <col min="26" max="34" width="9.140625" style="6"/>
    <col min="35" max="35" width="9.85546875" style="6" bestFit="1" customWidth="1"/>
    <col min="36" max="37" width="9.140625" style="6"/>
    <col min="38" max="38" width="34.85546875" style="6" bestFit="1" customWidth="1"/>
    <col min="39" max="41" width="9.140625" style="6"/>
    <col min="42" max="42" width="9.5703125" style="6" bestFit="1" customWidth="1"/>
    <col min="43" max="48" width="9.140625" style="6"/>
    <col min="49" max="49" width="17.28515625" style="6" bestFit="1" customWidth="1"/>
    <col min="50" max="61" width="9.140625" style="6"/>
    <col min="62" max="62" width="12" style="6" customWidth="1"/>
    <col min="63" max="65" width="12.5703125" style="6" bestFit="1" customWidth="1"/>
    <col min="66" max="16384" width="9.140625" style="6"/>
  </cols>
  <sheetData>
    <row r="2" spans="1:36" ht="21" x14ac:dyDescent="0.35">
      <c r="C2" s="34" t="s">
        <v>67</v>
      </c>
      <c r="D2" s="11"/>
      <c r="E2" s="11"/>
      <c r="F2" s="11"/>
      <c r="G2" s="11"/>
      <c r="H2" s="11"/>
      <c r="I2" s="11"/>
      <c r="J2" s="11"/>
      <c r="K2" s="11"/>
      <c r="L2" s="11"/>
      <c r="M2" s="11"/>
      <c r="N2" s="199"/>
      <c r="O2" s="11"/>
      <c r="R2" s="97"/>
    </row>
    <row r="3" spans="1:36" x14ac:dyDescent="0.2">
      <c r="B3" s="191"/>
      <c r="C3" s="16" t="s">
        <v>101</v>
      </c>
      <c r="D3" s="167">
        <f>BasicInfo!C21</f>
        <v>42366</v>
      </c>
    </row>
    <row r="4" spans="1:36" x14ac:dyDescent="0.2">
      <c r="B4" s="192"/>
      <c r="C4" s="7" t="s">
        <v>83</v>
      </c>
      <c r="D4" s="169" t="str">
        <f>BasicInfo!C5</f>
        <v>Lennox International Inc.</v>
      </c>
      <c r="E4" s="8"/>
      <c r="F4" s="8"/>
      <c r="G4" s="8"/>
      <c r="H4" s="8"/>
      <c r="I4" s="8"/>
      <c r="J4" s="8"/>
      <c r="K4" s="8"/>
      <c r="L4" s="8"/>
      <c r="M4" s="8"/>
      <c r="N4" s="201"/>
      <c r="O4" s="8"/>
    </row>
    <row r="5" spans="1:36" x14ac:dyDescent="0.2">
      <c r="B5" s="192"/>
      <c r="C5" s="16" t="s">
        <v>81</v>
      </c>
      <c r="D5" s="170">
        <f>BasicInfo!C6</f>
        <v>13010101</v>
      </c>
    </row>
    <row r="6" spans="1:36" x14ac:dyDescent="0.2">
      <c r="B6" s="193"/>
      <c r="C6" s="10" t="s">
        <v>62</v>
      </c>
      <c r="D6" s="171" t="str">
        <f>BasicInfo!C7</f>
        <v>Air-conditioning, Freezing &amp; Heating Equipment Manufacturing</v>
      </c>
      <c r="E6" s="11"/>
      <c r="F6" s="11"/>
      <c r="G6" s="11"/>
      <c r="H6" s="11"/>
      <c r="I6" s="11"/>
      <c r="J6" s="11"/>
      <c r="K6" s="11"/>
      <c r="L6" s="11"/>
      <c r="M6" s="11"/>
      <c r="N6" s="199"/>
      <c r="O6" s="11"/>
    </row>
    <row r="7" spans="1:36" ht="13.5" customHeight="1" x14ac:dyDescent="0.2">
      <c r="C7" s="16"/>
    </row>
    <row r="8" spans="1:36" ht="38.25" x14ac:dyDescent="0.2">
      <c r="B8" s="31" t="s">
        <v>142</v>
      </c>
      <c r="C8" s="12" t="s">
        <v>66</v>
      </c>
      <c r="D8" s="12" t="s">
        <v>68</v>
      </c>
      <c r="E8" s="146" t="s">
        <v>70</v>
      </c>
      <c r="F8" s="321" t="s">
        <v>63</v>
      </c>
      <c r="G8" s="322"/>
      <c r="H8" s="322"/>
      <c r="I8" s="323"/>
      <c r="J8" s="149" t="s">
        <v>829</v>
      </c>
      <c r="K8" s="149" t="s">
        <v>76</v>
      </c>
      <c r="L8" s="149" t="s">
        <v>75</v>
      </c>
      <c r="M8" s="149" t="s">
        <v>74</v>
      </c>
      <c r="N8" s="202" t="s">
        <v>73</v>
      </c>
      <c r="O8" s="149" t="s">
        <v>71</v>
      </c>
    </row>
    <row r="9" spans="1:36" x14ac:dyDescent="0.2">
      <c r="B9" s="31"/>
      <c r="C9" s="156"/>
      <c r="D9" s="12"/>
      <c r="E9" s="147" t="s">
        <v>87</v>
      </c>
      <c r="F9" s="151">
        <f>User_Financial_Input!F11</f>
        <v>41906.600000000006</v>
      </c>
      <c r="G9" s="151">
        <f>User_Financial_Input!G11</f>
        <v>41999.200000000004</v>
      </c>
      <c r="H9" s="151">
        <f>User_Financial_Input!H11</f>
        <v>42091.8</v>
      </c>
      <c r="I9" s="151">
        <f>User_Financial_Input!I11</f>
        <v>42184.4</v>
      </c>
      <c r="J9" s="151">
        <f>User_Financial_Input!J11</f>
        <v>42277</v>
      </c>
      <c r="K9" s="157">
        <f>User_Financial_Input!K11</f>
        <v>40905</v>
      </c>
      <c r="L9" s="157">
        <f>User_Financial_Input!L11</f>
        <v>41271</v>
      </c>
      <c r="M9" s="157">
        <f>User_Financial_Input!M11</f>
        <v>41637</v>
      </c>
      <c r="N9" s="203">
        <f>User_Financial_Input!N11</f>
        <v>42003</v>
      </c>
      <c r="O9" s="151">
        <f>User_Financial_Input!O11</f>
        <v>42277</v>
      </c>
    </row>
    <row r="10" spans="1:36" ht="17.25" customHeight="1" x14ac:dyDescent="0.2">
      <c r="B10" s="194"/>
      <c r="C10" s="52"/>
      <c r="D10" s="52"/>
      <c r="E10" s="52"/>
      <c r="F10" s="52"/>
      <c r="G10" s="52"/>
      <c r="H10" s="52"/>
      <c r="I10" s="52"/>
      <c r="J10" s="52"/>
      <c r="K10" s="52"/>
      <c r="L10" s="52"/>
      <c r="M10" s="52"/>
      <c r="N10" s="204"/>
      <c r="O10" s="52"/>
    </row>
    <row r="11" spans="1:36" ht="16.5" customHeight="1" x14ac:dyDescent="0.2">
      <c r="A11" s="6" t="s">
        <v>687</v>
      </c>
      <c r="B11" s="237" t="s">
        <v>143</v>
      </c>
      <c r="C11" s="19" t="s">
        <v>857</v>
      </c>
      <c r="D11" s="52"/>
      <c r="E11" s="52"/>
      <c r="F11" s="52"/>
      <c r="G11" s="52"/>
      <c r="H11" s="52"/>
      <c r="I11" s="52"/>
      <c r="J11" s="52"/>
      <c r="K11" s="52"/>
      <c r="L11" s="52"/>
      <c r="M11" s="52"/>
      <c r="N11" s="204"/>
      <c r="O11" s="52"/>
      <c r="AJ11" s="106"/>
    </row>
    <row r="12" spans="1:36" x14ac:dyDescent="0.2">
      <c r="B12" s="243" t="s">
        <v>144</v>
      </c>
      <c r="C12" s="249" t="s">
        <v>1119</v>
      </c>
      <c r="D12" s="52"/>
      <c r="E12" s="52"/>
      <c r="F12" s="52"/>
      <c r="G12" s="52"/>
      <c r="H12" s="52"/>
      <c r="I12" s="52"/>
      <c r="J12" s="52"/>
      <c r="K12" s="52"/>
      <c r="L12" s="52"/>
      <c r="M12" s="52"/>
      <c r="N12" s="52"/>
      <c r="O12" s="52"/>
      <c r="R12" s="99"/>
      <c r="AJ12" s="104"/>
    </row>
    <row r="13" spans="1:36" x14ac:dyDescent="0.2">
      <c r="B13" s="287" t="s">
        <v>145</v>
      </c>
      <c r="C13" s="288" t="s">
        <v>1120</v>
      </c>
      <c r="D13" s="256" t="s">
        <v>1501</v>
      </c>
      <c r="E13" s="52"/>
      <c r="F13" s="87"/>
      <c r="G13" s="87"/>
      <c r="H13" s="87"/>
      <c r="I13" s="87"/>
      <c r="J13" s="87"/>
      <c r="K13" s="55"/>
      <c r="L13" s="87"/>
      <c r="M13" s="87"/>
      <c r="N13" s="87"/>
      <c r="O13" s="125">
        <f>J13</f>
        <v>0</v>
      </c>
      <c r="R13" s="99"/>
      <c r="AJ13" s="104"/>
    </row>
    <row r="14" spans="1:36" x14ac:dyDescent="0.2">
      <c r="B14" s="243" t="s">
        <v>146</v>
      </c>
      <c r="C14" s="249" t="s">
        <v>1121</v>
      </c>
      <c r="D14" s="256" t="s">
        <v>1501</v>
      </c>
      <c r="E14" s="52"/>
      <c r="F14" s="158">
        <f>IF(AND(F15="N/A",F16="N/A",F17="N/A"),"N/A",SUM(F15:F17))</f>
        <v>0</v>
      </c>
      <c r="G14" s="158">
        <f t="shared" ref="G14:N14" si="0">IF(AND(G15="N/A",G16="N/A",G17="N/A"),"N/A",SUM(G15:G17))</f>
        <v>0</v>
      </c>
      <c r="H14" s="158">
        <f t="shared" si="0"/>
        <v>0</v>
      </c>
      <c r="I14" s="158">
        <f t="shared" si="0"/>
        <v>0</v>
      </c>
      <c r="J14" s="158">
        <f t="shared" si="0"/>
        <v>0</v>
      </c>
      <c r="K14" s="158">
        <f t="shared" si="0"/>
        <v>0</v>
      </c>
      <c r="L14" s="158">
        <f t="shared" si="0"/>
        <v>0</v>
      </c>
      <c r="M14" s="158">
        <f t="shared" si="0"/>
        <v>0</v>
      </c>
      <c r="N14" s="158">
        <f t="shared" si="0"/>
        <v>0</v>
      </c>
      <c r="O14" s="315">
        <f>J14</f>
        <v>0</v>
      </c>
      <c r="R14" s="99"/>
      <c r="AJ14" s="104"/>
    </row>
    <row r="15" spans="1:36" x14ac:dyDescent="0.2">
      <c r="B15" s="260" t="s">
        <v>1134</v>
      </c>
      <c r="C15" s="241" t="s">
        <v>787</v>
      </c>
      <c r="D15" s="256" t="s">
        <v>1501</v>
      </c>
      <c r="E15" s="52"/>
      <c r="F15" s="87"/>
      <c r="G15" s="87"/>
      <c r="H15" s="87"/>
      <c r="I15" s="87"/>
      <c r="J15" s="87"/>
      <c r="K15" s="55"/>
      <c r="L15" s="87"/>
      <c r="M15" s="87"/>
      <c r="N15" s="87"/>
      <c r="O15" s="125">
        <f>J15</f>
        <v>0</v>
      </c>
      <c r="R15" s="140"/>
      <c r="AJ15" s="104"/>
    </row>
    <row r="16" spans="1:36" x14ac:dyDescent="0.2">
      <c r="B16" s="260" t="s">
        <v>1135</v>
      </c>
      <c r="C16" s="241" t="s">
        <v>788</v>
      </c>
      <c r="D16" s="256" t="s">
        <v>1501</v>
      </c>
      <c r="E16" s="52"/>
      <c r="F16" s="87"/>
      <c r="G16" s="87"/>
      <c r="H16" s="87"/>
      <c r="I16" s="87"/>
      <c r="J16" s="87"/>
      <c r="K16" s="55"/>
      <c r="L16" s="87"/>
      <c r="M16" s="87"/>
      <c r="N16" s="87"/>
      <c r="O16" s="125">
        <f>J16</f>
        <v>0</v>
      </c>
      <c r="R16" s="141"/>
      <c r="S16" s="24"/>
      <c r="T16" s="24"/>
      <c r="AJ16" s="104"/>
    </row>
    <row r="17" spans="1:66" x14ac:dyDescent="0.2">
      <c r="B17" s="260" t="s">
        <v>1136</v>
      </c>
      <c r="C17" s="241" t="s">
        <v>1506</v>
      </c>
      <c r="D17" s="256" t="s">
        <v>1501</v>
      </c>
      <c r="E17" s="52"/>
      <c r="F17" s="87"/>
      <c r="G17" s="87"/>
      <c r="H17" s="87"/>
      <c r="I17" s="87"/>
      <c r="J17" s="87"/>
      <c r="K17" s="87"/>
      <c r="L17" s="87"/>
      <c r="M17" s="87"/>
      <c r="N17" s="87"/>
      <c r="O17" s="125">
        <f t="shared" ref="O17" si="1">J17</f>
        <v>0</v>
      </c>
      <c r="R17" s="24"/>
      <c r="S17" s="24"/>
      <c r="T17" s="24"/>
      <c r="AJ17" s="104"/>
    </row>
    <row r="18" spans="1:66" x14ac:dyDescent="0.2">
      <c r="B18" s="194"/>
      <c r="C18" s="247"/>
      <c r="D18" s="52"/>
      <c r="E18" s="52"/>
      <c r="F18" s="52"/>
      <c r="G18" s="52"/>
      <c r="H18" s="52"/>
      <c r="I18" s="52"/>
      <c r="J18" s="52"/>
      <c r="K18" s="52"/>
      <c r="L18" s="52"/>
      <c r="M18" s="52"/>
      <c r="N18" s="204"/>
      <c r="O18" s="52"/>
      <c r="R18" s="24"/>
      <c r="S18" s="24"/>
      <c r="T18" s="24"/>
      <c r="AJ18" s="104"/>
    </row>
    <row r="19" spans="1:66" x14ac:dyDescent="0.2">
      <c r="B19" s="243" t="s">
        <v>147</v>
      </c>
      <c r="C19" s="249" t="s">
        <v>1076</v>
      </c>
      <c r="D19" s="256" t="s">
        <v>1501</v>
      </c>
      <c r="E19" s="52"/>
      <c r="F19" s="55"/>
      <c r="G19" s="55"/>
      <c r="H19" s="55"/>
      <c r="I19" s="55"/>
      <c r="J19" s="55"/>
      <c r="K19" s="55"/>
      <c r="L19" s="55"/>
      <c r="M19" s="55"/>
      <c r="N19" s="87"/>
      <c r="O19" s="125">
        <f t="shared" ref="O19" si="2">J19</f>
        <v>0</v>
      </c>
      <c r="R19" s="24"/>
      <c r="S19" s="24"/>
      <c r="T19" s="24"/>
    </row>
    <row r="20" spans="1:66" x14ac:dyDescent="0.2">
      <c r="B20" s="194"/>
      <c r="C20" s="247"/>
      <c r="D20" s="52"/>
      <c r="E20" s="52"/>
      <c r="F20" s="52"/>
      <c r="G20" s="52"/>
      <c r="H20" s="52"/>
      <c r="I20" s="52"/>
      <c r="J20" s="52"/>
      <c r="K20" s="52"/>
      <c r="L20" s="52"/>
      <c r="M20" s="52"/>
      <c r="N20" s="204"/>
      <c r="O20" s="52"/>
      <c r="R20" s="24"/>
      <c r="S20" s="24"/>
      <c r="T20" s="24"/>
      <c r="AJ20" s="104"/>
    </row>
    <row r="21" spans="1:66" x14ac:dyDescent="0.2">
      <c r="B21" s="243" t="s">
        <v>148</v>
      </c>
      <c r="C21" s="249" t="s">
        <v>1239</v>
      </c>
      <c r="D21" s="52"/>
      <c r="E21" s="52"/>
      <c r="F21" s="52"/>
      <c r="G21" s="52"/>
      <c r="H21" s="52"/>
      <c r="I21" s="52"/>
      <c r="J21" s="52"/>
      <c r="K21" s="52"/>
      <c r="L21" s="52"/>
      <c r="M21" s="52"/>
      <c r="N21" s="52"/>
      <c r="O21" s="52"/>
      <c r="R21" s="24"/>
      <c r="S21" s="24"/>
      <c r="T21" s="24"/>
    </row>
    <row r="22" spans="1:66" x14ac:dyDescent="0.2">
      <c r="B22" s="260" t="s">
        <v>149</v>
      </c>
      <c r="C22" s="241" t="s">
        <v>1181</v>
      </c>
      <c r="D22" s="64" t="s">
        <v>1240</v>
      </c>
      <c r="E22" s="52"/>
      <c r="F22" s="87"/>
      <c r="G22" s="87"/>
      <c r="H22" s="87"/>
      <c r="I22" s="87"/>
      <c r="J22" s="87"/>
      <c r="K22" s="87"/>
      <c r="L22" s="87"/>
      <c r="M22" s="87"/>
      <c r="N22" s="87"/>
      <c r="O22" s="125">
        <f t="shared" ref="O22:O23" si="3">J22</f>
        <v>0</v>
      </c>
      <c r="R22" s="24"/>
      <c r="S22" s="24"/>
      <c r="T22" s="24"/>
    </row>
    <row r="23" spans="1:66" x14ac:dyDescent="0.2">
      <c r="B23" s="260" t="s">
        <v>150</v>
      </c>
      <c r="C23" s="241" t="s">
        <v>1182</v>
      </c>
      <c r="D23" s="64" t="str">
        <f>$D$22</f>
        <v>Ton</v>
      </c>
      <c r="E23" s="52"/>
      <c r="F23" s="87"/>
      <c r="G23" s="87"/>
      <c r="H23" s="87"/>
      <c r="I23" s="87"/>
      <c r="J23" s="87"/>
      <c r="K23" s="87"/>
      <c r="L23" s="87"/>
      <c r="M23" s="87"/>
      <c r="N23" s="87"/>
      <c r="O23" s="125">
        <f t="shared" si="3"/>
        <v>0</v>
      </c>
      <c r="R23" s="24"/>
      <c r="S23" s="24"/>
      <c r="T23" s="24"/>
    </row>
    <row r="24" spans="1:66" x14ac:dyDescent="0.2">
      <c r="B24" s="198"/>
      <c r="C24" s="247"/>
      <c r="D24" s="52"/>
      <c r="E24" s="52"/>
      <c r="F24" s="52"/>
      <c r="G24" s="52"/>
      <c r="H24" s="52"/>
      <c r="I24" s="52"/>
      <c r="J24" s="52"/>
      <c r="K24" s="52"/>
      <c r="L24" s="52"/>
      <c r="M24" s="52"/>
      <c r="N24" s="204"/>
      <c r="O24" s="52"/>
      <c r="R24" s="24"/>
      <c r="S24" s="24"/>
      <c r="T24" s="24"/>
    </row>
    <row r="25" spans="1:66" x14ac:dyDescent="0.2">
      <c r="B25" s="243" t="s">
        <v>151</v>
      </c>
      <c r="C25" s="209" t="s">
        <v>1301</v>
      </c>
      <c r="D25" s="52"/>
      <c r="E25" s="52"/>
      <c r="F25" s="52"/>
      <c r="G25" s="52"/>
      <c r="H25" s="52"/>
      <c r="I25" s="52"/>
      <c r="J25" s="52"/>
      <c r="K25" s="52"/>
      <c r="L25" s="52"/>
      <c r="M25" s="52"/>
      <c r="N25" s="204"/>
      <c r="O25" s="52"/>
      <c r="R25" s="24"/>
      <c r="S25" s="24"/>
      <c r="T25" s="24"/>
    </row>
    <row r="26" spans="1:66" x14ac:dyDescent="0.2">
      <c r="A26" s="6" t="s">
        <v>1241</v>
      </c>
      <c r="B26" s="260" t="s">
        <v>152</v>
      </c>
      <c r="C26" s="127" t="s">
        <v>1334</v>
      </c>
      <c r="D26" s="227" t="str">
        <f>BasicInfo!C24&amp; " " &amp;BasicInfo!C25</f>
        <v>USD Million</v>
      </c>
      <c r="E26" s="52"/>
      <c r="F26" s="87"/>
      <c r="G26" s="87"/>
      <c r="H26" s="87"/>
      <c r="I26" s="87"/>
      <c r="J26" s="87"/>
      <c r="K26" s="87"/>
      <c r="L26" s="87"/>
      <c r="M26" s="87"/>
      <c r="N26" s="87"/>
      <c r="O26" s="125">
        <f>G26</f>
        <v>0</v>
      </c>
      <c r="R26" s="24"/>
      <c r="S26" s="24"/>
      <c r="T26" s="24"/>
    </row>
    <row r="27" spans="1:66" x14ac:dyDescent="0.2">
      <c r="B27" s="260" t="s">
        <v>153</v>
      </c>
      <c r="C27" s="127" t="s">
        <v>1335</v>
      </c>
      <c r="D27" s="64" t="str">
        <f>$D$26</f>
        <v>USD Million</v>
      </c>
      <c r="E27" s="52"/>
      <c r="F27" s="87"/>
      <c r="G27" s="87"/>
      <c r="H27" s="87"/>
      <c r="I27" s="87"/>
      <c r="J27" s="87"/>
      <c r="K27" s="87"/>
      <c r="L27" s="87"/>
      <c r="M27" s="87"/>
      <c r="N27" s="87"/>
      <c r="O27" s="159">
        <f t="shared" ref="O27" si="4">IF(OR(G27="N/A",H27="N/A",I27="N/A",J27="N/A"),"N/A",SUM(G27:J27))</f>
        <v>0</v>
      </c>
      <c r="R27" s="24"/>
      <c r="S27" s="24"/>
      <c r="T27" s="24"/>
    </row>
    <row r="28" spans="1:66" x14ac:dyDescent="0.2">
      <c r="B28" s="260" t="s">
        <v>785</v>
      </c>
      <c r="C28" s="127" t="s">
        <v>1336</v>
      </c>
      <c r="D28" s="64" t="str">
        <f t="shared" ref="D28" si="5">$D$26</f>
        <v>USD Million</v>
      </c>
      <c r="E28" s="52"/>
      <c r="F28" s="87"/>
      <c r="G28" s="87"/>
      <c r="H28" s="87"/>
      <c r="I28" s="87"/>
      <c r="J28" s="87"/>
      <c r="K28" s="87"/>
      <c r="L28" s="87"/>
      <c r="M28" s="87"/>
      <c r="N28" s="87"/>
      <c r="O28" s="125">
        <f t="shared" ref="O28" si="6">J28</f>
        <v>0</v>
      </c>
      <c r="R28" s="24"/>
      <c r="S28" s="24"/>
      <c r="T28" s="24"/>
    </row>
    <row r="29" spans="1:66" x14ac:dyDescent="0.2">
      <c r="B29" s="198"/>
      <c r="C29" s="247"/>
      <c r="D29" s="52"/>
      <c r="E29" s="52"/>
      <c r="F29" s="52"/>
      <c r="G29" s="52"/>
      <c r="H29" s="52"/>
      <c r="I29" s="52"/>
      <c r="J29" s="52"/>
      <c r="K29" s="52"/>
      <c r="L29" s="52"/>
      <c r="M29" s="52"/>
      <c r="N29" s="204"/>
      <c r="O29" s="52"/>
      <c r="R29" s="144"/>
    </row>
    <row r="30" spans="1:66" x14ac:dyDescent="0.2">
      <c r="B30" s="243" t="s">
        <v>628</v>
      </c>
      <c r="C30" s="249" t="s">
        <v>1210</v>
      </c>
      <c r="D30" s="52"/>
      <c r="E30" s="52"/>
      <c r="F30" s="52"/>
      <c r="G30" s="52"/>
      <c r="H30" s="52"/>
      <c r="I30" s="52"/>
      <c r="J30" s="52"/>
      <c r="K30" s="52"/>
      <c r="L30" s="52"/>
      <c r="M30" s="52"/>
      <c r="N30" s="52"/>
      <c r="O30" s="52"/>
      <c r="R30" s="24"/>
      <c r="S30" s="24"/>
      <c r="T30" s="24"/>
    </row>
    <row r="31" spans="1:66" x14ac:dyDescent="0.2">
      <c r="B31" s="287" t="s">
        <v>629</v>
      </c>
      <c r="C31" s="288" t="s">
        <v>1479</v>
      </c>
      <c r="D31" s="256" t="s">
        <v>1289</v>
      </c>
      <c r="E31" s="52"/>
      <c r="F31" s="87"/>
      <c r="G31" s="87"/>
      <c r="H31" s="87"/>
      <c r="I31" s="87"/>
      <c r="J31" s="87"/>
      <c r="K31" s="55"/>
      <c r="L31" s="55"/>
      <c r="M31" s="55"/>
      <c r="N31" s="87"/>
      <c r="O31" s="125">
        <f t="shared" ref="O31" si="7">J31</f>
        <v>0</v>
      </c>
      <c r="R31" s="24"/>
      <c r="S31" s="24"/>
      <c r="T31" s="24"/>
    </row>
    <row r="32" spans="1:66" x14ac:dyDescent="0.2">
      <c r="B32" s="243" t="s">
        <v>630</v>
      </c>
      <c r="C32" s="209" t="s">
        <v>1126</v>
      </c>
      <c r="D32" s="256" t="s">
        <v>1289</v>
      </c>
      <c r="E32" s="52"/>
      <c r="F32" s="158">
        <f>IF(AND(F33="N/A",F34="N/A",F35="N/A",F36="N/A"),"N/A",SUM(F33:F36))</f>
        <v>0</v>
      </c>
      <c r="G32" s="158">
        <f t="shared" ref="G32:N32" si="8">IF(AND(G33="N/A",G34="N/A",G35="N/A",G36="N/A"),"N/A",SUM(G33:G36))</f>
        <v>0</v>
      </c>
      <c r="H32" s="158">
        <f t="shared" si="8"/>
        <v>0</v>
      </c>
      <c r="I32" s="158">
        <f t="shared" si="8"/>
        <v>0</v>
      </c>
      <c r="J32" s="158">
        <f t="shared" si="8"/>
        <v>0</v>
      </c>
      <c r="K32" s="158">
        <f t="shared" si="8"/>
        <v>0</v>
      </c>
      <c r="L32" s="158">
        <f t="shared" si="8"/>
        <v>0</v>
      </c>
      <c r="M32" s="158">
        <f t="shared" si="8"/>
        <v>0</v>
      </c>
      <c r="N32" s="158">
        <f t="shared" si="8"/>
        <v>0</v>
      </c>
      <c r="O32" s="313">
        <f t="shared" ref="O32:O36" si="9">J32</f>
        <v>0</v>
      </c>
      <c r="R32" s="141"/>
      <c r="S32" s="24"/>
      <c r="T32" s="24"/>
      <c r="BM32" s="8"/>
      <c r="BN32" s="8"/>
    </row>
    <row r="33" spans="2:66" x14ac:dyDescent="0.2">
      <c r="B33" s="260" t="s">
        <v>1143</v>
      </c>
      <c r="C33" s="241" t="s">
        <v>1127</v>
      </c>
      <c r="D33" s="256" t="s">
        <v>1289</v>
      </c>
      <c r="E33" s="52"/>
      <c r="F33" s="87"/>
      <c r="G33" s="87"/>
      <c r="H33" s="87"/>
      <c r="I33" s="87"/>
      <c r="J33" s="87"/>
      <c r="K33" s="87"/>
      <c r="L33" s="87"/>
      <c r="M33" s="87"/>
      <c r="N33" s="87"/>
      <c r="O33" s="57">
        <f t="shared" si="9"/>
        <v>0</v>
      </c>
      <c r="R33" s="141"/>
      <c r="S33" s="24"/>
      <c r="T33" s="24"/>
      <c r="BM33" s="8"/>
      <c r="BN33" s="8"/>
    </row>
    <row r="34" spans="2:66" x14ac:dyDescent="0.2">
      <c r="B34" s="260" t="s">
        <v>1144</v>
      </c>
      <c r="C34" s="241" t="s">
        <v>1128</v>
      </c>
      <c r="D34" s="256" t="s">
        <v>1289</v>
      </c>
      <c r="E34" s="52"/>
      <c r="F34" s="87"/>
      <c r="G34" s="87"/>
      <c r="H34" s="87"/>
      <c r="I34" s="87"/>
      <c r="J34" s="87"/>
      <c r="K34" s="87"/>
      <c r="L34" s="87"/>
      <c r="M34" s="87"/>
      <c r="N34" s="87"/>
      <c r="O34" s="57">
        <f t="shared" si="9"/>
        <v>0</v>
      </c>
      <c r="R34" s="141"/>
      <c r="S34" s="24"/>
      <c r="T34" s="24"/>
      <c r="BM34" s="8"/>
      <c r="BN34" s="8"/>
    </row>
    <row r="35" spans="2:66" x14ac:dyDescent="0.2">
      <c r="B35" s="260" t="s">
        <v>1145</v>
      </c>
      <c r="C35" s="241" t="s">
        <v>1129</v>
      </c>
      <c r="D35" s="256" t="s">
        <v>1289</v>
      </c>
      <c r="E35" s="52"/>
      <c r="F35" s="87"/>
      <c r="G35" s="87"/>
      <c r="H35" s="87"/>
      <c r="I35" s="87"/>
      <c r="J35" s="87"/>
      <c r="K35" s="87"/>
      <c r="L35" s="87"/>
      <c r="M35" s="87"/>
      <c r="N35" s="87"/>
      <c r="O35" s="57">
        <f t="shared" si="9"/>
        <v>0</v>
      </c>
      <c r="R35" s="141"/>
      <c r="S35" s="24"/>
      <c r="T35" s="24"/>
      <c r="BM35" s="8"/>
      <c r="BN35" s="8"/>
    </row>
    <row r="36" spans="2:66" x14ac:dyDescent="0.2">
      <c r="B36" s="260" t="s">
        <v>1146</v>
      </c>
      <c r="C36" s="241" t="s">
        <v>1506</v>
      </c>
      <c r="D36" s="256" t="s">
        <v>1289</v>
      </c>
      <c r="E36" s="52"/>
      <c r="F36" s="87"/>
      <c r="G36" s="87"/>
      <c r="H36" s="87"/>
      <c r="I36" s="87"/>
      <c r="J36" s="87"/>
      <c r="K36" s="55"/>
      <c r="L36" s="55"/>
      <c r="M36" s="55"/>
      <c r="N36" s="87"/>
      <c r="O36" s="57">
        <f t="shared" si="9"/>
        <v>0</v>
      </c>
      <c r="R36" s="141"/>
      <c r="S36" s="24"/>
      <c r="T36" s="24"/>
      <c r="BM36" s="8"/>
      <c r="BN36" s="8"/>
    </row>
    <row r="37" spans="2:66" x14ac:dyDescent="0.2">
      <c r="B37" s="198"/>
      <c r="C37" s="248"/>
      <c r="D37" s="53"/>
      <c r="E37" s="53"/>
      <c r="F37" s="53"/>
      <c r="G37" s="53"/>
      <c r="H37" s="53"/>
      <c r="I37" s="53"/>
      <c r="J37" s="53"/>
      <c r="K37" s="53"/>
      <c r="L37" s="53"/>
      <c r="M37" s="53"/>
      <c r="N37" s="205"/>
      <c r="O37" s="53"/>
      <c r="R37" s="24"/>
      <c r="S37" s="24"/>
      <c r="T37" s="24"/>
    </row>
    <row r="38" spans="2:66" x14ac:dyDescent="0.2">
      <c r="B38" s="243" t="s">
        <v>631</v>
      </c>
      <c r="C38" s="249" t="s">
        <v>1337</v>
      </c>
      <c r="D38" s="53"/>
      <c r="E38" s="53"/>
      <c r="F38" s="53"/>
      <c r="G38" s="53"/>
      <c r="H38" s="53"/>
      <c r="I38" s="53"/>
      <c r="J38" s="53"/>
      <c r="K38" s="53"/>
      <c r="L38" s="53"/>
      <c r="M38" s="53"/>
      <c r="N38" s="205"/>
      <c r="O38" s="53"/>
      <c r="R38" s="24"/>
      <c r="S38" s="24"/>
      <c r="T38" s="24"/>
    </row>
    <row r="39" spans="2:66" x14ac:dyDescent="0.2">
      <c r="B39" s="287" t="s">
        <v>632</v>
      </c>
      <c r="C39" s="288" t="s">
        <v>1204</v>
      </c>
      <c r="D39" s="64" t="str">
        <f t="shared" ref="D39:D41" si="10">$D$26</f>
        <v>USD Million</v>
      </c>
      <c r="E39" s="53"/>
      <c r="F39" s="55"/>
      <c r="G39" s="55"/>
      <c r="H39" s="55"/>
      <c r="I39" s="55"/>
      <c r="J39" s="55"/>
      <c r="K39" s="55"/>
      <c r="L39" s="55"/>
      <c r="M39" s="55"/>
      <c r="N39" s="55"/>
      <c r="O39" s="57">
        <f>J39</f>
        <v>0</v>
      </c>
      <c r="R39" s="24"/>
      <c r="S39" s="24"/>
      <c r="T39" s="24"/>
    </row>
    <row r="40" spans="2:66" x14ac:dyDescent="0.2">
      <c r="B40" s="287" t="s">
        <v>633</v>
      </c>
      <c r="C40" s="241" t="s">
        <v>1214</v>
      </c>
      <c r="D40" s="64" t="str">
        <f t="shared" si="10"/>
        <v>USD Million</v>
      </c>
      <c r="E40" s="52"/>
      <c r="F40" s="55"/>
      <c r="G40" s="55"/>
      <c r="H40" s="55"/>
      <c r="I40" s="55"/>
      <c r="J40" s="55"/>
      <c r="K40" s="55"/>
      <c r="L40" s="55"/>
      <c r="M40" s="55"/>
      <c r="N40" s="55"/>
      <c r="O40" s="57">
        <f t="shared" ref="O40:O41" si="11">J40</f>
        <v>0</v>
      </c>
      <c r="R40" s="24"/>
    </row>
    <row r="41" spans="2:66" x14ac:dyDescent="0.2">
      <c r="B41" s="287" t="s">
        <v>1187</v>
      </c>
      <c r="C41" s="288" t="s">
        <v>1303</v>
      </c>
      <c r="D41" s="64" t="str">
        <f t="shared" si="10"/>
        <v>USD Million</v>
      </c>
      <c r="E41" s="52"/>
      <c r="F41" s="158">
        <f t="shared" ref="F41:N41" si="12">IF(AND(F39="N/A",F40="N/A"),"N/A",SUM(F39,F40))</f>
        <v>0</v>
      </c>
      <c r="G41" s="158">
        <f t="shared" si="12"/>
        <v>0</v>
      </c>
      <c r="H41" s="158">
        <f t="shared" si="12"/>
        <v>0</v>
      </c>
      <c r="I41" s="158">
        <f t="shared" si="12"/>
        <v>0</v>
      </c>
      <c r="J41" s="158">
        <f t="shared" si="12"/>
        <v>0</v>
      </c>
      <c r="K41" s="158">
        <f t="shared" si="12"/>
        <v>0</v>
      </c>
      <c r="L41" s="158">
        <f t="shared" si="12"/>
        <v>0</v>
      </c>
      <c r="M41" s="158">
        <f t="shared" si="12"/>
        <v>0</v>
      </c>
      <c r="N41" s="158">
        <f t="shared" si="12"/>
        <v>0</v>
      </c>
      <c r="O41" s="313">
        <f t="shared" si="11"/>
        <v>0</v>
      </c>
      <c r="R41" s="24"/>
    </row>
    <row r="42" spans="2:66" x14ac:dyDescent="0.2">
      <c r="B42" s="198"/>
      <c r="C42" s="247"/>
      <c r="D42" s="52"/>
      <c r="E42" s="52"/>
      <c r="F42" s="52"/>
      <c r="G42" s="52"/>
      <c r="H42" s="52"/>
      <c r="I42" s="52"/>
      <c r="J42" s="52"/>
      <c r="K42" s="52"/>
      <c r="L42" s="52"/>
      <c r="M42" s="52"/>
      <c r="N42" s="204"/>
      <c r="O42" s="52"/>
    </row>
    <row r="43" spans="2:66" x14ac:dyDescent="0.2">
      <c r="B43" s="243" t="s">
        <v>1109</v>
      </c>
      <c r="C43" s="249" t="s">
        <v>1080</v>
      </c>
      <c r="D43" s="53"/>
      <c r="E43" s="52"/>
      <c r="F43" s="53"/>
      <c r="G43" s="53"/>
      <c r="H43" s="53"/>
      <c r="I43" s="53"/>
      <c r="J43" s="53"/>
      <c r="K43" s="53"/>
      <c r="L43" s="53"/>
      <c r="M43" s="53"/>
      <c r="N43" s="53"/>
      <c r="O43" s="53"/>
      <c r="R43" s="46"/>
    </row>
    <row r="44" spans="2:66" x14ac:dyDescent="0.2">
      <c r="B44" s="260" t="s">
        <v>634</v>
      </c>
      <c r="C44" s="241" t="s">
        <v>1523</v>
      </c>
      <c r="D44" s="256" t="s">
        <v>1501</v>
      </c>
      <c r="E44" s="52"/>
      <c r="F44" s="87"/>
      <c r="G44" s="87"/>
      <c r="H44" s="87"/>
      <c r="I44" s="87"/>
      <c r="J44" s="87"/>
      <c r="K44" s="55"/>
      <c r="L44" s="55"/>
      <c r="M44" s="55"/>
      <c r="N44" s="87"/>
      <c r="O44" s="57">
        <f>J44</f>
        <v>0</v>
      </c>
      <c r="R44" s="46"/>
    </row>
    <row r="45" spans="2:66" s="231" customFormat="1" x14ac:dyDescent="0.2">
      <c r="B45" s="260" t="s">
        <v>635</v>
      </c>
      <c r="C45" s="288" t="s">
        <v>1315</v>
      </c>
      <c r="D45" s="256" t="s">
        <v>1279</v>
      </c>
      <c r="E45" s="247"/>
      <c r="F45" s="87"/>
      <c r="G45" s="87"/>
      <c r="H45" s="87"/>
      <c r="I45" s="87"/>
      <c r="J45" s="87"/>
      <c r="K45" s="55"/>
      <c r="L45" s="55"/>
      <c r="M45" s="55"/>
      <c r="N45" s="87"/>
      <c r="O45" s="57">
        <f>J45</f>
        <v>0</v>
      </c>
      <c r="R45" s="246"/>
    </row>
    <row r="46" spans="2:66" x14ac:dyDescent="0.2">
      <c r="B46" s="289" t="s">
        <v>1339</v>
      </c>
      <c r="C46" s="249" t="s">
        <v>1338</v>
      </c>
      <c r="D46" s="256" t="s">
        <v>1279</v>
      </c>
      <c r="E46" s="52"/>
      <c r="F46" s="158">
        <f t="shared" ref="F46:N46" si="13">IF(AND(F47="N/A",F48="N/A",F49="N/A"),"N/A",SUM(F47:F49))</f>
        <v>0</v>
      </c>
      <c r="G46" s="158">
        <f t="shared" si="13"/>
        <v>0</v>
      </c>
      <c r="H46" s="158">
        <f t="shared" si="13"/>
        <v>0</v>
      </c>
      <c r="I46" s="158">
        <f t="shared" si="13"/>
        <v>0</v>
      </c>
      <c r="J46" s="158">
        <f t="shared" si="13"/>
        <v>0</v>
      </c>
      <c r="K46" s="158">
        <f t="shared" si="13"/>
        <v>0</v>
      </c>
      <c r="L46" s="158">
        <f t="shared" si="13"/>
        <v>0</v>
      </c>
      <c r="M46" s="158">
        <f t="shared" si="13"/>
        <v>0</v>
      </c>
      <c r="N46" s="158">
        <f t="shared" si="13"/>
        <v>0</v>
      </c>
      <c r="O46" s="313">
        <f t="shared" ref="O46:O49" si="14">J46</f>
        <v>0</v>
      </c>
      <c r="R46" s="46"/>
    </row>
    <row r="47" spans="2:66" x14ac:dyDescent="0.2">
      <c r="B47" s="260" t="s">
        <v>1340</v>
      </c>
      <c r="C47" s="241" t="s">
        <v>1494</v>
      </c>
      <c r="D47" s="256" t="s">
        <v>1279</v>
      </c>
      <c r="E47" s="52"/>
      <c r="F47" s="87"/>
      <c r="G47" s="87"/>
      <c r="H47" s="87"/>
      <c r="I47" s="87"/>
      <c r="J47" s="87"/>
      <c r="K47" s="55"/>
      <c r="L47" s="55"/>
      <c r="M47" s="55"/>
      <c r="N47" s="87"/>
      <c r="O47" s="57">
        <f t="shared" si="14"/>
        <v>0</v>
      </c>
      <c r="R47" s="46"/>
    </row>
    <row r="48" spans="2:66" x14ac:dyDescent="0.2">
      <c r="B48" s="260" t="s">
        <v>1341</v>
      </c>
      <c r="C48" s="241" t="s">
        <v>1091</v>
      </c>
      <c r="D48" s="256" t="s">
        <v>1279</v>
      </c>
      <c r="E48" s="52"/>
      <c r="F48" s="87"/>
      <c r="G48" s="87"/>
      <c r="H48" s="87"/>
      <c r="I48" s="87"/>
      <c r="J48" s="87"/>
      <c r="K48" s="87"/>
      <c r="L48" s="55"/>
      <c r="M48" s="55"/>
      <c r="N48" s="87"/>
      <c r="O48" s="57">
        <f t="shared" si="14"/>
        <v>0</v>
      </c>
      <c r="R48" s="46"/>
    </row>
    <row r="49" spans="2:23" s="231" customFormat="1" x14ac:dyDescent="0.2">
      <c r="B49" s="260" t="s">
        <v>1342</v>
      </c>
      <c r="C49" s="241" t="s">
        <v>1506</v>
      </c>
      <c r="D49" s="256" t="s">
        <v>1279</v>
      </c>
      <c r="E49" s="247"/>
      <c r="F49" s="87"/>
      <c r="G49" s="87"/>
      <c r="H49" s="87"/>
      <c r="I49" s="87"/>
      <c r="J49" s="87"/>
      <c r="K49" s="87"/>
      <c r="L49" s="87"/>
      <c r="M49" s="87"/>
      <c r="N49" s="87"/>
      <c r="O49" s="57">
        <f t="shared" si="14"/>
        <v>0</v>
      </c>
      <c r="R49" s="246"/>
    </row>
    <row r="50" spans="2:23" x14ac:dyDescent="0.2">
      <c r="B50" s="198"/>
      <c r="C50" s="248"/>
      <c r="D50" s="53"/>
      <c r="E50" s="53"/>
      <c r="F50" s="53"/>
      <c r="G50" s="53"/>
      <c r="H50" s="53"/>
      <c r="I50" s="53"/>
      <c r="J50" s="53"/>
      <c r="K50" s="53"/>
      <c r="L50" s="53"/>
      <c r="M50" s="53"/>
      <c r="N50" s="205"/>
      <c r="O50" s="53"/>
      <c r="R50" s="102"/>
    </row>
    <row r="51" spans="2:23" x14ac:dyDescent="0.2">
      <c r="B51" s="243" t="s">
        <v>636</v>
      </c>
      <c r="C51" s="249" t="s">
        <v>1253</v>
      </c>
      <c r="D51" s="53"/>
      <c r="E51" s="52"/>
      <c r="F51" s="53"/>
      <c r="G51" s="53"/>
      <c r="H51" s="53"/>
      <c r="I51" s="53"/>
      <c r="J51" s="53"/>
      <c r="K51" s="53"/>
      <c r="L51" s="53"/>
      <c r="M51" s="53"/>
      <c r="N51" s="205"/>
      <c r="O51" s="53"/>
      <c r="R51" s="102"/>
    </row>
    <row r="52" spans="2:23" x14ac:dyDescent="0.2">
      <c r="B52" s="260" t="s">
        <v>1097</v>
      </c>
      <c r="C52" s="241" t="s">
        <v>1081</v>
      </c>
      <c r="D52" s="269" t="s">
        <v>972</v>
      </c>
      <c r="E52" s="52"/>
      <c r="F52" s="55"/>
      <c r="G52" s="55"/>
      <c r="H52" s="55"/>
      <c r="I52" s="55"/>
      <c r="J52" s="55"/>
      <c r="K52" s="55"/>
      <c r="L52" s="55"/>
      <c r="M52" s="55"/>
      <c r="N52" s="87"/>
      <c r="O52" s="159">
        <f t="shared" ref="O52:O53" si="15">IF(OR(G52="N/A",H52="N/A",I52="N/A",J52="N/A"),"N/A",SUM(G52:J52))</f>
        <v>0</v>
      </c>
      <c r="R52" s="102"/>
    </row>
    <row r="53" spans="2:23" x14ac:dyDescent="0.2">
      <c r="B53" s="260" t="s">
        <v>1098</v>
      </c>
      <c r="C53" s="241" t="s">
        <v>1343</v>
      </c>
      <c r="D53" s="269" t="s">
        <v>1244</v>
      </c>
      <c r="E53" s="52"/>
      <c r="F53" s="55"/>
      <c r="G53" s="55"/>
      <c r="H53" s="55"/>
      <c r="I53" s="55"/>
      <c r="J53" s="55"/>
      <c r="K53" s="55"/>
      <c r="L53" s="55"/>
      <c r="M53" s="55"/>
      <c r="N53" s="87"/>
      <c r="O53" s="159">
        <f t="shared" si="15"/>
        <v>0</v>
      </c>
      <c r="R53" s="102"/>
    </row>
    <row r="54" spans="2:23" x14ac:dyDescent="0.2">
      <c r="B54" s="260" t="s">
        <v>1242</v>
      </c>
      <c r="C54" s="241" t="s">
        <v>1496</v>
      </c>
      <c r="D54" s="256" t="str">
        <f>$D$53</f>
        <v>Mt</v>
      </c>
      <c r="E54" s="103"/>
      <c r="F54" s="87"/>
      <c r="G54" s="87"/>
      <c r="H54" s="87"/>
      <c r="I54" s="87"/>
      <c r="J54" s="87"/>
      <c r="K54" s="87"/>
      <c r="L54" s="87"/>
      <c r="M54" s="87"/>
      <c r="N54" s="87"/>
      <c r="O54" s="159">
        <f t="shared" ref="O54" si="16">IF(OR(G54="N/A",H54="N/A",I54="N/A",J54="N/A"),"N/A",SUM(G54:J54))</f>
        <v>0</v>
      </c>
      <c r="R54" s="102"/>
    </row>
    <row r="55" spans="2:23" x14ac:dyDescent="0.2">
      <c r="B55" s="198"/>
      <c r="C55" s="248"/>
      <c r="D55" s="53"/>
      <c r="E55" s="52"/>
      <c r="F55" s="53"/>
      <c r="G55" s="53"/>
      <c r="H55" s="53"/>
      <c r="I55" s="53"/>
      <c r="J55" s="53"/>
      <c r="K55" s="53"/>
      <c r="L55" s="53"/>
      <c r="M55" s="53"/>
      <c r="N55" s="205"/>
      <c r="O55" s="53"/>
    </row>
    <row r="56" spans="2:23" x14ac:dyDescent="0.2">
      <c r="B56" s="243" t="s">
        <v>154</v>
      </c>
      <c r="C56" s="232" t="s">
        <v>47</v>
      </c>
      <c r="D56" s="53"/>
      <c r="E56" s="52"/>
      <c r="F56" s="53"/>
      <c r="G56" s="53"/>
      <c r="H56" s="53"/>
      <c r="I56" s="53"/>
      <c r="J56" s="53"/>
      <c r="K56" s="53"/>
      <c r="L56" s="53"/>
      <c r="M56" s="53"/>
      <c r="N56" s="205"/>
      <c r="O56" s="53"/>
    </row>
    <row r="57" spans="2:23" x14ac:dyDescent="0.2">
      <c r="B57" s="243" t="s">
        <v>155</v>
      </c>
      <c r="C57" s="249" t="s">
        <v>430</v>
      </c>
      <c r="D57" s="64" t="str">
        <f t="shared" ref="D57:D75" si="17">$D$26</f>
        <v>USD Million</v>
      </c>
      <c r="E57" s="52"/>
      <c r="F57" s="158">
        <f t="shared" ref="F57:N57" si="18">IF(AND(F58="N/A",F59="N/A",F60="N/A",F61="N/A",F62="N/A",F63="N/A",F64="N/A",F65="N/A"),"N/A",SUM(F58:F65))</f>
        <v>0</v>
      </c>
      <c r="G57" s="158">
        <f t="shared" si="18"/>
        <v>0</v>
      </c>
      <c r="H57" s="158">
        <f t="shared" si="18"/>
        <v>0</v>
      </c>
      <c r="I57" s="158">
        <f t="shared" si="18"/>
        <v>0</v>
      </c>
      <c r="J57" s="158">
        <f t="shared" si="18"/>
        <v>0</v>
      </c>
      <c r="K57" s="158">
        <f t="shared" si="18"/>
        <v>0</v>
      </c>
      <c r="L57" s="158">
        <f t="shared" si="18"/>
        <v>0</v>
      </c>
      <c r="M57" s="158">
        <f t="shared" si="18"/>
        <v>0</v>
      </c>
      <c r="N57" s="158">
        <f t="shared" si="18"/>
        <v>0</v>
      </c>
      <c r="O57" s="317">
        <f t="shared" ref="O57:O66" si="19">IF(OR(G57="N/A",H57="N/A",I57="N/A",J57="N/A"),"N/A",SUM(G57:J57))</f>
        <v>0</v>
      </c>
      <c r="R57" s="99"/>
    </row>
    <row r="58" spans="2:23" x14ac:dyDescent="0.2">
      <c r="B58" s="260" t="s">
        <v>156</v>
      </c>
      <c r="C58" s="241" t="s">
        <v>1516</v>
      </c>
      <c r="D58" s="64" t="str">
        <f t="shared" si="17"/>
        <v>USD Million</v>
      </c>
      <c r="E58" s="52"/>
      <c r="F58" s="55"/>
      <c r="G58" s="55"/>
      <c r="H58" s="55"/>
      <c r="I58" s="55"/>
      <c r="J58" s="55"/>
      <c r="K58" s="55"/>
      <c r="L58" s="55"/>
      <c r="M58" s="55"/>
      <c r="N58" s="87"/>
      <c r="O58" s="159">
        <f t="shared" si="19"/>
        <v>0</v>
      </c>
    </row>
    <row r="59" spans="2:23" x14ac:dyDescent="0.2">
      <c r="B59" s="260" t="s">
        <v>388</v>
      </c>
      <c r="C59" s="241" t="s">
        <v>1254</v>
      </c>
      <c r="D59" s="64" t="str">
        <f t="shared" si="17"/>
        <v>USD Million</v>
      </c>
      <c r="E59" s="52"/>
      <c r="F59" s="55"/>
      <c r="G59" s="55"/>
      <c r="H59" s="55"/>
      <c r="I59" s="55"/>
      <c r="J59" s="55"/>
      <c r="K59" s="55"/>
      <c r="L59" s="55"/>
      <c r="M59" s="55"/>
      <c r="N59" s="87"/>
      <c r="O59" s="159">
        <f t="shared" si="19"/>
        <v>0</v>
      </c>
    </row>
    <row r="60" spans="2:23" x14ac:dyDescent="0.2">
      <c r="B60" s="260" t="s">
        <v>157</v>
      </c>
      <c r="C60" s="241" t="s">
        <v>1503</v>
      </c>
      <c r="D60" s="64" t="str">
        <f t="shared" si="17"/>
        <v>USD Million</v>
      </c>
      <c r="E60" s="52"/>
      <c r="F60" s="55"/>
      <c r="G60" s="55"/>
      <c r="H60" s="55"/>
      <c r="I60" s="55"/>
      <c r="J60" s="55"/>
      <c r="K60" s="55"/>
      <c r="L60" s="55"/>
      <c r="M60" s="55"/>
      <c r="N60" s="87"/>
      <c r="O60" s="159">
        <f t="shared" si="19"/>
        <v>0</v>
      </c>
      <c r="R60" s="107"/>
      <c r="S60" s="107"/>
      <c r="T60" s="107"/>
      <c r="U60" s="107"/>
    </row>
    <row r="61" spans="2:23" x14ac:dyDescent="0.2">
      <c r="B61" s="260" t="s">
        <v>637</v>
      </c>
      <c r="C61" s="241" t="s">
        <v>48</v>
      </c>
      <c r="D61" s="64" t="str">
        <f t="shared" si="17"/>
        <v>USD Million</v>
      </c>
      <c r="E61" s="52"/>
      <c r="F61" s="55"/>
      <c r="G61" s="55"/>
      <c r="H61" s="55"/>
      <c r="I61" s="55"/>
      <c r="J61" s="55"/>
      <c r="K61" s="55"/>
      <c r="L61" s="55"/>
      <c r="M61" s="55"/>
      <c r="N61" s="87"/>
      <c r="O61" s="159">
        <f t="shared" si="19"/>
        <v>0</v>
      </c>
      <c r="P61" s="107"/>
      <c r="Q61" s="107"/>
      <c r="R61" s="107"/>
      <c r="S61" s="107"/>
      <c r="T61" s="107"/>
      <c r="U61" s="107"/>
      <c r="V61" s="107"/>
      <c r="W61" s="107"/>
    </row>
    <row r="62" spans="2:23" x14ac:dyDescent="0.2">
      <c r="B62" s="260" t="s">
        <v>433</v>
      </c>
      <c r="C62" s="241" t="s">
        <v>1112</v>
      </c>
      <c r="D62" s="64" t="str">
        <f t="shared" si="17"/>
        <v>USD Million</v>
      </c>
      <c r="E62" s="52"/>
      <c r="F62" s="55"/>
      <c r="G62" s="55"/>
      <c r="H62" s="55"/>
      <c r="I62" s="55"/>
      <c r="J62" s="55"/>
      <c r="K62" s="55"/>
      <c r="L62" s="55"/>
      <c r="M62" s="55"/>
      <c r="N62" s="87"/>
      <c r="O62" s="159">
        <f t="shared" si="19"/>
        <v>0</v>
      </c>
      <c r="P62" s="107"/>
      <c r="Q62" s="107"/>
      <c r="R62" s="107"/>
      <c r="S62" s="107"/>
      <c r="T62" s="107"/>
      <c r="U62" s="107"/>
      <c r="V62" s="107"/>
      <c r="W62" s="107"/>
    </row>
    <row r="63" spans="2:23" x14ac:dyDescent="0.2">
      <c r="B63" s="260" t="s">
        <v>434</v>
      </c>
      <c r="C63" s="241" t="s">
        <v>1345</v>
      </c>
      <c r="D63" s="64" t="str">
        <f t="shared" si="17"/>
        <v>USD Million</v>
      </c>
      <c r="E63" s="52"/>
      <c r="F63" s="55"/>
      <c r="G63" s="55"/>
      <c r="H63" s="55"/>
      <c r="I63" s="55"/>
      <c r="J63" s="55"/>
      <c r="K63" s="55"/>
      <c r="L63" s="55"/>
      <c r="M63" s="55"/>
      <c r="N63" s="87"/>
      <c r="O63" s="159">
        <f t="shared" si="19"/>
        <v>0</v>
      </c>
      <c r="P63" s="107"/>
      <c r="Q63" s="107"/>
      <c r="R63" s="107"/>
      <c r="S63" s="107"/>
      <c r="T63" s="107"/>
      <c r="U63" s="107"/>
      <c r="V63" s="107"/>
      <c r="W63" s="107"/>
    </row>
    <row r="64" spans="2:23" x14ac:dyDescent="0.2">
      <c r="B64" s="260" t="s">
        <v>786</v>
      </c>
      <c r="C64" s="241" t="s">
        <v>1346</v>
      </c>
      <c r="D64" s="64" t="str">
        <f t="shared" si="17"/>
        <v>USD Million</v>
      </c>
      <c r="E64" s="52"/>
      <c r="F64" s="55"/>
      <c r="G64" s="55"/>
      <c r="H64" s="55"/>
      <c r="I64" s="55"/>
      <c r="J64" s="55"/>
      <c r="K64" s="55"/>
      <c r="L64" s="55"/>
      <c r="M64" s="55"/>
      <c r="N64" s="55"/>
      <c r="O64" s="159">
        <f t="shared" si="19"/>
        <v>0</v>
      </c>
      <c r="R64" s="99"/>
    </row>
    <row r="65" spans="2:23" x14ac:dyDescent="0.2">
      <c r="B65" s="260" t="s">
        <v>797</v>
      </c>
      <c r="C65" s="241" t="s">
        <v>1347</v>
      </c>
      <c r="D65" s="64" t="str">
        <f t="shared" si="17"/>
        <v>USD Million</v>
      </c>
      <c r="E65" s="52"/>
      <c r="F65" s="55"/>
      <c r="G65" s="55"/>
      <c r="H65" s="55"/>
      <c r="I65" s="55"/>
      <c r="J65" s="55"/>
      <c r="K65" s="55"/>
      <c r="L65" s="55"/>
      <c r="M65" s="55"/>
      <c r="N65" s="55"/>
      <c r="O65" s="159">
        <f t="shared" si="19"/>
        <v>0</v>
      </c>
      <c r="R65" s="99"/>
    </row>
    <row r="66" spans="2:23" x14ac:dyDescent="0.2">
      <c r="B66" s="260" t="s">
        <v>807</v>
      </c>
      <c r="C66" s="241" t="s">
        <v>1360</v>
      </c>
      <c r="D66" s="64" t="str">
        <f t="shared" si="17"/>
        <v>USD Million</v>
      </c>
      <c r="E66" s="52"/>
      <c r="F66" s="55"/>
      <c r="G66" s="55"/>
      <c r="H66" s="55"/>
      <c r="I66" s="55"/>
      <c r="J66" s="55"/>
      <c r="K66" s="55"/>
      <c r="L66" s="55"/>
      <c r="M66" s="55"/>
      <c r="N66" s="87"/>
      <c r="O66" s="159">
        <f t="shared" si="19"/>
        <v>0</v>
      </c>
    </row>
    <row r="67" spans="2:23" s="231" customFormat="1" x14ac:dyDescent="0.2">
      <c r="B67" s="198"/>
      <c r="C67" s="248"/>
      <c r="D67" s="248"/>
      <c r="E67" s="247"/>
      <c r="F67" s="248"/>
      <c r="G67" s="248"/>
      <c r="H67" s="248"/>
      <c r="I67" s="248"/>
      <c r="J67" s="248"/>
      <c r="K67" s="248"/>
      <c r="L67" s="248"/>
      <c r="M67" s="248"/>
      <c r="N67" s="205"/>
      <c r="O67" s="248"/>
    </row>
    <row r="68" spans="2:23" x14ac:dyDescent="0.2">
      <c r="B68" s="243" t="s">
        <v>158</v>
      </c>
      <c r="C68" s="249" t="s">
        <v>1099</v>
      </c>
      <c r="D68" s="64" t="str">
        <f t="shared" ref="D68:D73" si="20">$D$26</f>
        <v>USD Million</v>
      </c>
      <c r="E68" s="52"/>
      <c r="F68" s="158">
        <f>IF(AND(F69="N/A",F70="N/A",F71="N/A",F72="N/A",F73="N/A"),"N/A",SUM(F69:F73))</f>
        <v>0</v>
      </c>
      <c r="G68" s="158">
        <f t="shared" ref="G68:N68" si="21">IF(AND(G69="N/A",G70="N/A",G71="N/A",G72="N/A",G73="N/A"),"N/A",SUM(G69:G73))</f>
        <v>0</v>
      </c>
      <c r="H68" s="158">
        <f t="shared" si="21"/>
        <v>0</v>
      </c>
      <c r="I68" s="158">
        <f t="shared" si="21"/>
        <v>0</v>
      </c>
      <c r="J68" s="158">
        <f t="shared" si="21"/>
        <v>0</v>
      </c>
      <c r="K68" s="158">
        <f t="shared" si="21"/>
        <v>0</v>
      </c>
      <c r="L68" s="158">
        <f t="shared" si="21"/>
        <v>0</v>
      </c>
      <c r="M68" s="158">
        <f t="shared" si="21"/>
        <v>0</v>
      </c>
      <c r="N68" s="158">
        <f t="shared" si="21"/>
        <v>0</v>
      </c>
      <c r="O68" s="317">
        <f t="shared" ref="O68:O73" si="22">IF(OR(G68="N/A",H68="N/A",I68="N/A",J68="N/A"),"N/A",SUM(G68:J68))</f>
        <v>0</v>
      </c>
    </row>
    <row r="69" spans="2:23" x14ac:dyDescent="0.2">
      <c r="B69" s="260" t="s">
        <v>159</v>
      </c>
      <c r="C69" s="241" t="s">
        <v>1100</v>
      </c>
      <c r="D69" s="64" t="str">
        <f t="shared" si="20"/>
        <v>USD Million</v>
      </c>
      <c r="E69" s="52"/>
      <c r="F69" s="87"/>
      <c r="G69" s="87"/>
      <c r="H69" s="87"/>
      <c r="I69" s="87"/>
      <c r="J69" s="87"/>
      <c r="K69" s="87"/>
      <c r="L69" s="87"/>
      <c r="M69" s="87"/>
      <c r="N69" s="87"/>
      <c r="O69" s="159">
        <f t="shared" si="22"/>
        <v>0</v>
      </c>
    </row>
    <row r="70" spans="2:23" x14ac:dyDescent="0.2">
      <c r="B70" s="260" t="s">
        <v>160</v>
      </c>
      <c r="C70" s="241" t="s">
        <v>1101</v>
      </c>
      <c r="D70" s="64" t="str">
        <f t="shared" si="20"/>
        <v>USD Million</v>
      </c>
      <c r="E70" s="52"/>
      <c r="F70" s="87"/>
      <c r="G70" s="87"/>
      <c r="H70" s="87"/>
      <c r="I70" s="87"/>
      <c r="J70" s="87"/>
      <c r="K70" s="87"/>
      <c r="L70" s="87"/>
      <c r="M70" s="87"/>
      <c r="N70" s="87"/>
      <c r="O70" s="159">
        <f t="shared" si="22"/>
        <v>0</v>
      </c>
    </row>
    <row r="71" spans="2:23" x14ac:dyDescent="0.2">
      <c r="B71" s="260" t="s">
        <v>1102</v>
      </c>
      <c r="C71" s="241" t="s">
        <v>1211</v>
      </c>
      <c r="D71" s="64" t="str">
        <f t="shared" si="20"/>
        <v>USD Million</v>
      </c>
      <c r="E71" s="52"/>
      <c r="F71" s="87"/>
      <c r="G71" s="87"/>
      <c r="H71" s="87"/>
      <c r="I71" s="87"/>
      <c r="J71" s="87"/>
      <c r="K71" s="87"/>
      <c r="L71" s="87"/>
      <c r="M71" s="87"/>
      <c r="N71" s="87"/>
      <c r="O71" s="159">
        <f t="shared" si="22"/>
        <v>0</v>
      </c>
    </row>
    <row r="72" spans="2:23" x14ac:dyDescent="0.2">
      <c r="B72" s="260" t="s">
        <v>1103</v>
      </c>
      <c r="C72" s="241" t="s">
        <v>1195</v>
      </c>
      <c r="D72" s="64" t="str">
        <f t="shared" si="20"/>
        <v>USD Million</v>
      </c>
      <c r="E72" s="52"/>
      <c r="F72" s="87"/>
      <c r="G72" s="87"/>
      <c r="H72" s="87"/>
      <c r="I72" s="87"/>
      <c r="J72" s="87"/>
      <c r="K72" s="87"/>
      <c r="L72" s="87"/>
      <c r="M72" s="87"/>
      <c r="N72" s="87"/>
      <c r="O72" s="159">
        <f t="shared" si="22"/>
        <v>0</v>
      </c>
    </row>
    <row r="73" spans="2:23" x14ac:dyDescent="0.2">
      <c r="B73" s="260" t="s">
        <v>1197</v>
      </c>
      <c r="C73" s="241" t="s">
        <v>1177</v>
      </c>
      <c r="D73" s="64" t="str">
        <f t="shared" si="20"/>
        <v>USD Million</v>
      </c>
      <c r="E73" s="52"/>
      <c r="F73" s="87"/>
      <c r="G73" s="87"/>
      <c r="H73" s="87"/>
      <c r="I73" s="87"/>
      <c r="J73" s="87"/>
      <c r="K73" s="87"/>
      <c r="L73" s="87"/>
      <c r="M73" s="87"/>
      <c r="N73" s="87"/>
      <c r="O73" s="159">
        <f t="shared" si="22"/>
        <v>0</v>
      </c>
    </row>
    <row r="74" spans="2:23" x14ac:dyDescent="0.2">
      <c r="B74" s="198"/>
      <c r="C74" s="248"/>
      <c r="D74" s="53"/>
      <c r="E74" s="52"/>
      <c r="F74" s="53"/>
      <c r="G74" s="53"/>
      <c r="H74" s="53"/>
      <c r="I74" s="53"/>
      <c r="J74" s="53"/>
      <c r="K74" s="53"/>
      <c r="L74" s="53"/>
      <c r="M74" s="53"/>
      <c r="N74" s="205"/>
      <c r="O74" s="53"/>
    </row>
    <row r="75" spans="2:23" s="231" customFormat="1" x14ac:dyDescent="0.2">
      <c r="B75" s="289" t="s">
        <v>176</v>
      </c>
      <c r="C75" s="291" t="s">
        <v>1352</v>
      </c>
      <c r="D75" s="256" t="str">
        <f t="shared" si="17"/>
        <v>USD Million</v>
      </c>
      <c r="E75" s="247"/>
      <c r="F75" s="87"/>
      <c r="G75" s="87"/>
      <c r="H75" s="87"/>
      <c r="I75" s="87"/>
      <c r="J75" s="87"/>
      <c r="K75" s="87"/>
      <c r="L75" s="87"/>
      <c r="M75" s="87"/>
      <c r="N75" s="87"/>
      <c r="O75" s="159">
        <f t="shared" ref="O75" si="23">IF(OR(G75="N/A",H75="N/A",I75="N/A",J75="N/A"),"N/A",SUM(G75:J75))</f>
        <v>0</v>
      </c>
      <c r="P75" s="107"/>
      <c r="Q75" s="107"/>
      <c r="R75" s="107"/>
      <c r="S75" s="107"/>
      <c r="T75" s="107"/>
      <c r="U75" s="107"/>
      <c r="V75" s="107"/>
      <c r="W75" s="107"/>
    </row>
    <row r="76" spans="2:23" x14ac:dyDescent="0.2">
      <c r="B76" s="198"/>
      <c r="C76" s="248"/>
      <c r="D76" s="53"/>
      <c r="E76" s="52"/>
      <c r="F76" s="53"/>
      <c r="G76" s="53"/>
      <c r="H76" s="53"/>
      <c r="I76" s="53"/>
      <c r="J76" s="53"/>
      <c r="K76" s="53"/>
      <c r="L76" s="53"/>
      <c r="M76" s="53"/>
      <c r="N76" s="205"/>
      <c r="O76" s="53"/>
    </row>
    <row r="77" spans="2:23" x14ac:dyDescent="0.2">
      <c r="B77" s="243" t="s">
        <v>798</v>
      </c>
      <c r="C77" s="249" t="s">
        <v>1349</v>
      </c>
      <c r="D77" s="53"/>
      <c r="E77" s="52"/>
      <c r="F77" s="53"/>
      <c r="G77" s="53"/>
      <c r="H77" s="53"/>
      <c r="I77" s="53"/>
      <c r="J77" s="53"/>
      <c r="K77" s="53"/>
      <c r="L77" s="53"/>
      <c r="M77" s="53"/>
      <c r="N77" s="205"/>
      <c r="O77" s="53"/>
    </row>
    <row r="78" spans="2:23" x14ac:dyDescent="0.2">
      <c r="B78" s="260" t="s">
        <v>799</v>
      </c>
      <c r="C78" s="290" t="s">
        <v>1350</v>
      </c>
      <c r="D78" s="64" t="str">
        <f t="shared" ref="D78:D83" si="24">$D$26</f>
        <v>USD Million</v>
      </c>
      <c r="E78" s="52"/>
      <c r="F78" s="55"/>
      <c r="G78" s="55"/>
      <c r="H78" s="55"/>
      <c r="I78" s="55"/>
      <c r="J78" s="55"/>
      <c r="K78" s="55"/>
      <c r="L78" s="55"/>
      <c r="M78" s="55"/>
      <c r="N78" s="87"/>
      <c r="O78" s="159">
        <f t="shared" ref="O78:O83" si="25">IF(OR(G78="N/A",H78="N/A",I78="N/A",J78="N/A"),"N/A",SUM(G78:J78))</f>
        <v>0</v>
      </c>
      <c r="P78" s="107"/>
    </row>
    <row r="79" spans="2:23" x14ac:dyDescent="0.2">
      <c r="B79" s="289" t="s">
        <v>800</v>
      </c>
      <c r="C79" s="249" t="s">
        <v>1351</v>
      </c>
      <c r="D79" s="64" t="str">
        <f t="shared" si="24"/>
        <v>USD Million</v>
      </c>
      <c r="E79" s="52"/>
      <c r="F79" s="158">
        <f>IF(AND(F80="N/A",F81="N/A"),"N/A",SUM(F80:F81))</f>
        <v>0</v>
      </c>
      <c r="G79" s="158">
        <f t="shared" ref="G79:N79" si="26">IF(AND(G80="N/A",G81="N/A"),"N/A",SUM(G80:G81))</f>
        <v>0</v>
      </c>
      <c r="H79" s="158">
        <f t="shared" si="26"/>
        <v>0</v>
      </c>
      <c r="I79" s="158">
        <f t="shared" si="26"/>
        <v>0</v>
      </c>
      <c r="J79" s="158">
        <f t="shared" si="26"/>
        <v>0</v>
      </c>
      <c r="K79" s="158">
        <f t="shared" si="26"/>
        <v>0</v>
      </c>
      <c r="L79" s="158">
        <f t="shared" si="26"/>
        <v>0</v>
      </c>
      <c r="M79" s="158">
        <f t="shared" si="26"/>
        <v>0</v>
      </c>
      <c r="N79" s="158">
        <f t="shared" si="26"/>
        <v>0</v>
      </c>
      <c r="O79" s="317">
        <f t="shared" si="25"/>
        <v>0</v>
      </c>
      <c r="R79" s="99"/>
      <c r="T79" s="107"/>
    </row>
    <row r="80" spans="2:23" x14ac:dyDescent="0.2">
      <c r="B80" s="260" t="s">
        <v>1353</v>
      </c>
      <c r="C80" s="292" t="s">
        <v>1357</v>
      </c>
      <c r="D80" s="256" t="str">
        <f t="shared" si="24"/>
        <v>USD Million</v>
      </c>
      <c r="E80" s="52"/>
      <c r="F80" s="55"/>
      <c r="G80" s="55"/>
      <c r="H80" s="55"/>
      <c r="I80" s="55"/>
      <c r="J80" s="55"/>
      <c r="K80" s="55"/>
      <c r="L80" s="55"/>
      <c r="M80" s="55"/>
      <c r="N80" s="87"/>
      <c r="O80" s="159">
        <f t="shared" si="25"/>
        <v>0</v>
      </c>
    </row>
    <row r="81" spans="2:18" x14ac:dyDescent="0.2">
      <c r="B81" s="260" t="s">
        <v>1354</v>
      </c>
      <c r="C81" s="127" t="s">
        <v>1358</v>
      </c>
      <c r="D81" s="256" t="str">
        <f t="shared" si="24"/>
        <v>USD Million</v>
      </c>
      <c r="E81" s="52"/>
      <c r="F81" s="55"/>
      <c r="G81" s="55"/>
      <c r="H81" s="55"/>
      <c r="I81" s="55"/>
      <c r="J81" s="55"/>
      <c r="K81" s="55"/>
      <c r="L81" s="55"/>
      <c r="M81" s="55"/>
      <c r="N81" s="55"/>
      <c r="O81" s="159">
        <f t="shared" si="25"/>
        <v>0</v>
      </c>
    </row>
    <row r="82" spans="2:18" s="231" customFormat="1" x14ac:dyDescent="0.2">
      <c r="B82" s="260" t="s">
        <v>1355</v>
      </c>
      <c r="C82" s="127" t="s">
        <v>1359</v>
      </c>
      <c r="D82" s="256" t="str">
        <f t="shared" si="24"/>
        <v>USD Million</v>
      </c>
      <c r="E82" s="247"/>
      <c r="F82" s="55"/>
      <c r="G82" s="55"/>
      <c r="H82" s="55"/>
      <c r="I82" s="55"/>
      <c r="J82" s="55"/>
      <c r="K82" s="55"/>
      <c r="L82" s="55"/>
      <c r="M82" s="55"/>
      <c r="N82" s="55"/>
      <c r="O82" s="159">
        <f t="shared" si="25"/>
        <v>0</v>
      </c>
    </row>
    <row r="83" spans="2:18" s="231" customFormat="1" x14ac:dyDescent="0.2">
      <c r="B83" s="260" t="s">
        <v>1356</v>
      </c>
      <c r="C83" s="241" t="s">
        <v>1506</v>
      </c>
      <c r="D83" s="256" t="str">
        <f t="shared" si="24"/>
        <v>USD Million</v>
      </c>
      <c r="E83" s="247"/>
      <c r="F83" s="55"/>
      <c r="G83" s="55"/>
      <c r="H83" s="55"/>
      <c r="I83" s="55"/>
      <c r="J83" s="55"/>
      <c r="K83" s="55"/>
      <c r="L83" s="55"/>
      <c r="M83" s="55"/>
      <c r="N83" s="55"/>
      <c r="O83" s="159">
        <f t="shared" si="25"/>
        <v>0</v>
      </c>
    </row>
    <row r="84" spans="2:18" x14ac:dyDescent="0.2">
      <c r="B84" s="194"/>
      <c r="C84" s="247"/>
      <c r="D84" s="52"/>
      <c r="E84" s="52"/>
      <c r="F84" s="52"/>
      <c r="G84" s="52"/>
      <c r="H84" s="52"/>
      <c r="I84" s="52"/>
      <c r="J84" s="52"/>
      <c r="K84" s="52"/>
      <c r="L84" s="52"/>
      <c r="M84" s="52"/>
      <c r="N84" s="204"/>
      <c r="O84" s="52"/>
    </row>
    <row r="85" spans="2:18" x14ac:dyDescent="0.2">
      <c r="B85" s="243" t="s">
        <v>161</v>
      </c>
      <c r="C85" s="243" t="s">
        <v>383</v>
      </c>
      <c r="D85" s="53"/>
      <c r="E85" s="52"/>
      <c r="F85" s="53"/>
      <c r="G85" s="53"/>
      <c r="H85" s="53"/>
      <c r="I85" s="53"/>
      <c r="J85" s="53"/>
      <c r="K85" s="53"/>
      <c r="L85" s="53"/>
      <c r="M85" s="53"/>
      <c r="N85" s="205"/>
      <c r="O85" s="53"/>
      <c r="R85" s="102"/>
    </row>
    <row r="86" spans="2:18" s="231" customFormat="1" x14ac:dyDescent="0.2">
      <c r="B86" s="243" t="s">
        <v>162</v>
      </c>
      <c r="C86" s="243" t="s">
        <v>1362</v>
      </c>
      <c r="D86" s="248"/>
      <c r="E86" s="247"/>
      <c r="F86" s="248"/>
      <c r="G86" s="248"/>
      <c r="H86" s="248"/>
      <c r="I86" s="248"/>
      <c r="J86" s="248"/>
      <c r="K86" s="248"/>
      <c r="L86" s="248"/>
      <c r="M86" s="248"/>
      <c r="N86" s="205"/>
      <c r="O86" s="248"/>
      <c r="R86" s="102"/>
    </row>
    <row r="87" spans="2:18" x14ac:dyDescent="0.2">
      <c r="B87" s="287" t="s">
        <v>163</v>
      </c>
      <c r="C87" s="241" t="s">
        <v>1361</v>
      </c>
      <c r="D87" s="64" t="str">
        <f t="shared" ref="D87:D91" si="27">$D$26</f>
        <v>USD Million</v>
      </c>
      <c r="E87" s="52"/>
      <c r="F87" s="55"/>
      <c r="G87" s="55"/>
      <c r="H87" s="55"/>
      <c r="I87" s="55"/>
      <c r="J87" s="55"/>
      <c r="K87" s="55"/>
      <c r="L87" s="55"/>
      <c r="M87" s="55"/>
      <c r="N87" s="87"/>
      <c r="O87" s="159"/>
      <c r="R87" s="102"/>
    </row>
    <row r="88" spans="2:18" x14ac:dyDescent="0.2">
      <c r="B88" s="260" t="s">
        <v>164</v>
      </c>
      <c r="C88" s="241" t="s">
        <v>1348</v>
      </c>
      <c r="D88" s="64" t="str">
        <f t="shared" si="27"/>
        <v>USD Million</v>
      </c>
      <c r="E88" s="52"/>
      <c r="F88" s="55"/>
      <c r="G88" s="55"/>
      <c r="H88" s="55"/>
      <c r="I88" s="55"/>
      <c r="J88" s="55"/>
      <c r="K88" s="55"/>
      <c r="L88" s="55"/>
      <c r="M88" s="55"/>
      <c r="N88" s="87"/>
      <c r="O88" s="159"/>
      <c r="P88" s="32"/>
    </row>
    <row r="89" spans="2:18" x14ac:dyDescent="0.2">
      <c r="B89" s="243" t="s">
        <v>165</v>
      </c>
      <c r="C89" s="249" t="s">
        <v>981</v>
      </c>
      <c r="D89" s="64" t="str">
        <f t="shared" si="27"/>
        <v>USD Million</v>
      </c>
      <c r="E89" s="52"/>
      <c r="F89" s="158">
        <f>IF(AND(F90="N/A",F91="N/A"),"N/A",SUM(F90:F91))</f>
        <v>0</v>
      </c>
      <c r="G89" s="158">
        <f t="shared" ref="G89:N89" si="28">IF(AND(G90="N/A",G91="N/A"),"N/A",SUM(G90:G91))</f>
        <v>0</v>
      </c>
      <c r="H89" s="158">
        <f t="shared" si="28"/>
        <v>0</v>
      </c>
      <c r="I89" s="158">
        <f t="shared" si="28"/>
        <v>0</v>
      </c>
      <c r="J89" s="158">
        <f t="shared" si="28"/>
        <v>0</v>
      </c>
      <c r="K89" s="158">
        <f t="shared" si="28"/>
        <v>0</v>
      </c>
      <c r="L89" s="158">
        <f t="shared" si="28"/>
        <v>0</v>
      </c>
      <c r="M89" s="158">
        <f t="shared" si="28"/>
        <v>0</v>
      </c>
      <c r="N89" s="158">
        <f t="shared" si="28"/>
        <v>0</v>
      </c>
      <c r="O89" s="317">
        <f t="shared" ref="O87:O91" si="29">IF(OR(G89="N/A",H89="N/A",I89="N/A",J89="N/A"),"N/A",SUM(G89:J89))</f>
        <v>0</v>
      </c>
      <c r="R89" s="46"/>
    </row>
    <row r="90" spans="2:18" x14ac:dyDescent="0.2">
      <c r="B90" s="260" t="s">
        <v>1364</v>
      </c>
      <c r="C90" s="241" t="s">
        <v>1363</v>
      </c>
      <c r="D90" s="64" t="str">
        <f t="shared" si="27"/>
        <v>USD Million</v>
      </c>
      <c r="E90" s="52"/>
      <c r="F90" s="55"/>
      <c r="G90" s="55"/>
      <c r="H90" s="55"/>
      <c r="I90" s="55"/>
      <c r="J90" s="55"/>
      <c r="K90" s="55"/>
      <c r="L90" s="55"/>
      <c r="M90" s="55"/>
      <c r="N90" s="87"/>
      <c r="O90" s="159">
        <f t="shared" si="29"/>
        <v>0</v>
      </c>
      <c r="P90" s="32"/>
    </row>
    <row r="91" spans="2:18" x14ac:dyDescent="0.2">
      <c r="B91" s="260" t="s">
        <v>1365</v>
      </c>
      <c r="C91" s="241" t="s">
        <v>1087</v>
      </c>
      <c r="D91" s="64" t="str">
        <f t="shared" si="27"/>
        <v>USD Million</v>
      </c>
      <c r="E91" s="52"/>
      <c r="F91" s="55"/>
      <c r="G91" s="55"/>
      <c r="H91" s="55"/>
      <c r="I91" s="55"/>
      <c r="J91" s="55"/>
      <c r="K91" s="55"/>
      <c r="L91" s="55"/>
      <c r="M91" s="55"/>
      <c r="N91" s="87"/>
      <c r="O91" s="159">
        <f t="shared" si="29"/>
        <v>0</v>
      </c>
      <c r="P91" s="32"/>
    </row>
    <row r="92" spans="2:18" x14ac:dyDescent="0.2">
      <c r="B92" s="198"/>
      <c r="C92" s="248"/>
      <c r="D92" s="53"/>
      <c r="E92" s="53"/>
      <c r="F92" s="53"/>
      <c r="G92" s="53"/>
      <c r="H92" s="53"/>
      <c r="I92" s="53"/>
      <c r="J92" s="53"/>
      <c r="K92" s="53"/>
      <c r="L92" s="53"/>
      <c r="M92" s="53"/>
      <c r="N92" s="205"/>
      <c r="O92" s="53"/>
      <c r="P92" s="32"/>
    </row>
    <row r="93" spans="2:18" x14ac:dyDescent="0.2">
      <c r="B93" s="243" t="s">
        <v>638</v>
      </c>
      <c r="C93" s="249" t="s">
        <v>1212</v>
      </c>
      <c r="D93" s="64" t="str">
        <f t="shared" ref="D93:D96" si="30">$D$26</f>
        <v>USD Million</v>
      </c>
      <c r="E93" s="52"/>
      <c r="F93" s="158">
        <f>IF(AND(F94="N/A",F95="N/A",F96="N/A"),"N/A",SUM(F94:F96))</f>
        <v>0</v>
      </c>
      <c r="G93" s="158">
        <f t="shared" ref="G93:N93" si="31">IF(AND(G94="N/A",G95="N/A",G96="N/A"),"N/A",SUM(G94:G96))</f>
        <v>0</v>
      </c>
      <c r="H93" s="158">
        <f t="shared" si="31"/>
        <v>0</v>
      </c>
      <c r="I93" s="158">
        <f t="shared" si="31"/>
        <v>0</v>
      </c>
      <c r="J93" s="158">
        <f t="shared" si="31"/>
        <v>0</v>
      </c>
      <c r="K93" s="158">
        <f t="shared" si="31"/>
        <v>0</v>
      </c>
      <c r="L93" s="158">
        <f t="shared" si="31"/>
        <v>0</v>
      </c>
      <c r="M93" s="158">
        <f t="shared" si="31"/>
        <v>0</v>
      </c>
      <c r="N93" s="158">
        <f t="shared" si="31"/>
        <v>0</v>
      </c>
      <c r="O93" s="317">
        <f t="shared" ref="O93:O95" si="32">IF(OR(G93="N/A",H93="N/A",I93="N/A",J93="N/A"),"N/A",SUM(G93:J93))</f>
        <v>0</v>
      </c>
      <c r="P93" s="32"/>
    </row>
    <row r="94" spans="2:18" x14ac:dyDescent="0.2">
      <c r="B94" s="260" t="s">
        <v>639</v>
      </c>
      <c r="C94" s="241" t="s">
        <v>1130</v>
      </c>
      <c r="D94" s="64" t="str">
        <f t="shared" si="30"/>
        <v>USD Million</v>
      </c>
      <c r="E94" s="52"/>
      <c r="F94" s="87"/>
      <c r="G94" s="87"/>
      <c r="H94" s="87"/>
      <c r="I94" s="87"/>
      <c r="J94" s="87"/>
      <c r="K94" s="87"/>
      <c r="L94" s="87"/>
      <c r="M94" s="87"/>
      <c r="N94" s="87"/>
      <c r="O94" s="159">
        <f t="shared" si="32"/>
        <v>0</v>
      </c>
      <c r="P94" s="32"/>
    </row>
    <row r="95" spans="2:18" x14ac:dyDescent="0.2">
      <c r="B95" s="260" t="s">
        <v>640</v>
      </c>
      <c r="C95" s="241" t="s">
        <v>1077</v>
      </c>
      <c r="D95" s="64" t="str">
        <f t="shared" si="30"/>
        <v>USD Million</v>
      </c>
      <c r="E95" s="52"/>
      <c r="F95" s="87"/>
      <c r="G95" s="87"/>
      <c r="H95" s="87"/>
      <c r="I95" s="87"/>
      <c r="J95" s="87"/>
      <c r="K95" s="87"/>
      <c r="L95" s="87"/>
      <c r="M95" s="87"/>
      <c r="N95" s="87"/>
      <c r="O95" s="159">
        <f t="shared" si="32"/>
        <v>0</v>
      </c>
      <c r="P95" s="32"/>
    </row>
    <row r="96" spans="2:18" x14ac:dyDescent="0.2">
      <c r="B96" s="260" t="s">
        <v>976</v>
      </c>
      <c r="C96" s="241" t="s">
        <v>1506</v>
      </c>
      <c r="D96" s="64" t="str">
        <f t="shared" si="30"/>
        <v>USD Million</v>
      </c>
      <c r="E96" s="52"/>
      <c r="F96" s="87"/>
      <c r="G96" s="87"/>
      <c r="H96" s="87"/>
      <c r="I96" s="87"/>
      <c r="J96" s="87"/>
      <c r="K96" s="87"/>
      <c r="L96" s="87"/>
      <c r="M96" s="87"/>
      <c r="N96" s="87"/>
      <c r="O96" s="159">
        <f t="shared" ref="O96" si="33">IF(OR(G96="N/A",H96="N/A",I96="N/A",J96="N/A"),"N/A",SUM(G96:J96))</f>
        <v>0</v>
      </c>
      <c r="P96" s="32"/>
    </row>
    <row r="97" spans="1:16" x14ac:dyDescent="0.2">
      <c r="B97" s="198"/>
      <c r="C97" s="248"/>
      <c r="D97" s="53"/>
      <c r="E97" s="53"/>
      <c r="F97" s="53"/>
      <c r="G97" s="53"/>
      <c r="H97" s="53"/>
      <c r="I97" s="53"/>
      <c r="J97" s="53"/>
      <c r="K97" s="53"/>
      <c r="L97" s="53"/>
      <c r="M97" s="53"/>
      <c r="N97" s="205"/>
      <c r="O97" s="53"/>
      <c r="P97" s="32"/>
    </row>
    <row r="98" spans="1:16" x14ac:dyDescent="0.2">
      <c r="B98" s="243" t="s">
        <v>641</v>
      </c>
      <c r="C98" s="249" t="s">
        <v>1366</v>
      </c>
      <c r="D98" s="64" t="str">
        <f t="shared" ref="D98:D104" si="34">$D$26</f>
        <v>USD Million</v>
      </c>
      <c r="E98" s="52"/>
      <c r="F98" s="158">
        <f>IF(AND(F99="N/A",F100="N/A",F101="N/A",F102="N/A",F103="N/A",F104="N/A"),"N/A",SUM(F99:F104))</f>
        <v>0</v>
      </c>
      <c r="G98" s="158">
        <f t="shared" ref="G98:N98" si="35">IF(AND(G99="N/A",G100="N/A",G101="N/A",G102="N/A",G103="N/A",G104="N/A"),"N/A",SUM(G99:G104))</f>
        <v>0</v>
      </c>
      <c r="H98" s="158">
        <f t="shared" si="35"/>
        <v>0</v>
      </c>
      <c r="I98" s="158">
        <f t="shared" si="35"/>
        <v>0</v>
      </c>
      <c r="J98" s="158">
        <f t="shared" si="35"/>
        <v>0</v>
      </c>
      <c r="K98" s="158">
        <f t="shared" si="35"/>
        <v>0</v>
      </c>
      <c r="L98" s="158">
        <f t="shared" si="35"/>
        <v>0</v>
      </c>
      <c r="M98" s="158">
        <f t="shared" si="35"/>
        <v>0</v>
      </c>
      <c r="N98" s="158">
        <f t="shared" si="35"/>
        <v>0</v>
      </c>
      <c r="O98" s="317">
        <f t="shared" ref="O98:O104" si="36">IF(OR(G98="N/A",H98="N/A",I98="N/A",J98="N/A"),"N/A",SUM(G98:J98))</f>
        <v>0</v>
      </c>
      <c r="P98" s="32"/>
    </row>
    <row r="99" spans="1:16" x14ac:dyDescent="0.2">
      <c r="B99" s="260" t="s">
        <v>642</v>
      </c>
      <c r="C99" s="241" t="s">
        <v>790</v>
      </c>
      <c r="D99" s="64" t="str">
        <f t="shared" si="34"/>
        <v>USD Million</v>
      </c>
      <c r="E99" s="52"/>
      <c r="F99" s="87"/>
      <c r="G99" s="87"/>
      <c r="H99" s="87"/>
      <c r="I99" s="87"/>
      <c r="J99" s="87"/>
      <c r="K99" s="87"/>
      <c r="L99" s="87"/>
      <c r="M99" s="87"/>
      <c r="N99" s="87"/>
      <c r="O99" s="159">
        <f t="shared" si="36"/>
        <v>0</v>
      </c>
      <c r="P99" s="32"/>
    </row>
    <row r="100" spans="1:16" x14ac:dyDescent="0.2">
      <c r="B100" s="260" t="s">
        <v>643</v>
      </c>
      <c r="C100" s="241" t="s">
        <v>778</v>
      </c>
      <c r="D100" s="64" t="str">
        <f t="shared" si="34"/>
        <v>USD Million</v>
      </c>
      <c r="E100" s="52"/>
      <c r="F100" s="87"/>
      <c r="G100" s="87"/>
      <c r="H100" s="87"/>
      <c r="I100" s="87"/>
      <c r="J100" s="87"/>
      <c r="K100" s="87"/>
      <c r="L100" s="87"/>
      <c r="M100" s="87"/>
      <c r="N100" s="87"/>
      <c r="O100" s="159">
        <f t="shared" si="36"/>
        <v>0</v>
      </c>
      <c r="P100" s="32"/>
    </row>
    <row r="101" spans="1:16" x14ac:dyDescent="0.2">
      <c r="B101" s="260" t="s">
        <v>644</v>
      </c>
      <c r="C101" s="241" t="s">
        <v>776</v>
      </c>
      <c r="D101" s="64" t="str">
        <f t="shared" si="34"/>
        <v>USD Million</v>
      </c>
      <c r="E101" s="52"/>
      <c r="F101" s="55"/>
      <c r="G101" s="55"/>
      <c r="H101" s="55"/>
      <c r="I101" s="55"/>
      <c r="J101" s="55"/>
      <c r="K101" s="55"/>
      <c r="L101" s="55"/>
      <c r="M101" s="55"/>
      <c r="N101" s="87"/>
      <c r="O101" s="159">
        <f t="shared" si="36"/>
        <v>0</v>
      </c>
      <c r="P101" s="32"/>
    </row>
    <row r="102" spans="1:16" x14ac:dyDescent="0.2">
      <c r="B102" s="260" t="s">
        <v>802</v>
      </c>
      <c r="C102" s="241" t="s">
        <v>1209</v>
      </c>
      <c r="D102" s="64" t="str">
        <f t="shared" si="34"/>
        <v>USD Million</v>
      </c>
      <c r="E102" s="52"/>
      <c r="F102" s="87"/>
      <c r="G102" s="87"/>
      <c r="H102" s="87"/>
      <c r="I102" s="87"/>
      <c r="J102" s="87"/>
      <c r="K102" s="87"/>
      <c r="L102" s="87"/>
      <c r="M102" s="87"/>
      <c r="N102" s="87"/>
      <c r="O102" s="159">
        <f t="shared" si="36"/>
        <v>0</v>
      </c>
      <c r="P102" s="32"/>
    </row>
    <row r="103" spans="1:16" x14ac:dyDescent="0.2">
      <c r="B103" s="260" t="s">
        <v>803</v>
      </c>
      <c r="C103" s="241" t="s">
        <v>779</v>
      </c>
      <c r="D103" s="64" t="str">
        <f t="shared" si="34"/>
        <v>USD Million</v>
      </c>
      <c r="E103" s="52"/>
      <c r="F103" s="87"/>
      <c r="G103" s="87"/>
      <c r="H103" s="87"/>
      <c r="I103" s="87"/>
      <c r="J103" s="87"/>
      <c r="K103" s="87"/>
      <c r="L103" s="87"/>
      <c r="M103" s="87"/>
      <c r="N103" s="87"/>
      <c r="O103" s="159">
        <f t="shared" si="36"/>
        <v>0</v>
      </c>
      <c r="P103" s="32"/>
    </row>
    <row r="104" spans="1:16" x14ac:dyDescent="0.2">
      <c r="B104" s="260" t="s">
        <v>977</v>
      </c>
      <c r="C104" s="241" t="s">
        <v>1506</v>
      </c>
      <c r="D104" s="64" t="str">
        <f t="shared" si="34"/>
        <v>USD Million</v>
      </c>
      <c r="E104" s="52"/>
      <c r="F104" s="55"/>
      <c r="G104" s="55"/>
      <c r="H104" s="55"/>
      <c r="I104" s="55"/>
      <c r="J104" s="55"/>
      <c r="K104" s="55"/>
      <c r="L104" s="55"/>
      <c r="M104" s="55"/>
      <c r="N104" s="87"/>
      <c r="O104" s="159">
        <f t="shared" si="36"/>
        <v>0</v>
      </c>
      <c r="P104" s="32"/>
    </row>
    <row r="105" spans="1:16" x14ac:dyDescent="0.2">
      <c r="B105" s="198"/>
      <c r="C105" s="248"/>
      <c r="D105" s="53"/>
      <c r="E105" s="53"/>
      <c r="F105" s="53"/>
      <c r="G105" s="53"/>
      <c r="H105" s="53"/>
      <c r="I105" s="53"/>
      <c r="J105" s="53"/>
      <c r="K105" s="53"/>
      <c r="L105" s="53"/>
      <c r="M105" s="53"/>
      <c r="N105" s="205"/>
      <c r="O105" s="53"/>
      <c r="P105" s="32"/>
    </row>
    <row r="106" spans="1:16" x14ac:dyDescent="0.2">
      <c r="B106" s="243" t="s">
        <v>804</v>
      </c>
      <c r="C106" s="249" t="s">
        <v>1367</v>
      </c>
      <c r="D106" s="64" t="str">
        <f t="shared" ref="D106:D108" si="37">$D$26</f>
        <v>USD Million</v>
      </c>
      <c r="E106" s="52"/>
      <c r="F106" s="158">
        <f>IF(AND(F107="N/A",F108="N/A"),"N/A",SUM(F107:F108))</f>
        <v>0</v>
      </c>
      <c r="G106" s="158">
        <f t="shared" ref="G106:N106" si="38">IF(AND(G107="N/A",G108="N/A"),"N/A",SUM(G107:G108))</f>
        <v>0</v>
      </c>
      <c r="H106" s="158">
        <f t="shared" si="38"/>
        <v>0</v>
      </c>
      <c r="I106" s="158">
        <f t="shared" si="38"/>
        <v>0</v>
      </c>
      <c r="J106" s="158">
        <f t="shared" si="38"/>
        <v>0</v>
      </c>
      <c r="K106" s="158">
        <f t="shared" si="38"/>
        <v>0</v>
      </c>
      <c r="L106" s="158">
        <f t="shared" si="38"/>
        <v>0</v>
      </c>
      <c r="M106" s="158">
        <f t="shared" si="38"/>
        <v>0</v>
      </c>
      <c r="N106" s="172">
        <f t="shared" si="38"/>
        <v>0</v>
      </c>
      <c r="O106" s="317">
        <f t="shared" ref="O106:O108" si="39">IF(OR(G106="N/A",H106="N/A",I106="N/A",J106="N/A"),"N/A",SUM(G106:J106))</f>
        <v>0</v>
      </c>
      <c r="P106" s="32"/>
    </row>
    <row r="107" spans="1:16" x14ac:dyDescent="0.2">
      <c r="B107" s="260" t="s">
        <v>805</v>
      </c>
      <c r="C107" s="127" t="s">
        <v>1255</v>
      </c>
      <c r="D107" s="64" t="str">
        <f t="shared" si="37"/>
        <v>USD Million</v>
      </c>
      <c r="E107" s="52"/>
      <c r="F107" s="87"/>
      <c r="G107" s="87"/>
      <c r="H107" s="87"/>
      <c r="I107" s="87"/>
      <c r="J107" s="87"/>
      <c r="K107" s="87"/>
      <c r="L107" s="87"/>
      <c r="M107" s="87"/>
      <c r="N107" s="87"/>
      <c r="O107" s="159">
        <f t="shared" si="39"/>
        <v>0</v>
      </c>
      <c r="P107" s="32"/>
    </row>
    <row r="108" spans="1:16" x14ac:dyDescent="0.2">
      <c r="B108" s="260" t="s">
        <v>806</v>
      </c>
      <c r="C108" s="127" t="s">
        <v>986</v>
      </c>
      <c r="D108" s="64" t="str">
        <f t="shared" si="37"/>
        <v>USD Million</v>
      </c>
      <c r="E108" s="52"/>
      <c r="F108" s="87"/>
      <c r="G108" s="87"/>
      <c r="H108" s="87"/>
      <c r="I108" s="87"/>
      <c r="J108" s="87"/>
      <c r="K108" s="87"/>
      <c r="L108" s="87"/>
      <c r="M108" s="87"/>
      <c r="N108" s="87"/>
      <c r="O108" s="159">
        <f t="shared" si="39"/>
        <v>0</v>
      </c>
      <c r="P108" s="32"/>
    </row>
    <row r="109" spans="1:16" x14ac:dyDescent="0.2">
      <c r="B109" s="198"/>
      <c r="C109" s="248"/>
      <c r="D109" s="53"/>
      <c r="E109" s="53"/>
      <c r="F109" s="53"/>
      <c r="G109" s="53"/>
      <c r="H109" s="53"/>
      <c r="I109" s="53"/>
      <c r="J109" s="53"/>
      <c r="K109" s="53"/>
      <c r="L109" s="53"/>
      <c r="M109" s="53"/>
      <c r="N109" s="205"/>
      <c r="O109" s="53"/>
      <c r="P109" s="32"/>
    </row>
    <row r="110" spans="1:16" x14ac:dyDescent="0.2">
      <c r="B110" s="243" t="s">
        <v>819</v>
      </c>
      <c r="C110" s="187" t="s">
        <v>1368</v>
      </c>
      <c r="D110" s="64" t="str">
        <f t="shared" ref="D110:D112" si="40">$D$26</f>
        <v>USD Million</v>
      </c>
      <c r="E110" s="52"/>
      <c r="F110" s="158">
        <f>IF(AND(F111="N/A",F112="N/A"),"N/A",SUM(F111:F112))</f>
        <v>0</v>
      </c>
      <c r="G110" s="158">
        <f t="shared" ref="G110:N110" si="41">IF(AND(G111="N/A",G112="N/A"),"N/A",SUM(G111:G112))</f>
        <v>0</v>
      </c>
      <c r="H110" s="158">
        <f t="shared" si="41"/>
        <v>0</v>
      </c>
      <c r="I110" s="158">
        <f t="shared" si="41"/>
        <v>0</v>
      </c>
      <c r="J110" s="158">
        <f t="shared" si="41"/>
        <v>0</v>
      </c>
      <c r="K110" s="158">
        <f t="shared" si="41"/>
        <v>0</v>
      </c>
      <c r="L110" s="158">
        <f t="shared" si="41"/>
        <v>0</v>
      </c>
      <c r="M110" s="158">
        <f t="shared" si="41"/>
        <v>0</v>
      </c>
      <c r="N110" s="172">
        <f t="shared" si="41"/>
        <v>0</v>
      </c>
      <c r="O110" s="317">
        <f t="shared" ref="O110:O112" si="42">IF(OR(G110="N/A",H110="N/A",I110="N/A",J110="N/A"),"N/A",SUM(G110:J110))</f>
        <v>0</v>
      </c>
      <c r="P110" s="32"/>
    </row>
    <row r="111" spans="1:16" x14ac:dyDescent="0.2">
      <c r="B111" s="260" t="s">
        <v>820</v>
      </c>
      <c r="C111" s="241" t="s">
        <v>1361</v>
      </c>
      <c r="D111" s="64" t="str">
        <f t="shared" si="40"/>
        <v>USD Million</v>
      </c>
      <c r="E111" s="52"/>
      <c r="F111" s="55"/>
      <c r="G111" s="55"/>
      <c r="H111" s="55"/>
      <c r="I111" s="55"/>
      <c r="J111" s="55"/>
      <c r="K111" s="55"/>
      <c r="L111" s="55"/>
      <c r="M111" s="55"/>
      <c r="N111" s="55"/>
      <c r="O111" s="159">
        <f t="shared" si="42"/>
        <v>0</v>
      </c>
      <c r="P111" s="32"/>
    </row>
    <row r="112" spans="1:16" x14ac:dyDescent="0.2">
      <c r="A112" s="6" t="s">
        <v>688</v>
      </c>
      <c r="B112" s="260" t="s">
        <v>821</v>
      </c>
      <c r="C112" s="241" t="s">
        <v>1348</v>
      </c>
      <c r="D112" s="64" t="str">
        <f t="shared" si="40"/>
        <v>USD Million</v>
      </c>
      <c r="E112" s="52"/>
      <c r="F112" s="55"/>
      <c r="G112" s="87"/>
      <c r="H112" s="55"/>
      <c r="I112" s="87"/>
      <c r="J112" s="55"/>
      <c r="K112" s="55"/>
      <c r="L112" s="87"/>
      <c r="M112" s="55"/>
      <c r="N112" s="87"/>
      <c r="O112" s="159">
        <f t="shared" si="42"/>
        <v>0</v>
      </c>
      <c r="P112" s="32"/>
    </row>
    <row r="113" spans="2:18" x14ac:dyDescent="0.2">
      <c r="B113" s="198"/>
      <c r="C113" s="53"/>
      <c r="D113" s="53"/>
      <c r="E113" s="52"/>
      <c r="F113" s="53"/>
      <c r="G113" s="53"/>
      <c r="H113" s="53"/>
      <c r="I113" s="53"/>
      <c r="J113" s="53"/>
      <c r="K113" s="53"/>
      <c r="L113" s="53"/>
      <c r="M113" s="53"/>
      <c r="N113" s="205"/>
      <c r="O113" s="53"/>
    </row>
    <row r="114" spans="2:18" x14ac:dyDescent="0.2">
      <c r="B114" s="195" t="s">
        <v>658</v>
      </c>
      <c r="C114" s="79" t="s">
        <v>967</v>
      </c>
      <c r="D114" s="80"/>
      <c r="E114" s="81"/>
      <c r="F114" s="82">
        <f>-User_Financial_Input!F18-User_Financial_Input!F28</f>
        <v>0</v>
      </c>
      <c r="G114" s="82">
        <f>-User_Financial_Input!G18-User_Financial_Input!G28</f>
        <v>0</v>
      </c>
      <c r="H114" s="82">
        <f>-User_Financial_Input!H18-User_Financial_Input!H28</f>
        <v>0</v>
      </c>
      <c r="I114" s="82">
        <f>-User_Financial_Input!I18-User_Financial_Input!I28</f>
        <v>0</v>
      </c>
      <c r="J114" s="82">
        <f>-User_Financial_Input!J18-User_Financial_Input!J28</f>
        <v>0</v>
      </c>
      <c r="K114" s="82">
        <f>-User_Financial_Input!K18-User_Financial_Input!K28</f>
        <v>0</v>
      </c>
      <c r="L114" s="82">
        <f>-User_Financial_Input!L18-User_Financial_Input!L28</f>
        <v>0</v>
      </c>
      <c r="M114" s="82">
        <f>-User_Financial_Input!M18-User_Financial_Input!M28</f>
        <v>0</v>
      </c>
      <c r="N114" s="206">
        <f>-User_Financial_Input!N18-User_Financial_Input!N28</f>
        <v>0</v>
      </c>
      <c r="O114" s="82">
        <f>-User_Financial_Input!O18-User_Financial_Input!O28</f>
        <v>0</v>
      </c>
      <c r="R114" s="108"/>
    </row>
    <row r="115" spans="2:18" x14ac:dyDescent="0.2">
      <c r="B115" s="195"/>
      <c r="C115" s="79" t="s">
        <v>1320</v>
      </c>
      <c r="D115" s="80"/>
      <c r="E115" s="81"/>
      <c r="F115" s="82">
        <f t="shared" ref="F115:O115" si="43">SUM(F57,F66)</f>
        <v>0</v>
      </c>
      <c r="G115" s="82">
        <f t="shared" si="43"/>
        <v>0</v>
      </c>
      <c r="H115" s="82">
        <f t="shared" si="43"/>
        <v>0</v>
      </c>
      <c r="I115" s="82">
        <f t="shared" si="43"/>
        <v>0</v>
      </c>
      <c r="J115" s="82">
        <f t="shared" si="43"/>
        <v>0</v>
      </c>
      <c r="K115" s="82">
        <f t="shared" si="43"/>
        <v>0</v>
      </c>
      <c r="L115" s="82">
        <f t="shared" si="43"/>
        <v>0</v>
      </c>
      <c r="M115" s="82">
        <f t="shared" si="43"/>
        <v>0</v>
      </c>
      <c r="N115" s="206">
        <f t="shared" si="43"/>
        <v>0</v>
      </c>
      <c r="O115" s="82">
        <f t="shared" si="43"/>
        <v>0</v>
      </c>
    </row>
    <row r="116" spans="2:18" x14ac:dyDescent="0.2">
      <c r="B116" s="196"/>
      <c r="C116" s="86" t="s">
        <v>655</v>
      </c>
      <c r="D116" s="80"/>
      <c r="E116" s="83">
        <v>0.05</v>
      </c>
      <c r="F116" s="77" t="e">
        <f>IF(OR((F114/F115)&gt;(1+$E$116),((F114/F115)&lt;(1-$E$116))),"Fail","Pass")</f>
        <v>#DIV/0!</v>
      </c>
      <c r="G116" s="77" t="e">
        <f t="shared" ref="G116:O116" si="44">IF(OR((G114/G115)&gt;(1+$E$116),((G114/G115)&lt;(1-$E$116))),"Fail","Pass")</f>
        <v>#DIV/0!</v>
      </c>
      <c r="H116" s="77" t="e">
        <f t="shared" si="44"/>
        <v>#DIV/0!</v>
      </c>
      <c r="I116" s="77" t="e">
        <f t="shared" si="44"/>
        <v>#DIV/0!</v>
      </c>
      <c r="J116" s="77" t="e">
        <f t="shared" si="44"/>
        <v>#DIV/0!</v>
      </c>
      <c r="K116" s="77" t="e">
        <f t="shared" si="44"/>
        <v>#DIV/0!</v>
      </c>
      <c r="L116" s="77" t="e">
        <f t="shared" si="44"/>
        <v>#DIV/0!</v>
      </c>
      <c r="M116" s="77" t="e">
        <f t="shared" si="44"/>
        <v>#DIV/0!</v>
      </c>
      <c r="N116" s="77" t="e">
        <f t="shared" si="44"/>
        <v>#DIV/0!</v>
      </c>
      <c r="O116" s="77" t="e">
        <f t="shared" si="44"/>
        <v>#DIV/0!</v>
      </c>
    </row>
    <row r="117" spans="2:18" x14ac:dyDescent="0.2">
      <c r="B117" s="196"/>
      <c r="C117" s="79"/>
      <c r="D117" s="80"/>
      <c r="E117" s="81"/>
      <c r="F117" s="82"/>
      <c r="G117" s="82"/>
      <c r="H117" s="82"/>
      <c r="I117" s="82"/>
      <c r="J117" s="82"/>
      <c r="K117" s="82"/>
      <c r="L117" s="82"/>
      <c r="M117" s="82"/>
      <c r="N117" s="206"/>
      <c r="O117" s="82"/>
    </row>
    <row r="118" spans="2:18" x14ac:dyDescent="0.2">
      <c r="B118" s="196"/>
      <c r="C118" s="79" t="s">
        <v>656</v>
      </c>
      <c r="D118" s="80"/>
      <c r="E118" s="81"/>
      <c r="F118" s="82">
        <f>User_Financial_Input!F13</f>
        <v>0</v>
      </c>
      <c r="G118" s="82">
        <f>User_Financial_Input!G13</f>
        <v>0</v>
      </c>
      <c r="H118" s="82">
        <f>User_Financial_Input!H13</f>
        <v>0</v>
      </c>
      <c r="I118" s="82">
        <f>User_Financial_Input!I13</f>
        <v>0</v>
      </c>
      <c r="J118" s="82">
        <f>User_Financial_Input!J13</f>
        <v>0</v>
      </c>
      <c r="K118" s="82">
        <f>User_Financial_Input!K13</f>
        <v>0</v>
      </c>
      <c r="L118" s="82">
        <f>User_Financial_Input!L13</f>
        <v>0</v>
      </c>
      <c r="M118" s="82">
        <f>User_Financial_Input!M13</f>
        <v>0</v>
      </c>
      <c r="N118" s="206">
        <f>User_Financial_Input!N13</f>
        <v>0</v>
      </c>
      <c r="O118" s="82">
        <f>User_Financial_Input!O13</f>
        <v>0</v>
      </c>
      <c r="R118" s="108"/>
    </row>
    <row r="119" spans="2:18" x14ac:dyDescent="0.2">
      <c r="B119" s="196"/>
      <c r="C119" s="79" t="s">
        <v>671</v>
      </c>
      <c r="D119" s="80"/>
      <c r="E119" s="81"/>
      <c r="F119" s="82">
        <f t="shared" ref="F119:O119" si="45">SUM(F87,F88)</f>
        <v>0</v>
      </c>
      <c r="G119" s="82">
        <f t="shared" si="45"/>
        <v>0</v>
      </c>
      <c r="H119" s="82">
        <f t="shared" si="45"/>
        <v>0</v>
      </c>
      <c r="I119" s="82">
        <f t="shared" si="45"/>
        <v>0</v>
      </c>
      <c r="J119" s="82">
        <f t="shared" si="45"/>
        <v>0</v>
      </c>
      <c r="K119" s="82">
        <f t="shared" si="45"/>
        <v>0</v>
      </c>
      <c r="L119" s="82">
        <f t="shared" si="45"/>
        <v>0</v>
      </c>
      <c r="M119" s="82">
        <f t="shared" si="45"/>
        <v>0</v>
      </c>
      <c r="N119" s="82">
        <f t="shared" si="45"/>
        <v>0</v>
      </c>
      <c r="O119" s="82">
        <f t="shared" si="45"/>
        <v>0</v>
      </c>
    </row>
    <row r="120" spans="2:18" x14ac:dyDescent="0.2">
      <c r="B120" s="196"/>
      <c r="C120" s="86" t="s">
        <v>657</v>
      </c>
      <c r="D120" s="80"/>
      <c r="E120" s="83">
        <v>0.05</v>
      </c>
      <c r="F120" s="77" t="e">
        <f t="shared" ref="F120:O120" si="46">IF(OR((F118/F119)&gt;(1+$E$120),((F118/F119)&lt;(1-$E$120))),"Fail","Pass")</f>
        <v>#DIV/0!</v>
      </c>
      <c r="G120" s="77" t="e">
        <f t="shared" si="46"/>
        <v>#DIV/0!</v>
      </c>
      <c r="H120" s="77" t="e">
        <f t="shared" si="46"/>
        <v>#DIV/0!</v>
      </c>
      <c r="I120" s="77" t="e">
        <f t="shared" si="46"/>
        <v>#DIV/0!</v>
      </c>
      <c r="J120" s="77" t="e">
        <f t="shared" si="46"/>
        <v>#DIV/0!</v>
      </c>
      <c r="K120" s="77" t="e">
        <f t="shared" si="46"/>
        <v>#DIV/0!</v>
      </c>
      <c r="L120" s="77" t="e">
        <f t="shared" si="46"/>
        <v>#DIV/0!</v>
      </c>
      <c r="M120" s="77" t="e">
        <f t="shared" si="46"/>
        <v>#DIV/0!</v>
      </c>
      <c r="N120" s="77" t="e">
        <f t="shared" si="46"/>
        <v>#DIV/0!</v>
      </c>
      <c r="O120" s="77" t="e">
        <f t="shared" si="46"/>
        <v>#DIV/0!</v>
      </c>
    </row>
    <row r="121" spans="2:18" x14ac:dyDescent="0.2">
      <c r="B121" s="196"/>
      <c r="C121" s="78"/>
      <c r="D121" s="79"/>
      <c r="E121" s="80"/>
      <c r="F121" s="81"/>
      <c r="G121" s="82"/>
      <c r="H121" s="82"/>
      <c r="I121" s="82"/>
      <c r="J121" s="82"/>
      <c r="K121" s="82"/>
      <c r="L121" s="82"/>
      <c r="M121" s="82"/>
      <c r="N121" s="206"/>
      <c r="O121" s="82"/>
    </row>
    <row r="122" spans="2:18" x14ac:dyDescent="0.2">
      <c r="B122" s="196"/>
      <c r="C122" s="79" t="s">
        <v>962</v>
      </c>
      <c r="D122" s="79"/>
      <c r="E122" s="80"/>
      <c r="F122" s="81">
        <f>User_Financial_Input!F24</f>
        <v>0</v>
      </c>
      <c r="G122" s="81">
        <f>User_Financial_Input!G24</f>
        <v>0</v>
      </c>
      <c r="H122" s="81">
        <f>User_Financial_Input!H24</f>
        <v>0</v>
      </c>
      <c r="I122" s="81">
        <f>User_Financial_Input!I24</f>
        <v>0</v>
      </c>
      <c r="J122" s="81">
        <f>User_Financial_Input!J24</f>
        <v>0</v>
      </c>
      <c r="K122" s="81">
        <f>User_Financial_Input!K24</f>
        <v>0</v>
      </c>
      <c r="L122" s="81">
        <f>User_Financial_Input!L24</f>
        <v>0</v>
      </c>
      <c r="M122" s="81">
        <f>User_Financial_Input!M24</f>
        <v>0</v>
      </c>
      <c r="N122" s="207">
        <f>User_Financial_Input!N24</f>
        <v>0</v>
      </c>
      <c r="O122" s="81">
        <f>User_Financial_Input!O24</f>
        <v>0</v>
      </c>
      <c r="R122" s="186"/>
    </row>
    <row r="123" spans="2:18" x14ac:dyDescent="0.2">
      <c r="B123" s="196"/>
      <c r="C123" s="79" t="s">
        <v>961</v>
      </c>
      <c r="D123" s="79"/>
      <c r="E123" s="80"/>
      <c r="F123" s="81">
        <f>F110</f>
        <v>0</v>
      </c>
      <c r="G123" s="81">
        <f t="shared" ref="G123:O123" si="47">G110</f>
        <v>0</v>
      </c>
      <c r="H123" s="81">
        <f t="shared" si="47"/>
        <v>0</v>
      </c>
      <c r="I123" s="81">
        <f t="shared" si="47"/>
        <v>0</v>
      </c>
      <c r="J123" s="81">
        <f t="shared" si="47"/>
        <v>0</v>
      </c>
      <c r="K123" s="81">
        <f t="shared" si="47"/>
        <v>0</v>
      </c>
      <c r="L123" s="81">
        <f t="shared" si="47"/>
        <v>0</v>
      </c>
      <c r="M123" s="81">
        <f t="shared" si="47"/>
        <v>0</v>
      </c>
      <c r="N123" s="207">
        <f t="shared" si="47"/>
        <v>0</v>
      </c>
      <c r="O123" s="81">
        <f t="shared" si="47"/>
        <v>0</v>
      </c>
    </row>
    <row r="124" spans="2:18" x14ac:dyDescent="0.2">
      <c r="B124" s="196"/>
      <c r="C124" s="86" t="s">
        <v>960</v>
      </c>
      <c r="D124" s="86"/>
      <c r="E124" s="83">
        <v>0.05</v>
      </c>
      <c r="F124" s="77" t="e">
        <f>IF(OR((F122/F123)&gt;(1+$E$124),((F122/F123)&lt;(1-$E$124))),"Fail","Pass")</f>
        <v>#DIV/0!</v>
      </c>
      <c r="G124" s="77" t="e">
        <f t="shared" ref="G124:O124" si="48">IF(OR((G122/G123)&gt;(1+$E$124),((G122/G123)&lt;(1-$E$124))),"Fail","Pass")</f>
        <v>#DIV/0!</v>
      </c>
      <c r="H124" s="77" t="e">
        <f t="shared" si="48"/>
        <v>#DIV/0!</v>
      </c>
      <c r="I124" s="77" t="e">
        <f t="shared" si="48"/>
        <v>#DIV/0!</v>
      </c>
      <c r="J124" s="77" t="e">
        <f t="shared" si="48"/>
        <v>#DIV/0!</v>
      </c>
      <c r="K124" s="77" t="e">
        <f t="shared" si="48"/>
        <v>#DIV/0!</v>
      </c>
      <c r="L124" s="77" t="e">
        <f t="shared" si="48"/>
        <v>#DIV/0!</v>
      </c>
      <c r="M124" s="77" t="e">
        <f t="shared" si="48"/>
        <v>#DIV/0!</v>
      </c>
      <c r="N124" s="77" t="e">
        <f t="shared" si="48"/>
        <v>#DIV/0!</v>
      </c>
      <c r="O124" s="77" t="e">
        <f t="shared" si="48"/>
        <v>#DIV/0!</v>
      </c>
    </row>
    <row r="125" spans="2:18" x14ac:dyDescent="0.2">
      <c r="F125" s="107"/>
      <c r="G125" s="107"/>
      <c r="H125" s="107"/>
      <c r="I125" s="107"/>
      <c r="J125" s="107"/>
      <c r="K125" s="107"/>
      <c r="L125" s="107"/>
      <c r="M125" s="107"/>
      <c r="N125" s="208"/>
      <c r="O125" s="107"/>
    </row>
    <row r="126" spans="2:18" x14ac:dyDescent="0.2">
      <c r="F126" s="107"/>
      <c r="G126" s="107"/>
      <c r="H126" s="107"/>
      <c r="I126" s="107"/>
      <c r="J126" s="107"/>
      <c r="K126" s="107"/>
      <c r="L126" s="107"/>
      <c r="M126" s="107"/>
      <c r="N126" s="208"/>
      <c r="O126" s="107"/>
    </row>
    <row r="129" spans="17:31" x14ac:dyDescent="0.2">
      <c r="Q129" s="8"/>
      <c r="R129" s="8"/>
      <c r="S129" s="8"/>
      <c r="T129" s="8"/>
      <c r="U129" s="8"/>
      <c r="V129" s="8"/>
      <c r="W129" s="8"/>
      <c r="X129" s="8"/>
      <c r="Y129" s="8"/>
      <c r="Z129" s="8"/>
    </row>
    <row r="130" spans="17:31" x14ac:dyDescent="0.2">
      <c r="Q130" s="111"/>
      <c r="R130" s="111"/>
      <c r="S130" s="111"/>
      <c r="T130" s="111"/>
      <c r="U130" s="111"/>
      <c r="V130" s="111"/>
      <c r="W130" s="111"/>
      <c r="X130" s="8"/>
      <c r="Y130" s="8"/>
      <c r="Z130" s="8"/>
      <c r="AD130" s="8"/>
      <c r="AE130" s="8"/>
    </row>
    <row r="131" spans="17:31" x14ac:dyDescent="0.2">
      <c r="Q131" s="8"/>
      <c r="R131" s="8"/>
      <c r="S131" s="8"/>
      <c r="T131" s="8"/>
      <c r="U131" s="8"/>
      <c r="V131" s="8"/>
      <c r="W131" s="8"/>
      <c r="X131" s="8"/>
      <c r="Y131" s="8"/>
      <c r="Z131" s="8"/>
      <c r="AD131" s="8"/>
      <c r="AE131" s="8"/>
    </row>
    <row r="132" spans="17:31" x14ac:dyDescent="0.2">
      <c r="Q132" s="8"/>
      <c r="R132" s="8"/>
      <c r="S132" s="8"/>
      <c r="T132" s="8"/>
      <c r="U132" s="8"/>
      <c r="V132" s="8"/>
      <c r="W132" s="8"/>
      <c r="X132" s="8"/>
      <c r="Y132" s="8"/>
      <c r="Z132" s="8"/>
      <c r="AD132" s="8"/>
      <c r="AE132" s="8"/>
    </row>
    <row r="133" spans="17:31" x14ac:dyDescent="0.2">
      <c r="Q133" s="8"/>
      <c r="R133" s="8"/>
      <c r="S133" s="8"/>
      <c r="T133" s="8"/>
      <c r="U133" s="8"/>
      <c r="V133" s="8"/>
      <c r="W133" s="8"/>
      <c r="X133" s="117"/>
      <c r="Y133" s="8"/>
      <c r="Z133" s="8"/>
      <c r="AD133" s="8"/>
      <c r="AE133" s="8"/>
    </row>
    <row r="134" spans="17:31" x14ac:dyDescent="0.2">
      <c r="Q134" s="8"/>
      <c r="R134" s="8"/>
      <c r="S134" s="8"/>
      <c r="T134" s="8"/>
      <c r="U134" s="8"/>
      <c r="V134" s="8"/>
      <c r="W134" s="8"/>
      <c r="X134" s="118"/>
      <c r="Y134" s="8"/>
      <c r="Z134" s="8"/>
    </row>
    <row r="135" spans="17:31" x14ac:dyDescent="0.2">
      <c r="Q135" s="8"/>
      <c r="R135" s="8"/>
      <c r="S135" s="8"/>
      <c r="T135" s="8"/>
      <c r="U135" s="8"/>
      <c r="V135" s="8"/>
      <c r="W135" s="8"/>
      <c r="X135" s="118"/>
      <c r="Y135" s="8"/>
      <c r="Z135" s="8"/>
    </row>
    <row r="136" spans="17:31" x14ac:dyDescent="0.2">
      <c r="Q136" s="8"/>
      <c r="R136" s="8"/>
      <c r="S136" s="8"/>
      <c r="T136" s="8"/>
      <c r="U136" s="8"/>
      <c r="V136" s="8"/>
      <c r="W136" s="8"/>
      <c r="X136" s="8"/>
      <c r="Y136" s="8"/>
      <c r="Z136" s="8"/>
    </row>
    <row r="137" spans="17:31" x14ac:dyDescent="0.2">
      <c r="Q137" s="8"/>
      <c r="R137" s="8"/>
      <c r="S137" s="8"/>
      <c r="T137" s="8"/>
      <c r="U137" s="8"/>
      <c r="V137" s="8"/>
      <c r="W137" s="8"/>
      <c r="X137" s="8"/>
      <c r="Y137" s="8"/>
      <c r="Z137" s="8"/>
    </row>
    <row r="138" spans="17:31" x14ac:dyDescent="0.2">
      <c r="Q138" s="8"/>
      <c r="R138" s="8"/>
      <c r="S138" s="8"/>
      <c r="T138" s="8"/>
      <c r="U138" s="8"/>
      <c r="V138" s="8"/>
      <c r="W138" s="8"/>
      <c r="X138" s="8"/>
      <c r="Y138" s="8"/>
      <c r="Z138" s="8"/>
    </row>
    <row r="139" spans="17:31" x14ac:dyDescent="0.2">
      <c r="Q139" s="8"/>
      <c r="R139" s="8"/>
      <c r="S139" s="8"/>
      <c r="T139" s="8"/>
      <c r="U139" s="8"/>
      <c r="V139" s="8"/>
      <c r="W139" s="8"/>
      <c r="X139" s="117"/>
      <c r="Y139" s="8"/>
      <c r="Z139" s="8"/>
      <c r="AB139" s="8"/>
    </row>
    <row r="140" spans="17:31" x14ac:dyDescent="0.2">
      <c r="Q140" s="8"/>
      <c r="R140" s="8"/>
      <c r="S140" s="8"/>
      <c r="T140" s="8"/>
      <c r="U140" s="8"/>
      <c r="V140" s="8"/>
      <c r="W140" s="8"/>
      <c r="X140" s="118"/>
      <c r="Y140" s="8"/>
      <c r="Z140" s="8"/>
      <c r="AB140" s="8"/>
    </row>
    <row r="141" spans="17:31" x14ac:dyDescent="0.2">
      <c r="Q141" s="8"/>
      <c r="R141" s="8"/>
      <c r="S141" s="8"/>
      <c r="T141" s="8"/>
      <c r="U141" s="8"/>
      <c r="V141" s="8"/>
      <c r="W141" s="8"/>
      <c r="X141" s="118"/>
      <c r="Y141" s="8"/>
      <c r="Z141" s="8"/>
      <c r="AB141" s="8"/>
    </row>
    <row r="142" spans="17:31" x14ac:dyDescent="0.2">
      <c r="Q142" s="8"/>
      <c r="R142" s="8"/>
      <c r="S142" s="8"/>
      <c r="T142" s="8"/>
      <c r="U142" s="8"/>
      <c r="V142" s="8"/>
      <c r="W142" s="8"/>
      <c r="X142" s="8"/>
      <c r="Y142" s="8"/>
      <c r="Z142" s="8"/>
      <c r="AA142" s="8"/>
      <c r="AB142" s="8"/>
      <c r="AC142" s="8"/>
    </row>
    <row r="143" spans="17:31" x14ac:dyDescent="0.2">
      <c r="Q143" s="8"/>
      <c r="R143" s="8"/>
      <c r="S143" s="8"/>
      <c r="T143" s="8"/>
      <c r="U143" s="8"/>
      <c r="V143" s="8"/>
      <c r="W143" s="8"/>
      <c r="X143" s="8"/>
      <c r="Y143" s="8"/>
      <c r="Z143" s="8"/>
      <c r="AB143" s="8"/>
    </row>
    <row r="144" spans="17:31" x14ac:dyDescent="0.2">
      <c r="Q144" s="8"/>
      <c r="R144" s="8"/>
      <c r="S144" s="8"/>
      <c r="T144" s="8"/>
      <c r="U144" s="8"/>
      <c r="V144" s="8"/>
      <c r="W144" s="8"/>
      <c r="X144" s="8"/>
      <c r="Y144" s="8"/>
      <c r="Z144" s="8"/>
      <c r="AA144" s="8"/>
      <c r="AB144" s="8"/>
      <c r="AC144" s="109"/>
    </row>
    <row r="145" spans="2:35" x14ac:dyDescent="0.2">
      <c r="Q145" s="8"/>
      <c r="R145" s="8"/>
      <c r="S145" s="8"/>
      <c r="T145" s="8"/>
      <c r="U145" s="8"/>
      <c r="V145" s="8"/>
      <c r="W145" s="8"/>
      <c r="X145" s="8"/>
      <c r="Y145" s="8"/>
      <c r="Z145" s="8"/>
      <c r="AA145" s="8"/>
      <c r="AB145" s="8"/>
      <c r="AC145" s="8"/>
    </row>
    <row r="146" spans="2:35" x14ac:dyDescent="0.2">
      <c r="Q146" s="7"/>
      <c r="R146" s="7"/>
      <c r="S146" s="7"/>
      <c r="T146" s="111"/>
      <c r="U146" s="111"/>
      <c r="V146" s="111"/>
      <c r="W146" s="111"/>
      <c r="X146" s="111"/>
      <c r="Y146" s="111"/>
      <c r="Z146" s="111"/>
      <c r="AA146" s="111"/>
      <c r="AB146" s="111"/>
      <c r="AC146" s="8"/>
      <c r="AH146" s="8"/>
      <c r="AI146" s="8"/>
    </row>
    <row r="147" spans="2:35" x14ac:dyDescent="0.2">
      <c r="Q147" s="8"/>
      <c r="R147" s="8"/>
      <c r="S147" s="8"/>
      <c r="T147" s="8"/>
      <c r="U147" s="8"/>
      <c r="V147" s="8"/>
      <c r="W147" s="8"/>
      <c r="X147" s="8"/>
      <c r="Y147" s="8"/>
      <c r="Z147" s="8"/>
      <c r="AA147" s="8"/>
      <c r="AB147" s="8"/>
      <c r="AC147" s="8"/>
      <c r="AH147" s="8"/>
      <c r="AI147" s="8"/>
    </row>
    <row r="148" spans="2:35" x14ac:dyDescent="0.2">
      <c r="Q148" s="7"/>
      <c r="R148" s="7"/>
      <c r="S148" s="8"/>
      <c r="T148" s="8"/>
      <c r="U148" s="8"/>
      <c r="V148" s="8"/>
      <c r="W148" s="8"/>
      <c r="X148" s="8"/>
      <c r="Y148" s="8"/>
      <c r="Z148" s="8"/>
      <c r="AA148" s="8"/>
      <c r="AB148" s="8"/>
      <c r="AC148" s="8"/>
      <c r="AH148" s="8"/>
      <c r="AI148" s="8"/>
    </row>
    <row r="153" spans="2:35" x14ac:dyDescent="0.2">
      <c r="C153" s="300" t="s">
        <v>1505</v>
      </c>
    </row>
    <row r="154" spans="2:35" x14ac:dyDescent="0.2">
      <c r="C154" s="300" t="s">
        <v>1504</v>
      </c>
    </row>
    <row r="155" spans="2:35" x14ac:dyDescent="0.2">
      <c r="C155" s="300" t="s">
        <v>1500</v>
      </c>
      <c r="D155" s="300" t="s">
        <v>823</v>
      </c>
      <c r="F155" s="6" t="e">
        <f>+(F153*F151*F58)/F60+1</f>
        <v>#DIV/0!</v>
      </c>
      <c r="G155" s="231"/>
      <c r="H155" s="231"/>
      <c r="I155" s="231"/>
      <c r="J155" s="231"/>
      <c r="K155" s="231"/>
      <c r="L155" s="231"/>
      <c r="M155" s="231"/>
      <c r="N155" s="231"/>
      <c r="O155" s="231"/>
    </row>
    <row r="156" spans="2:35" s="231" customFormat="1" x14ac:dyDescent="0.2">
      <c r="B156" s="98"/>
    </row>
    <row r="239" spans="3:3" x14ac:dyDescent="0.2">
      <c r="C239" s="300" t="s">
        <v>1517</v>
      </c>
    </row>
  </sheetData>
  <dataConsolidate/>
  <mergeCells count="1">
    <mergeCell ref="F8:I8"/>
  </mergeCells>
  <printOptions horizontalCentered="1"/>
  <pageMargins left="0.25" right="0.25" top="0.75" bottom="0.75" header="0.3" footer="0.3"/>
  <pageSetup paperSize="9" scale="43" fitToHeight="0" orientation="portrait" verticalDpi="1200"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200-000000000000}">
          <x14:formula1>
            <xm:f>Unit_Map!$A$14:$A$18</xm:f>
          </x14:formula1>
          <xm:sqref>D52</xm:sqref>
        </x14:dataValidation>
        <x14:dataValidation type="list" allowBlank="1" showInputMessage="1" showErrorMessage="1" xr:uid="{00000000-0002-0000-0200-000001000000}">
          <x14:formula1>
            <xm:f>Unit_Map!$A$9:$A$12</xm:f>
          </x14:formula1>
          <xm:sqref>D53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2:BS389"/>
  <sheetViews>
    <sheetView topLeftCell="A25" zoomScale="68" zoomScaleNormal="68" workbookViewId="0">
      <selection activeCell="G43" sqref="G43"/>
    </sheetView>
  </sheetViews>
  <sheetFormatPr defaultRowHeight="12.75" x14ac:dyDescent="0.2"/>
  <cols>
    <col min="1" max="1" width="6.42578125" style="6" customWidth="1"/>
    <col min="2" max="2" width="7.5703125" style="98" customWidth="1"/>
    <col min="3" max="3" width="57" style="6" customWidth="1"/>
    <col min="4" max="4" width="26.5703125" style="6" customWidth="1"/>
    <col min="5" max="5" width="9.42578125" style="6" customWidth="1"/>
    <col min="6" max="13" width="12.7109375" style="6" customWidth="1"/>
    <col min="14" max="14" width="12.7109375" style="200" customWidth="1"/>
    <col min="15" max="15" width="12.7109375" style="6" customWidth="1"/>
    <col min="16" max="16" width="9.42578125" style="6" bestFit="1" customWidth="1"/>
    <col min="17" max="17" width="57.140625" style="6" bestFit="1" customWidth="1"/>
    <col min="18" max="23" width="9.140625" style="6"/>
    <col min="24" max="24" width="9.85546875" style="6" bestFit="1" customWidth="1"/>
    <col min="25" max="25" width="9.7109375" style="6" bestFit="1" customWidth="1"/>
    <col min="26" max="34" width="9.140625" style="6"/>
    <col min="35" max="35" width="9.85546875" style="6" bestFit="1" customWidth="1"/>
    <col min="36" max="37" width="9.140625" style="6"/>
    <col min="38" max="38" width="34.85546875" style="6" bestFit="1" customWidth="1"/>
    <col min="39" max="41" width="9.140625" style="6"/>
    <col min="42" max="42" width="9.5703125" style="6" bestFit="1" customWidth="1"/>
    <col min="43" max="48" width="9.140625" style="6"/>
    <col min="49" max="49" width="17.28515625" style="6" bestFit="1" customWidth="1"/>
    <col min="50" max="61" width="9.140625" style="6"/>
    <col min="62" max="62" width="12" style="6" customWidth="1"/>
    <col min="63" max="65" width="12.5703125" style="6" bestFit="1" customWidth="1"/>
    <col min="66" max="16384" width="9.140625" style="6"/>
  </cols>
  <sheetData>
    <row r="2" spans="1:36" ht="21" x14ac:dyDescent="0.35">
      <c r="C2" s="34" t="s">
        <v>67</v>
      </c>
      <c r="D2" s="11"/>
      <c r="E2" s="11"/>
      <c r="F2" s="11"/>
      <c r="G2" s="11"/>
      <c r="H2" s="11"/>
      <c r="I2" s="11"/>
      <c r="J2" s="11"/>
      <c r="K2" s="11"/>
      <c r="L2" s="11"/>
      <c r="M2" s="11"/>
      <c r="N2" s="199"/>
      <c r="O2" s="11"/>
      <c r="R2" s="97"/>
    </row>
    <row r="3" spans="1:36" x14ac:dyDescent="0.2">
      <c r="B3" s="191"/>
      <c r="C3" s="16" t="s">
        <v>101</v>
      </c>
      <c r="D3" s="167">
        <f>BasicInfo!C21</f>
        <v>42366</v>
      </c>
    </row>
    <row r="4" spans="1:36" x14ac:dyDescent="0.2">
      <c r="B4" s="192"/>
      <c r="C4" s="7" t="s">
        <v>83</v>
      </c>
      <c r="D4" s="169" t="str">
        <f>BasicInfo!C5</f>
        <v>Lennox International Inc.</v>
      </c>
      <c r="E4" s="8"/>
      <c r="F4" s="8"/>
      <c r="G4" s="8"/>
      <c r="H4" s="8"/>
      <c r="I4" s="8"/>
      <c r="J4" s="8"/>
      <c r="K4" s="8"/>
      <c r="L4" s="8"/>
      <c r="M4" s="8"/>
      <c r="N4" s="201"/>
      <c r="O4" s="8"/>
    </row>
    <row r="5" spans="1:36" x14ac:dyDescent="0.2">
      <c r="B5" s="192"/>
      <c r="C5" s="16" t="s">
        <v>81</v>
      </c>
      <c r="D5" s="170">
        <f>BasicInfo!C6</f>
        <v>13010101</v>
      </c>
    </row>
    <row r="6" spans="1:36" x14ac:dyDescent="0.2">
      <c r="B6" s="193"/>
      <c r="C6" s="10" t="s">
        <v>62</v>
      </c>
      <c r="D6" s="171" t="str">
        <f>BasicInfo!C7</f>
        <v>Air-conditioning, Freezing &amp; Heating Equipment Manufacturing</v>
      </c>
      <c r="E6" s="11"/>
      <c r="F6" s="11"/>
      <c r="G6" s="11"/>
      <c r="H6" s="11"/>
      <c r="I6" s="11"/>
      <c r="J6" s="11"/>
      <c r="K6" s="11"/>
      <c r="L6" s="11"/>
      <c r="M6" s="11"/>
      <c r="N6" s="199"/>
      <c r="O6" s="11"/>
    </row>
    <row r="7" spans="1:36" ht="13.5" customHeight="1" x14ac:dyDescent="0.2">
      <c r="C7" s="16"/>
    </row>
    <row r="8" spans="1:36" ht="38.25" x14ac:dyDescent="0.2">
      <c r="B8" s="31" t="s">
        <v>142</v>
      </c>
      <c r="C8" s="12" t="s">
        <v>66</v>
      </c>
      <c r="D8" s="12" t="s">
        <v>68</v>
      </c>
      <c r="E8" s="146" t="s">
        <v>70</v>
      </c>
      <c r="F8" s="321" t="s">
        <v>63</v>
      </c>
      <c r="G8" s="322"/>
      <c r="H8" s="322"/>
      <c r="I8" s="323"/>
      <c r="J8" s="149" t="s">
        <v>829</v>
      </c>
      <c r="K8" s="149" t="s">
        <v>76</v>
      </c>
      <c r="L8" s="149" t="s">
        <v>75</v>
      </c>
      <c r="M8" s="149" t="s">
        <v>74</v>
      </c>
      <c r="N8" s="202" t="s">
        <v>73</v>
      </c>
      <c r="O8" s="149" t="s">
        <v>71</v>
      </c>
    </row>
    <row r="9" spans="1:36" x14ac:dyDescent="0.2">
      <c r="B9" s="31"/>
      <c r="C9" s="156"/>
      <c r="D9" s="12"/>
      <c r="E9" s="147" t="s">
        <v>87</v>
      </c>
      <c r="F9" s="151">
        <f>User_Financial_Input!F11</f>
        <v>41906.600000000006</v>
      </c>
      <c r="G9" s="151">
        <f>User_Financial_Input!G11</f>
        <v>41999.200000000004</v>
      </c>
      <c r="H9" s="151">
        <f>User_Financial_Input!H11</f>
        <v>42091.8</v>
      </c>
      <c r="I9" s="151">
        <f>User_Financial_Input!I11</f>
        <v>42184.4</v>
      </c>
      <c r="J9" s="151">
        <f>User_Financial_Input!J11</f>
        <v>42277</v>
      </c>
      <c r="K9" s="157">
        <f>User_Financial_Input!K11</f>
        <v>40905</v>
      </c>
      <c r="L9" s="157">
        <f>User_Financial_Input!L11</f>
        <v>41271</v>
      </c>
      <c r="M9" s="157">
        <f>User_Financial_Input!M11</f>
        <v>41637</v>
      </c>
      <c r="N9" s="203">
        <f>User_Financial_Input!N11</f>
        <v>42003</v>
      </c>
      <c r="O9" s="151">
        <f>User_Financial_Input!O11</f>
        <v>42277</v>
      </c>
    </row>
    <row r="10" spans="1:36" ht="17.25" customHeight="1" x14ac:dyDescent="0.2">
      <c r="B10" s="194"/>
      <c r="C10" s="52"/>
      <c r="D10" s="52"/>
      <c r="E10" s="52"/>
      <c r="F10" s="52"/>
      <c r="G10" s="52"/>
      <c r="H10" s="52"/>
      <c r="I10" s="52"/>
      <c r="J10" s="52"/>
      <c r="K10" s="52"/>
      <c r="L10" s="52"/>
      <c r="M10" s="52"/>
      <c r="N10" s="204"/>
      <c r="O10" s="52"/>
    </row>
    <row r="11" spans="1:36" ht="16.5" customHeight="1" x14ac:dyDescent="0.2">
      <c r="A11" s="6" t="s">
        <v>687</v>
      </c>
      <c r="B11" s="22" t="s">
        <v>143</v>
      </c>
      <c r="C11" s="19" t="s">
        <v>857</v>
      </c>
      <c r="D11" s="52"/>
      <c r="E11" s="52"/>
      <c r="F11" s="52"/>
      <c r="G11" s="52"/>
      <c r="H11" s="52"/>
      <c r="I11" s="52"/>
      <c r="J11" s="52"/>
      <c r="K11" s="52"/>
      <c r="L11" s="52"/>
      <c r="M11" s="52"/>
      <c r="N11" s="204"/>
      <c r="O11" s="52"/>
      <c r="AJ11" s="106"/>
    </row>
    <row r="12" spans="1:36" x14ac:dyDescent="0.2">
      <c r="B12" s="31" t="s">
        <v>144</v>
      </c>
      <c r="C12" s="54" t="s">
        <v>1119</v>
      </c>
      <c r="D12" s="52"/>
      <c r="E12" s="52"/>
      <c r="F12" s="52"/>
      <c r="G12" s="52"/>
      <c r="H12" s="52"/>
      <c r="I12" s="52"/>
      <c r="J12" s="52"/>
      <c r="K12" s="52"/>
      <c r="L12" s="52"/>
      <c r="M12" s="52"/>
      <c r="N12" s="52"/>
      <c r="O12" s="52"/>
      <c r="R12" s="99"/>
      <c r="AJ12" s="104"/>
    </row>
    <row r="13" spans="1:36" x14ac:dyDescent="0.2">
      <c r="B13" s="31" t="s">
        <v>145</v>
      </c>
      <c r="C13" s="54" t="s">
        <v>1120</v>
      </c>
      <c r="D13" s="64"/>
      <c r="E13" s="52"/>
      <c r="F13" s="87"/>
      <c r="G13" s="87"/>
      <c r="H13" s="87"/>
      <c r="I13" s="87"/>
      <c r="J13" s="87"/>
      <c r="K13" s="55"/>
      <c r="L13" s="87"/>
      <c r="M13" s="87"/>
      <c r="N13" s="87"/>
      <c r="O13" s="125"/>
      <c r="P13" s="6" t="s">
        <v>990</v>
      </c>
      <c r="R13" s="140"/>
      <c r="AJ13" s="104"/>
    </row>
    <row r="14" spans="1:36" x14ac:dyDescent="0.2">
      <c r="B14" s="31" t="s">
        <v>146</v>
      </c>
      <c r="C14" s="54" t="s">
        <v>1121</v>
      </c>
      <c r="D14" s="64"/>
      <c r="E14" s="52"/>
      <c r="F14" s="158"/>
      <c r="G14" s="158"/>
      <c r="H14" s="158"/>
      <c r="I14" s="158"/>
      <c r="J14" s="158"/>
      <c r="K14" s="158"/>
      <c r="L14" s="158"/>
      <c r="M14" s="158"/>
      <c r="N14" s="158"/>
      <c r="O14" s="158"/>
      <c r="R14" s="141"/>
      <c r="S14" s="24"/>
      <c r="T14" s="24"/>
      <c r="AJ14" s="104"/>
    </row>
    <row r="15" spans="1:36" x14ac:dyDescent="0.2">
      <c r="B15" s="85" t="s">
        <v>1134</v>
      </c>
      <c r="C15" s="30" t="s">
        <v>787</v>
      </c>
      <c r="D15" s="64"/>
      <c r="E15" s="52"/>
      <c r="F15" s="87"/>
      <c r="G15" s="87"/>
      <c r="H15" s="87"/>
      <c r="I15" s="87"/>
      <c r="J15" s="87"/>
      <c r="K15" s="55"/>
      <c r="L15" s="87"/>
      <c r="M15" s="87"/>
      <c r="N15" s="87"/>
      <c r="O15" s="125"/>
      <c r="R15" s="24"/>
      <c r="S15" s="24"/>
      <c r="T15" s="24"/>
      <c r="AJ15" s="104"/>
    </row>
    <row r="16" spans="1:36" x14ac:dyDescent="0.2">
      <c r="B16" s="85" t="s">
        <v>1135</v>
      </c>
      <c r="C16" s="30" t="s">
        <v>788</v>
      </c>
      <c r="D16" s="64"/>
      <c r="E16" s="52"/>
      <c r="F16" s="87"/>
      <c r="G16" s="87"/>
      <c r="H16" s="87"/>
      <c r="I16" s="87"/>
      <c r="J16" s="87"/>
      <c r="K16" s="55"/>
      <c r="L16" s="87"/>
      <c r="M16" s="87"/>
      <c r="N16" s="87"/>
      <c r="O16" s="125"/>
      <c r="R16" s="24"/>
      <c r="S16" s="24"/>
      <c r="T16" s="24"/>
      <c r="AJ16" s="104"/>
    </row>
    <row r="17" spans="2:36" x14ac:dyDescent="0.2">
      <c r="B17" s="85" t="s">
        <v>1136</v>
      </c>
      <c r="C17" s="30" t="s">
        <v>1074</v>
      </c>
      <c r="D17" s="64"/>
      <c r="E17" s="52"/>
      <c r="F17" s="87"/>
      <c r="G17" s="87"/>
      <c r="H17" s="87"/>
      <c r="I17" s="87"/>
      <c r="J17" s="87"/>
      <c r="K17" s="87"/>
      <c r="L17" s="87"/>
      <c r="M17" s="87"/>
      <c r="N17" s="87"/>
      <c r="O17" s="125"/>
      <c r="R17" s="24"/>
      <c r="S17" s="24"/>
      <c r="T17" s="24"/>
      <c r="AJ17" s="104"/>
    </row>
    <row r="18" spans="2:36" x14ac:dyDescent="0.2">
      <c r="B18" s="31" t="s">
        <v>382</v>
      </c>
      <c r="C18" s="54" t="s">
        <v>791</v>
      </c>
      <c r="D18" s="64"/>
      <c r="E18" s="52"/>
      <c r="F18" s="158"/>
      <c r="G18" s="158"/>
      <c r="H18" s="158"/>
      <c r="I18" s="158"/>
      <c r="J18" s="158"/>
      <c r="K18" s="158"/>
      <c r="L18" s="158"/>
      <c r="M18" s="158"/>
      <c r="N18" s="158"/>
      <c r="O18" s="158"/>
      <c r="R18" s="141"/>
      <c r="S18" s="24"/>
      <c r="T18" s="24"/>
    </row>
    <row r="19" spans="2:36" x14ac:dyDescent="0.2">
      <c r="B19" s="85" t="s">
        <v>1137</v>
      </c>
      <c r="C19" s="30" t="s">
        <v>790</v>
      </c>
      <c r="D19" s="64"/>
      <c r="E19" s="52"/>
      <c r="F19" s="87"/>
      <c r="G19" s="87"/>
      <c r="H19" s="87"/>
      <c r="I19" s="87"/>
      <c r="J19" s="87"/>
      <c r="K19" s="55"/>
      <c r="L19" s="55"/>
      <c r="M19" s="87"/>
      <c r="N19" s="87"/>
      <c r="O19" s="125"/>
      <c r="R19" s="24"/>
      <c r="S19" s="24"/>
      <c r="T19" s="24"/>
    </row>
    <row r="20" spans="2:36" x14ac:dyDescent="0.2">
      <c r="B20" s="85" t="s">
        <v>1138</v>
      </c>
      <c r="C20" s="30" t="s">
        <v>778</v>
      </c>
      <c r="D20" s="64"/>
      <c r="E20" s="52"/>
      <c r="F20" s="87"/>
      <c r="G20" s="87"/>
      <c r="H20" s="87"/>
      <c r="I20" s="87"/>
      <c r="J20" s="87"/>
      <c r="K20" s="55"/>
      <c r="L20" s="55"/>
      <c r="M20" s="87"/>
      <c r="N20" s="87"/>
      <c r="O20" s="125"/>
      <c r="R20" s="141"/>
      <c r="S20" s="24"/>
      <c r="T20" s="24"/>
    </row>
    <row r="21" spans="2:36" x14ac:dyDescent="0.2">
      <c r="B21" s="85" t="s">
        <v>1139</v>
      </c>
      <c r="C21" s="30" t="s">
        <v>776</v>
      </c>
      <c r="D21" s="64"/>
      <c r="E21" s="52"/>
      <c r="F21" s="87"/>
      <c r="G21" s="87"/>
      <c r="H21" s="87"/>
      <c r="I21" s="87"/>
      <c r="J21" s="87"/>
      <c r="K21" s="55"/>
      <c r="L21" s="55"/>
      <c r="M21" s="87"/>
      <c r="N21" s="87"/>
      <c r="O21" s="125"/>
      <c r="R21" s="24"/>
      <c r="S21" s="24"/>
      <c r="T21" s="24"/>
    </row>
    <row r="22" spans="2:36" x14ac:dyDescent="0.2">
      <c r="B22" s="85" t="s">
        <v>1140</v>
      </c>
      <c r="C22" s="30" t="s">
        <v>777</v>
      </c>
      <c r="D22" s="64"/>
      <c r="E22" s="52"/>
      <c r="F22" s="87"/>
      <c r="G22" s="87"/>
      <c r="H22" s="87"/>
      <c r="I22" s="87"/>
      <c r="J22" s="87"/>
      <c r="K22" s="55"/>
      <c r="L22" s="55"/>
      <c r="M22" s="87"/>
      <c r="N22" s="87"/>
      <c r="O22" s="125"/>
      <c r="R22" s="100"/>
      <c r="S22" s="24"/>
      <c r="T22" s="24"/>
    </row>
    <row r="23" spans="2:36" x14ac:dyDescent="0.2">
      <c r="B23" s="85" t="s">
        <v>1141</v>
      </c>
      <c r="C23" s="30" t="s">
        <v>779</v>
      </c>
      <c r="D23" s="64"/>
      <c r="E23" s="52"/>
      <c r="F23" s="55"/>
      <c r="G23" s="55"/>
      <c r="H23" s="55"/>
      <c r="I23" s="55"/>
      <c r="J23" s="55"/>
      <c r="K23" s="55"/>
      <c r="L23" s="55"/>
      <c r="M23" s="55"/>
      <c r="N23" s="87"/>
      <c r="O23" s="125"/>
      <c r="R23" s="24"/>
      <c r="S23" s="24"/>
      <c r="T23" s="24"/>
    </row>
    <row r="24" spans="2:36" x14ac:dyDescent="0.2">
      <c r="B24" s="85" t="s">
        <v>1142</v>
      </c>
      <c r="C24" s="30" t="s">
        <v>1075</v>
      </c>
      <c r="D24" s="64"/>
      <c r="E24" s="52"/>
      <c r="F24" s="55"/>
      <c r="G24" s="55"/>
      <c r="H24" s="55"/>
      <c r="I24" s="55"/>
      <c r="J24" s="55"/>
      <c r="K24" s="55"/>
      <c r="L24" s="55"/>
      <c r="M24" s="55"/>
      <c r="N24" s="87"/>
      <c r="O24" s="125"/>
      <c r="R24" s="24"/>
      <c r="S24" s="24"/>
      <c r="T24" s="24"/>
    </row>
    <row r="25" spans="2:36" x14ac:dyDescent="0.2">
      <c r="B25" s="194"/>
      <c r="C25" s="52"/>
      <c r="D25" s="52"/>
      <c r="E25" s="52"/>
      <c r="F25" s="52"/>
      <c r="G25" s="52"/>
      <c r="H25" s="52"/>
      <c r="I25" s="52"/>
      <c r="J25" s="52"/>
      <c r="K25" s="52"/>
      <c r="L25" s="52"/>
      <c r="M25" s="52"/>
      <c r="N25" s="204"/>
      <c r="O25" s="52"/>
      <c r="R25" s="24"/>
      <c r="S25" s="24"/>
      <c r="T25" s="24"/>
    </row>
    <row r="26" spans="2:36" x14ac:dyDescent="0.2">
      <c r="B26" s="31" t="s">
        <v>147</v>
      </c>
      <c r="C26" s="54" t="s">
        <v>1076</v>
      </c>
      <c r="D26" s="64"/>
      <c r="E26" s="52"/>
      <c r="F26" s="55"/>
      <c r="G26" s="55"/>
      <c r="H26" s="55"/>
      <c r="I26" s="55"/>
      <c r="J26" s="55"/>
      <c r="K26" s="55"/>
      <c r="L26" s="55"/>
      <c r="M26" s="55"/>
      <c r="N26" s="87"/>
      <c r="O26" s="125"/>
      <c r="R26" s="24"/>
      <c r="S26" s="24"/>
      <c r="T26" s="24"/>
    </row>
    <row r="27" spans="2:36" x14ac:dyDescent="0.2">
      <c r="B27" s="194"/>
      <c r="C27" s="52"/>
      <c r="D27" s="52"/>
      <c r="E27" s="52"/>
      <c r="F27" s="52"/>
      <c r="G27" s="52"/>
      <c r="H27" s="52"/>
      <c r="I27" s="52"/>
      <c r="J27" s="52"/>
      <c r="K27" s="52"/>
      <c r="L27" s="52"/>
      <c r="M27" s="52"/>
      <c r="N27" s="204"/>
      <c r="O27" s="52"/>
      <c r="R27" s="100"/>
      <c r="S27" s="24"/>
      <c r="T27" s="24"/>
    </row>
    <row r="28" spans="2:36" x14ac:dyDescent="0.2">
      <c r="B28" s="31" t="s">
        <v>148</v>
      </c>
      <c r="C28" s="54" t="s">
        <v>1122</v>
      </c>
      <c r="D28" s="52"/>
      <c r="E28" s="52"/>
      <c r="F28" s="52"/>
      <c r="G28" s="52"/>
      <c r="H28" s="52"/>
      <c r="I28" s="52"/>
      <c r="J28" s="52"/>
      <c r="K28" s="52"/>
      <c r="L28" s="52"/>
      <c r="M28" s="52"/>
      <c r="N28" s="52"/>
      <c r="O28" s="52"/>
      <c r="R28" s="140"/>
      <c r="S28" s="24"/>
      <c r="T28" s="24"/>
    </row>
    <row r="29" spans="2:36" x14ac:dyDescent="0.2">
      <c r="B29" s="31" t="s">
        <v>149</v>
      </c>
      <c r="C29" s="54" t="s">
        <v>1123</v>
      </c>
      <c r="D29" s="64"/>
      <c r="E29" s="52"/>
      <c r="F29" s="52"/>
      <c r="G29" s="52"/>
      <c r="H29" s="52"/>
      <c r="I29" s="52"/>
      <c r="J29" s="52"/>
      <c r="K29" s="52"/>
      <c r="L29" s="52"/>
      <c r="M29" s="52"/>
      <c r="N29" s="52"/>
      <c r="O29" s="52"/>
      <c r="R29" s="140"/>
      <c r="S29" s="24"/>
      <c r="T29" s="24"/>
    </row>
    <row r="30" spans="2:36" x14ac:dyDescent="0.2">
      <c r="B30" s="85" t="s">
        <v>1183</v>
      </c>
      <c r="C30" s="30" t="s">
        <v>1181</v>
      </c>
      <c r="D30" s="64"/>
      <c r="E30" s="52"/>
      <c r="F30" s="87"/>
      <c r="G30" s="87"/>
      <c r="H30" s="87"/>
      <c r="I30" s="87"/>
      <c r="J30" s="87"/>
      <c r="K30" s="87"/>
      <c r="L30" s="87"/>
      <c r="M30" s="87"/>
      <c r="N30" s="87"/>
      <c r="O30" s="125"/>
      <c r="R30" s="24"/>
      <c r="S30" s="24"/>
      <c r="T30" s="24"/>
    </row>
    <row r="31" spans="2:36" x14ac:dyDescent="0.2">
      <c r="B31" s="85" t="s">
        <v>1184</v>
      </c>
      <c r="C31" s="30" t="s">
        <v>1182</v>
      </c>
      <c r="D31" s="64"/>
      <c r="E31" s="52"/>
      <c r="F31" s="87"/>
      <c r="G31" s="87"/>
      <c r="H31" s="87"/>
      <c r="I31" s="87"/>
      <c r="J31" s="87"/>
      <c r="K31" s="87"/>
      <c r="L31" s="87"/>
      <c r="M31" s="87"/>
      <c r="N31" s="87"/>
      <c r="O31" s="125"/>
      <c r="R31" s="24"/>
      <c r="S31" s="24"/>
      <c r="T31" s="24"/>
    </row>
    <row r="32" spans="2:36" x14ac:dyDescent="0.2">
      <c r="B32" s="31" t="s">
        <v>150</v>
      </c>
      <c r="C32" s="54" t="s">
        <v>1124</v>
      </c>
      <c r="D32" s="64"/>
      <c r="E32" s="52"/>
      <c r="F32" s="87"/>
      <c r="G32" s="87"/>
      <c r="H32" s="87"/>
      <c r="I32" s="87"/>
      <c r="J32" s="87"/>
      <c r="K32" s="87"/>
      <c r="L32" s="87"/>
      <c r="M32" s="87"/>
      <c r="N32" s="87"/>
      <c r="O32" s="125"/>
      <c r="R32" s="108"/>
      <c r="S32" s="24"/>
      <c r="T32" s="24"/>
    </row>
    <row r="33" spans="2:20" x14ac:dyDescent="0.2">
      <c r="B33" s="198"/>
      <c r="C33" s="52"/>
      <c r="D33" s="52"/>
      <c r="E33" s="52"/>
      <c r="F33" s="52"/>
      <c r="G33" s="52"/>
      <c r="H33" s="52"/>
      <c r="I33" s="52"/>
      <c r="J33" s="52"/>
      <c r="K33" s="52"/>
      <c r="L33" s="52"/>
      <c r="M33" s="52"/>
      <c r="N33" s="204"/>
      <c r="O33" s="52"/>
      <c r="R33" s="24"/>
      <c r="S33" s="24"/>
      <c r="T33" s="24"/>
    </row>
    <row r="34" spans="2:20" x14ac:dyDescent="0.2">
      <c r="B34" s="31" t="s">
        <v>151</v>
      </c>
      <c r="C34" s="209" t="s">
        <v>810</v>
      </c>
      <c r="D34" s="52"/>
      <c r="E34" s="52"/>
      <c r="F34" s="52"/>
      <c r="G34" s="52"/>
      <c r="H34" s="52"/>
      <c r="I34" s="52"/>
      <c r="J34" s="52"/>
      <c r="K34" s="52"/>
      <c r="L34" s="52"/>
      <c r="M34" s="52"/>
      <c r="N34" s="204"/>
      <c r="O34" s="52"/>
      <c r="R34" s="24"/>
      <c r="S34" s="24"/>
      <c r="T34" s="24"/>
    </row>
    <row r="35" spans="2:20" x14ac:dyDescent="0.2">
      <c r="B35" s="85" t="s">
        <v>152</v>
      </c>
      <c r="C35" s="127" t="s">
        <v>982</v>
      </c>
      <c r="D35" s="227"/>
      <c r="E35" s="52"/>
      <c r="F35" s="87"/>
      <c r="G35" s="87"/>
      <c r="H35" s="87"/>
      <c r="I35" s="87"/>
      <c r="J35" s="87"/>
      <c r="K35" s="87"/>
      <c r="L35" s="87"/>
      <c r="M35" s="87"/>
      <c r="N35" s="87"/>
      <c r="O35" s="159"/>
      <c r="R35" s="108"/>
      <c r="S35" s="24"/>
      <c r="T35" s="24"/>
    </row>
    <row r="36" spans="2:20" x14ac:dyDescent="0.2">
      <c r="B36" s="85" t="s">
        <v>153</v>
      </c>
      <c r="C36" s="127" t="s">
        <v>983</v>
      </c>
      <c r="D36" s="64"/>
      <c r="E36" s="52"/>
      <c r="F36" s="87"/>
      <c r="G36" s="87"/>
      <c r="H36" s="87"/>
      <c r="I36" s="87"/>
      <c r="J36" s="87"/>
      <c r="K36" s="87"/>
      <c r="L36" s="87"/>
      <c r="M36" s="87"/>
      <c r="N36" s="87"/>
      <c r="O36" s="159"/>
      <c r="R36" s="144"/>
      <c r="S36" s="24"/>
      <c r="T36" s="24"/>
    </row>
    <row r="37" spans="2:20" x14ac:dyDescent="0.2">
      <c r="B37" s="85" t="s">
        <v>785</v>
      </c>
      <c r="C37" s="127" t="s">
        <v>984</v>
      </c>
      <c r="D37" s="64"/>
      <c r="E37" s="52"/>
      <c r="F37" s="87"/>
      <c r="G37" s="87"/>
      <c r="H37" s="87"/>
      <c r="I37" s="87"/>
      <c r="J37" s="87"/>
      <c r="K37" s="87"/>
      <c r="L37" s="87"/>
      <c r="M37" s="87"/>
      <c r="N37" s="87"/>
      <c r="O37" s="159"/>
      <c r="R37" s="144"/>
      <c r="S37" s="24"/>
      <c r="T37" s="24"/>
    </row>
    <row r="38" spans="2:20" x14ac:dyDescent="0.2">
      <c r="B38" s="198"/>
      <c r="C38" s="52"/>
      <c r="D38" s="52"/>
      <c r="E38" s="52"/>
      <c r="F38" s="52"/>
      <c r="G38" s="52"/>
      <c r="H38" s="52"/>
      <c r="I38" s="52"/>
      <c r="J38" s="52"/>
      <c r="K38" s="52"/>
      <c r="L38" s="52"/>
      <c r="M38" s="52"/>
      <c r="N38" s="204"/>
      <c r="O38" s="52"/>
      <c r="R38" s="24"/>
      <c r="S38" s="24"/>
      <c r="T38" s="24"/>
    </row>
    <row r="39" spans="2:20" x14ac:dyDescent="0.2">
      <c r="B39" s="31" t="s">
        <v>628</v>
      </c>
      <c r="C39" s="54" t="s">
        <v>1125</v>
      </c>
      <c r="D39" s="64"/>
      <c r="E39" s="52"/>
      <c r="F39" s="52"/>
      <c r="G39" s="52"/>
      <c r="H39" s="52"/>
      <c r="I39" s="52"/>
      <c r="J39" s="52"/>
      <c r="K39" s="52"/>
      <c r="L39" s="52"/>
      <c r="M39" s="52"/>
      <c r="N39" s="52"/>
      <c r="O39" s="52"/>
      <c r="R39" s="144"/>
      <c r="S39" s="24"/>
      <c r="T39" s="24"/>
    </row>
    <row r="40" spans="2:20" x14ac:dyDescent="0.2">
      <c r="B40" s="31" t="s">
        <v>629</v>
      </c>
      <c r="C40" s="54" t="s">
        <v>970</v>
      </c>
      <c r="D40" s="64"/>
      <c r="E40" s="52"/>
      <c r="F40" s="87"/>
      <c r="G40" s="87"/>
      <c r="H40" s="87"/>
      <c r="I40" s="87"/>
      <c r="J40" s="87"/>
      <c r="K40" s="55"/>
      <c r="L40" s="55"/>
      <c r="M40" s="55"/>
      <c r="N40" s="87"/>
      <c r="O40" s="125"/>
      <c r="R40" s="144"/>
      <c r="S40" s="24"/>
      <c r="T40" s="24"/>
    </row>
    <row r="41" spans="2:20" x14ac:dyDescent="0.2">
      <c r="B41" s="31" t="s">
        <v>630</v>
      </c>
      <c r="C41" s="209" t="s">
        <v>955</v>
      </c>
      <c r="D41" s="64"/>
      <c r="E41" s="52"/>
      <c r="F41" s="158"/>
      <c r="G41" s="158"/>
      <c r="H41" s="158"/>
      <c r="I41" s="158"/>
      <c r="J41" s="158"/>
      <c r="K41" s="158"/>
      <c r="L41" s="158"/>
      <c r="M41" s="158"/>
      <c r="N41" s="158"/>
      <c r="O41" s="158"/>
      <c r="R41" s="144"/>
      <c r="S41" s="24"/>
      <c r="T41" s="24"/>
    </row>
    <row r="42" spans="2:20" x14ac:dyDescent="0.2">
      <c r="B42" s="85" t="s">
        <v>1143</v>
      </c>
      <c r="C42" s="30" t="s">
        <v>790</v>
      </c>
      <c r="D42" s="64"/>
      <c r="E42" s="52"/>
      <c r="F42" s="87"/>
      <c r="G42" s="87"/>
      <c r="H42" s="87"/>
      <c r="I42" s="87"/>
      <c r="J42" s="87"/>
      <c r="K42" s="87"/>
      <c r="L42" s="87"/>
      <c r="M42" s="87"/>
      <c r="N42" s="87"/>
      <c r="O42" s="57"/>
      <c r="R42" s="144"/>
    </row>
    <row r="43" spans="2:20" x14ac:dyDescent="0.2">
      <c r="B43" s="85" t="s">
        <v>1144</v>
      </c>
      <c r="C43" s="30" t="s">
        <v>778</v>
      </c>
      <c r="D43" s="64"/>
      <c r="E43" s="52"/>
      <c r="F43" s="87"/>
      <c r="G43" s="87"/>
      <c r="H43" s="87"/>
      <c r="I43" s="87"/>
      <c r="J43" s="87"/>
      <c r="K43" s="87"/>
      <c r="L43" s="87"/>
      <c r="M43" s="87"/>
      <c r="N43" s="87"/>
      <c r="O43" s="57"/>
      <c r="R43" s="24"/>
      <c r="S43" s="24"/>
      <c r="T43" s="24"/>
    </row>
    <row r="44" spans="2:20" x14ac:dyDescent="0.2">
      <c r="B44" s="85" t="s">
        <v>1145</v>
      </c>
      <c r="C44" s="30" t="s">
        <v>776</v>
      </c>
      <c r="D44" s="64"/>
      <c r="E44" s="52"/>
      <c r="F44" s="87"/>
      <c r="G44" s="87"/>
      <c r="H44" s="87"/>
      <c r="I44" s="87"/>
      <c r="J44" s="87"/>
      <c r="K44" s="87"/>
      <c r="L44" s="87"/>
      <c r="M44" s="87"/>
      <c r="N44" s="87"/>
      <c r="O44" s="57"/>
      <c r="R44" s="24"/>
      <c r="S44" s="24"/>
      <c r="T44" s="24"/>
    </row>
    <row r="45" spans="2:20" x14ac:dyDescent="0.2">
      <c r="B45" s="85" t="s">
        <v>1146</v>
      </c>
      <c r="C45" s="30" t="s">
        <v>777</v>
      </c>
      <c r="D45" s="64"/>
      <c r="E45" s="52"/>
      <c r="F45" s="87"/>
      <c r="G45" s="87"/>
      <c r="H45" s="87"/>
      <c r="I45" s="87"/>
      <c r="J45" s="87"/>
      <c r="K45" s="87"/>
      <c r="L45" s="87"/>
      <c r="M45" s="87"/>
      <c r="N45" s="87"/>
      <c r="O45" s="57"/>
      <c r="R45" s="24"/>
      <c r="S45" s="24"/>
      <c r="T45" s="24"/>
    </row>
    <row r="46" spans="2:20" x14ac:dyDescent="0.2">
      <c r="B46" s="85" t="s">
        <v>1147</v>
      </c>
      <c r="C46" s="30" t="s">
        <v>779</v>
      </c>
      <c r="D46" s="64"/>
      <c r="E46" s="52"/>
      <c r="F46" s="87"/>
      <c r="G46" s="87"/>
      <c r="H46" s="87"/>
      <c r="I46" s="87"/>
      <c r="J46" s="87"/>
      <c r="K46" s="87"/>
      <c r="L46" s="87"/>
      <c r="M46" s="87"/>
      <c r="N46" s="87"/>
      <c r="O46" s="57"/>
      <c r="R46" s="24"/>
      <c r="S46" s="24"/>
      <c r="T46" s="24"/>
    </row>
    <row r="47" spans="2:20" x14ac:dyDescent="0.2">
      <c r="B47" s="85" t="s">
        <v>1148</v>
      </c>
      <c r="C47" s="30" t="s">
        <v>1075</v>
      </c>
      <c r="D47" s="64"/>
      <c r="E47" s="52"/>
      <c r="F47" s="87"/>
      <c r="G47" s="87"/>
      <c r="H47" s="87"/>
      <c r="I47" s="87"/>
      <c r="J47" s="87"/>
      <c r="K47" s="55"/>
      <c r="L47" s="55"/>
      <c r="M47" s="55"/>
      <c r="N47" s="87"/>
      <c r="O47" s="57"/>
      <c r="R47" s="144"/>
    </row>
    <row r="48" spans="2:20" x14ac:dyDescent="0.2">
      <c r="B48" s="31" t="s">
        <v>985</v>
      </c>
      <c r="C48" s="209" t="s">
        <v>1126</v>
      </c>
      <c r="D48" s="64"/>
      <c r="E48" s="52"/>
      <c r="F48" s="158"/>
      <c r="G48" s="158"/>
      <c r="H48" s="158"/>
      <c r="I48" s="158"/>
      <c r="J48" s="158"/>
      <c r="K48" s="158"/>
      <c r="L48" s="158"/>
      <c r="M48" s="158"/>
      <c r="N48" s="158"/>
      <c r="O48" s="158"/>
      <c r="R48" s="24"/>
      <c r="S48" s="24"/>
      <c r="T48" s="24"/>
    </row>
    <row r="49" spans="2:71" x14ac:dyDescent="0.2">
      <c r="B49" s="85" t="s">
        <v>1149</v>
      </c>
      <c r="C49" s="30" t="s">
        <v>1127</v>
      </c>
      <c r="D49" s="64"/>
      <c r="E49" s="52"/>
      <c r="F49" s="87"/>
      <c r="G49" s="87"/>
      <c r="H49" s="87"/>
      <c r="I49" s="87"/>
      <c r="J49" s="87"/>
      <c r="K49" s="87"/>
      <c r="L49" s="87"/>
      <c r="M49" s="87"/>
      <c r="N49" s="87"/>
      <c r="O49" s="57"/>
      <c r="P49" s="6" t="s">
        <v>993</v>
      </c>
      <c r="R49" s="24"/>
      <c r="S49" s="24"/>
      <c r="T49" s="24"/>
    </row>
    <row r="50" spans="2:71" x14ac:dyDescent="0.2">
      <c r="B50" s="85" t="s">
        <v>1150</v>
      </c>
      <c r="C50" s="30" t="s">
        <v>1128</v>
      </c>
      <c r="D50" s="64"/>
      <c r="E50" s="52"/>
      <c r="F50" s="87"/>
      <c r="G50" s="87"/>
      <c r="H50" s="87"/>
      <c r="I50" s="87"/>
      <c r="J50" s="87"/>
      <c r="K50" s="87"/>
      <c r="L50" s="87"/>
      <c r="M50" s="87"/>
      <c r="N50" s="87"/>
      <c r="O50" s="57"/>
      <c r="R50" s="24"/>
      <c r="S50" s="24"/>
      <c r="T50" s="24"/>
    </row>
    <row r="51" spans="2:71" x14ac:dyDescent="0.2">
      <c r="B51" s="85" t="s">
        <v>1151</v>
      </c>
      <c r="C51" s="30" t="s">
        <v>1129</v>
      </c>
      <c r="D51" s="64"/>
      <c r="E51" s="52"/>
      <c r="F51" s="87"/>
      <c r="G51" s="87"/>
      <c r="H51" s="87"/>
      <c r="I51" s="87"/>
      <c r="J51" s="87"/>
      <c r="K51" s="87"/>
      <c r="L51" s="87"/>
      <c r="M51" s="87"/>
      <c r="N51" s="87"/>
      <c r="O51" s="57"/>
      <c r="R51" s="100"/>
      <c r="S51" s="24"/>
      <c r="T51" s="24"/>
    </row>
    <row r="52" spans="2:71" s="128" customFormat="1" x14ac:dyDescent="0.2">
      <c r="B52" s="85" t="s">
        <v>1152</v>
      </c>
      <c r="C52" s="30" t="s">
        <v>1075</v>
      </c>
      <c r="D52" s="64"/>
      <c r="E52" s="52"/>
      <c r="F52" s="87"/>
      <c r="G52" s="87"/>
      <c r="H52" s="87"/>
      <c r="I52" s="87"/>
      <c r="J52" s="87"/>
      <c r="K52" s="55"/>
      <c r="L52" s="55"/>
      <c r="M52" s="55"/>
      <c r="N52" s="87"/>
      <c r="O52" s="57"/>
      <c r="R52" s="189"/>
      <c r="S52" s="190"/>
      <c r="T52" s="190"/>
    </row>
    <row r="53" spans="2:71" s="128" customFormat="1" x14ac:dyDescent="0.2">
      <c r="B53" s="198"/>
      <c r="C53" s="53"/>
      <c r="D53" s="53"/>
      <c r="E53" s="53"/>
      <c r="F53" s="53"/>
      <c r="G53" s="53"/>
      <c r="H53" s="53"/>
      <c r="I53" s="53"/>
      <c r="J53" s="53"/>
      <c r="K53" s="53"/>
      <c r="L53" s="53"/>
      <c r="M53" s="53"/>
      <c r="N53" s="205"/>
      <c r="O53" s="53"/>
      <c r="R53" s="189"/>
      <c r="S53" s="190"/>
      <c r="T53" s="190"/>
    </row>
    <row r="54" spans="2:71" s="128" customFormat="1" x14ac:dyDescent="0.2">
      <c r="B54" s="31" t="s">
        <v>631</v>
      </c>
      <c r="C54" s="54" t="s">
        <v>1161</v>
      </c>
      <c r="D54" s="53"/>
      <c r="E54" s="53"/>
      <c r="F54" s="53"/>
      <c r="G54" s="53"/>
      <c r="H54" s="53"/>
      <c r="I54" s="53"/>
      <c r="J54" s="53"/>
      <c r="K54" s="53"/>
      <c r="L54" s="53"/>
      <c r="M54" s="53"/>
      <c r="N54" s="205"/>
      <c r="O54" s="53"/>
      <c r="R54" s="189"/>
      <c r="S54" s="190"/>
      <c r="T54" s="190"/>
    </row>
    <row r="55" spans="2:71" x14ac:dyDescent="0.2">
      <c r="B55" s="31" t="s">
        <v>632</v>
      </c>
      <c r="C55" s="54" t="s">
        <v>1186</v>
      </c>
      <c r="D55" s="64"/>
      <c r="E55" s="53"/>
      <c r="F55" s="55"/>
      <c r="G55" s="55"/>
      <c r="H55" s="55"/>
      <c r="I55" s="55"/>
      <c r="J55" s="55"/>
      <c r="K55" s="55"/>
      <c r="L55" s="55"/>
      <c r="M55" s="55"/>
      <c r="N55" s="55"/>
      <c r="O55" s="57"/>
      <c r="R55" s="24"/>
      <c r="S55" s="24"/>
      <c r="T55" s="24"/>
    </row>
    <row r="56" spans="2:71" x14ac:dyDescent="0.2">
      <c r="B56" s="31" t="s">
        <v>633</v>
      </c>
      <c r="C56" s="54" t="s">
        <v>812</v>
      </c>
      <c r="D56" s="64"/>
      <c r="E56" s="52"/>
      <c r="F56" s="158"/>
      <c r="G56" s="158"/>
      <c r="H56" s="158"/>
      <c r="I56" s="158"/>
      <c r="J56" s="158"/>
      <c r="K56" s="158"/>
      <c r="L56" s="158"/>
      <c r="M56" s="158"/>
      <c r="N56" s="158"/>
      <c r="O56" s="158"/>
      <c r="R56" s="24"/>
      <c r="S56" s="24"/>
      <c r="T56" s="24"/>
    </row>
    <row r="57" spans="2:71" x14ac:dyDescent="0.2">
      <c r="B57" s="85" t="s">
        <v>1166</v>
      </c>
      <c r="C57" s="30" t="s">
        <v>790</v>
      </c>
      <c r="D57" s="64"/>
      <c r="E57" s="52"/>
      <c r="F57" s="55"/>
      <c r="G57" s="55"/>
      <c r="H57" s="55"/>
      <c r="I57" s="55"/>
      <c r="J57" s="55"/>
      <c r="K57" s="55"/>
      <c r="L57" s="55"/>
      <c r="M57" s="55"/>
      <c r="N57" s="55"/>
      <c r="O57" s="57"/>
      <c r="R57" s="24"/>
      <c r="S57" s="24"/>
      <c r="T57" s="24"/>
    </row>
    <row r="58" spans="2:71" x14ac:dyDescent="0.2">
      <c r="B58" s="85" t="s">
        <v>1167</v>
      </c>
      <c r="C58" s="30" t="s">
        <v>778</v>
      </c>
      <c r="D58" s="64"/>
      <c r="E58" s="52"/>
      <c r="F58" s="55"/>
      <c r="G58" s="55"/>
      <c r="H58" s="55"/>
      <c r="I58" s="55"/>
      <c r="J58" s="55"/>
      <c r="K58" s="55"/>
      <c r="L58" s="55"/>
      <c r="M58" s="55"/>
      <c r="N58" s="55"/>
      <c r="O58" s="57"/>
      <c r="R58" s="24"/>
      <c r="S58" s="24"/>
      <c r="T58" s="24"/>
    </row>
    <row r="59" spans="2:71" x14ac:dyDescent="0.2">
      <c r="B59" s="85" t="s">
        <v>1168</v>
      </c>
      <c r="C59" s="30" t="s">
        <v>776</v>
      </c>
      <c r="D59" s="64"/>
      <c r="E59" s="52"/>
      <c r="F59" s="55"/>
      <c r="G59" s="55"/>
      <c r="H59" s="55"/>
      <c r="I59" s="55"/>
      <c r="J59" s="55"/>
      <c r="K59" s="55"/>
      <c r="L59" s="55"/>
      <c r="M59" s="55"/>
      <c r="N59" s="55"/>
      <c r="O59" s="57"/>
      <c r="P59" s="6" t="s">
        <v>991</v>
      </c>
      <c r="R59" s="24"/>
      <c r="S59" s="24"/>
      <c r="T59" s="24"/>
      <c r="BM59" s="8"/>
      <c r="BN59" s="8"/>
    </row>
    <row r="60" spans="2:71" x14ac:dyDescent="0.2">
      <c r="B60" s="85" t="s">
        <v>1169</v>
      </c>
      <c r="C60" s="30" t="s">
        <v>777</v>
      </c>
      <c r="D60" s="64"/>
      <c r="E60" s="52"/>
      <c r="F60" s="55"/>
      <c r="G60" s="55"/>
      <c r="H60" s="55"/>
      <c r="I60" s="55"/>
      <c r="J60" s="55"/>
      <c r="K60" s="55"/>
      <c r="L60" s="55"/>
      <c r="M60" s="55"/>
      <c r="N60" s="55"/>
      <c r="O60" s="57"/>
      <c r="R60" s="24"/>
      <c r="S60" s="24"/>
      <c r="T60" s="24"/>
      <c r="BM60" s="8"/>
      <c r="BN60" s="8"/>
    </row>
    <row r="61" spans="2:71" x14ac:dyDescent="0.2">
      <c r="B61" s="85" t="s">
        <v>1170</v>
      </c>
      <c r="C61" s="30" t="s">
        <v>779</v>
      </c>
      <c r="D61" s="64"/>
      <c r="E61" s="52"/>
      <c r="F61" s="55"/>
      <c r="G61" s="55"/>
      <c r="H61" s="55"/>
      <c r="I61" s="55"/>
      <c r="J61" s="55"/>
      <c r="K61" s="55"/>
      <c r="L61" s="55"/>
      <c r="M61" s="55"/>
      <c r="N61" s="55"/>
      <c r="O61" s="57"/>
      <c r="R61" s="142"/>
      <c r="S61" s="24"/>
      <c r="T61" s="24"/>
      <c r="BM61" s="8"/>
      <c r="BN61" s="8"/>
    </row>
    <row r="62" spans="2:71" x14ac:dyDescent="0.2">
      <c r="B62" s="85" t="s">
        <v>1171</v>
      </c>
      <c r="C62" s="30" t="s">
        <v>1075</v>
      </c>
      <c r="D62" s="64"/>
      <c r="E62" s="52"/>
      <c r="F62" s="55"/>
      <c r="G62" s="55"/>
      <c r="H62" s="55"/>
      <c r="I62" s="55"/>
      <c r="J62" s="55"/>
      <c r="K62" s="55"/>
      <c r="L62" s="55"/>
      <c r="M62" s="55"/>
      <c r="N62" s="55"/>
      <c r="O62" s="57"/>
      <c r="R62" s="141"/>
      <c r="S62" s="24"/>
      <c r="T62" s="24"/>
      <c r="BM62" s="8"/>
      <c r="BN62" s="8"/>
    </row>
    <row r="63" spans="2:71" x14ac:dyDescent="0.2">
      <c r="B63" s="31" t="s">
        <v>1187</v>
      </c>
      <c r="C63" s="54" t="s">
        <v>1162</v>
      </c>
      <c r="D63" s="64"/>
      <c r="E63" s="52"/>
      <c r="F63" s="158"/>
      <c r="G63" s="158"/>
      <c r="H63" s="158"/>
      <c r="I63" s="158"/>
      <c r="J63" s="158"/>
      <c r="K63" s="158"/>
      <c r="L63" s="158"/>
      <c r="M63" s="158"/>
      <c r="N63" s="158"/>
      <c r="O63" s="158"/>
      <c r="R63" s="141"/>
      <c r="S63" s="24"/>
      <c r="T63" s="24"/>
      <c r="AX63" s="8"/>
      <c r="AY63" s="8"/>
      <c r="AZ63" s="8"/>
      <c r="BA63" s="8"/>
      <c r="BB63" s="8"/>
      <c r="BC63" s="8"/>
      <c r="BD63" s="8"/>
      <c r="BE63" s="8"/>
      <c r="BF63" s="8"/>
      <c r="BG63" s="8"/>
      <c r="BH63" s="8"/>
      <c r="BI63" s="8"/>
      <c r="BJ63" s="8"/>
      <c r="BK63" s="8"/>
      <c r="BL63" s="8"/>
      <c r="BM63" s="8"/>
      <c r="BN63" s="8"/>
      <c r="BO63" s="8"/>
      <c r="BP63" s="8"/>
      <c r="BQ63" s="8"/>
      <c r="BR63" s="8"/>
      <c r="BS63" s="8"/>
    </row>
    <row r="64" spans="2:71" x14ac:dyDescent="0.2">
      <c r="B64" s="85" t="s">
        <v>1188</v>
      </c>
      <c r="C64" s="30" t="s">
        <v>1163</v>
      </c>
      <c r="D64" s="64"/>
      <c r="E64" s="52"/>
      <c r="F64" s="55"/>
      <c r="G64" s="55"/>
      <c r="H64" s="55"/>
      <c r="I64" s="55"/>
      <c r="J64" s="55"/>
      <c r="K64" s="55"/>
      <c r="L64" s="55"/>
      <c r="M64" s="55"/>
      <c r="N64" s="55"/>
      <c r="O64" s="57"/>
      <c r="R64" s="141"/>
      <c r="S64" s="24"/>
      <c r="T64" s="24"/>
      <c r="BM64" s="8"/>
      <c r="BN64" s="8"/>
    </row>
    <row r="65" spans="2:20" x14ac:dyDescent="0.2">
      <c r="B65" s="85" t="s">
        <v>1189</v>
      </c>
      <c r="C65" s="30" t="s">
        <v>1164</v>
      </c>
      <c r="D65" s="64"/>
      <c r="E65" s="52"/>
      <c r="F65" s="55"/>
      <c r="G65" s="55"/>
      <c r="H65" s="55"/>
      <c r="I65" s="55"/>
      <c r="J65" s="55"/>
      <c r="K65" s="55"/>
      <c r="L65" s="55"/>
      <c r="M65" s="55"/>
      <c r="N65" s="55"/>
      <c r="O65" s="57"/>
      <c r="R65" s="24"/>
      <c r="S65" s="24"/>
      <c r="T65" s="24"/>
    </row>
    <row r="66" spans="2:20" x14ac:dyDescent="0.2">
      <c r="B66" s="85" t="s">
        <v>1190</v>
      </c>
      <c r="C66" s="30" t="s">
        <v>1165</v>
      </c>
      <c r="D66" s="64"/>
      <c r="E66" s="52"/>
      <c r="F66" s="55"/>
      <c r="G66" s="55"/>
      <c r="H66" s="55"/>
      <c r="I66" s="55"/>
      <c r="J66" s="55"/>
      <c r="K66" s="55"/>
      <c r="L66" s="55"/>
      <c r="M66" s="55"/>
      <c r="N66" s="55"/>
      <c r="O66" s="57"/>
      <c r="R66" s="24"/>
    </row>
    <row r="67" spans="2:20" x14ac:dyDescent="0.2">
      <c r="B67" s="198"/>
      <c r="C67" s="52"/>
      <c r="D67" s="52"/>
      <c r="E67" s="52"/>
      <c r="F67" s="52"/>
      <c r="G67" s="52"/>
      <c r="H67" s="52"/>
      <c r="I67" s="52"/>
      <c r="J67" s="52"/>
      <c r="K67" s="52"/>
      <c r="L67" s="52"/>
      <c r="M67" s="52"/>
      <c r="N67" s="204"/>
      <c r="O67" s="52"/>
      <c r="R67" s="100"/>
    </row>
    <row r="68" spans="2:20" x14ac:dyDescent="0.2">
      <c r="B68" s="31" t="s">
        <v>1109</v>
      </c>
      <c r="C68" s="54" t="s">
        <v>1094</v>
      </c>
      <c r="D68" s="52"/>
      <c r="E68" s="52"/>
      <c r="F68" s="52"/>
      <c r="G68" s="52"/>
      <c r="H68" s="52"/>
      <c r="I68" s="52"/>
      <c r="J68" s="52"/>
      <c r="K68" s="52"/>
      <c r="L68" s="52"/>
      <c r="M68" s="52"/>
      <c r="N68" s="52"/>
      <c r="O68" s="52"/>
      <c r="R68" s="24"/>
    </row>
    <row r="69" spans="2:20" x14ac:dyDescent="0.2">
      <c r="B69" s="31" t="s">
        <v>634</v>
      </c>
      <c r="C69" s="54" t="s">
        <v>1093</v>
      </c>
      <c r="D69" s="64"/>
      <c r="E69" s="52"/>
      <c r="F69" s="158"/>
      <c r="G69" s="158"/>
      <c r="H69" s="158"/>
      <c r="I69" s="158"/>
      <c r="J69" s="158"/>
      <c r="K69" s="158"/>
      <c r="L69" s="158"/>
      <c r="M69" s="158"/>
      <c r="N69" s="158"/>
      <c r="O69" s="158"/>
      <c r="R69" s="24"/>
    </row>
    <row r="70" spans="2:20" x14ac:dyDescent="0.2">
      <c r="B70" s="85" t="s">
        <v>1153</v>
      </c>
      <c r="C70" s="30" t="s">
        <v>1096</v>
      </c>
      <c r="D70" s="64"/>
      <c r="E70" s="52"/>
      <c r="F70" s="87"/>
      <c r="G70" s="87"/>
      <c r="H70" s="87"/>
      <c r="I70" s="87"/>
      <c r="J70" s="87"/>
      <c r="K70" s="87"/>
      <c r="L70" s="87"/>
      <c r="M70" s="87"/>
      <c r="N70" s="87"/>
      <c r="O70" s="159"/>
      <c r="R70" s="24"/>
    </row>
    <row r="71" spans="2:20" x14ac:dyDescent="0.2">
      <c r="B71" s="85" t="s">
        <v>1154</v>
      </c>
      <c r="C71" s="30" t="s">
        <v>1110</v>
      </c>
      <c r="D71" s="64"/>
      <c r="E71" s="52"/>
      <c r="F71" s="87"/>
      <c r="G71" s="87"/>
      <c r="H71" s="87"/>
      <c r="I71" s="87"/>
      <c r="J71" s="87"/>
      <c r="K71" s="87"/>
      <c r="L71" s="87"/>
      <c r="M71" s="87"/>
      <c r="N71" s="87"/>
      <c r="O71" s="159"/>
      <c r="R71" s="24"/>
    </row>
    <row r="72" spans="2:20" x14ac:dyDescent="0.2">
      <c r="B72" s="31" t="s">
        <v>635</v>
      </c>
      <c r="C72" s="54" t="s">
        <v>1095</v>
      </c>
      <c r="D72" s="64"/>
      <c r="E72" s="52"/>
      <c r="F72" s="158"/>
      <c r="G72" s="158"/>
      <c r="H72" s="158"/>
      <c r="I72" s="158"/>
      <c r="J72" s="158"/>
      <c r="K72" s="158"/>
      <c r="L72" s="158"/>
      <c r="M72" s="158"/>
      <c r="N72" s="158"/>
      <c r="O72" s="158"/>
      <c r="R72" s="24"/>
    </row>
    <row r="73" spans="2:20" x14ac:dyDescent="0.2">
      <c r="B73" s="85" t="s">
        <v>1155</v>
      </c>
      <c r="C73" s="30" t="s">
        <v>1130</v>
      </c>
      <c r="D73" s="64"/>
      <c r="E73" s="52"/>
      <c r="F73" s="87"/>
      <c r="G73" s="87"/>
      <c r="H73" s="87"/>
      <c r="I73" s="87"/>
      <c r="J73" s="87"/>
      <c r="K73" s="87"/>
      <c r="L73" s="87"/>
      <c r="M73" s="87"/>
      <c r="N73" s="87"/>
      <c r="O73" s="159"/>
      <c r="R73" s="24"/>
    </row>
    <row r="74" spans="2:20" x14ac:dyDescent="0.2">
      <c r="B74" s="85" t="s">
        <v>1156</v>
      </c>
      <c r="C74" s="30" t="s">
        <v>1077</v>
      </c>
      <c r="D74" s="64"/>
      <c r="E74" s="52"/>
      <c r="F74" s="87"/>
      <c r="G74" s="87"/>
      <c r="H74" s="87"/>
      <c r="I74" s="87"/>
      <c r="J74" s="87"/>
      <c r="K74" s="87"/>
      <c r="L74" s="87"/>
      <c r="M74" s="87"/>
      <c r="N74" s="87"/>
      <c r="O74" s="159"/>
      <c r="R74" s="46"/>
    </row>
    <row r="75" spans="2:20" x14ac:dyDescent="0.2">
      <c r="B75" s="85" t="s">
        <v>1157</v>
      </c>
      <c r="C75" s="30" t="s">
        <v>1111</v>
      </c>
      <c r="D75" s="64"/>
      <c r="E75" s="52"/>
      <c r="F75" s="87"/>
      <c r="G75" s="87"/>
      <c r="H75" s="87"/>
      <c r="I75" s="87"/>
      <c r="J75" s="87"/>
      <c r="K75" s="87"/>
      <c r="L75" s="87"/>
      <c r="M75" s="87"/>
      <c r="N75" s="87"/>
      <c r="O75" s="159"/>
      <c r="R75" s="46"/>
    </row>
    <row r="76" spans="2:20" x14ac:dyDescent="0.2">
      <c r="B76" s="198"/>
      <c r="C76" s="53"/>
      <c r="D76" s="53"/>
      <c r="E76" s="53"/>
      <c r="F76" s="53"/>
      <c r="G76" s="53"/>
      <c r="H76" s="53"/>
      <c r="I76" s="53"/>
      <c r="J76" s="53"/>
      <c r="K76" s="53"/>
      <c r="L76" s="53"/>
      <c r="M76" s="53"/>
      <c r="N76" s="205"/>
      <c r="O76" s="53"/>
      <c r="R76" s="46"/>
    </row>
    <row r="77" spans="2:20" x14ac:dyDescent="0.2">
      <c r="B77" s="31" t="s">
        <v>636</v>
      </c>
      <c r="C77" s="54" t="s">
        <v>1080</v>
      </c>
      <c r="D77" s="53"/>
      <c r="E77" s="52"/>
      <c r="F77" s="53"/>
      <c r="G77" s="53"/>
      <c r="H77" s="53"/>
      <c r="I77" s="53"/>
      <c r="J77" s="53"/>
      <c r="K77" s="53"/>
      <c r="L77" s="53"/>
      <c r="M77" s="53"/>
      <c r="N77" s="53"/>
      <c r="O77" s="53"/>
      <c r="R77" s="102"/>
    </row>
    <row r="78" spans="2:20" x14ac:dyDescent="0.2">
      <c r="B78" s="31" t="s">
        <v>1097</v>
      </c>
      <c r="C78" s="54" t="s">
        <v>1131</v>
      </c>
      <c r="D78" s="64"/>
      <c r="E78" s="52"/>
      <c r="F78" s="87"/>
      <c r="G78" s="87"/>
      <c r="H78" s="87"/>
      <c r="I78" s="87"/>
      <c r="J78" s="87"/>
      <c r="K78" s="55"/>
      <c r="L78" s="55"/>
      <c r="M78" s="55"/>
      <c r="N78" s="87"/>
      <c r="O78" s="57"/>
      <c r="R78" s="46"/>
    </row>
    <row r="79" spans="2:20" x14ac:dyDescent="0.2">
      <c r="B79" s="31" t="s">
        <v>1098</v>
      </c>
      <c r="C79" s="54" t="s">
        <v>1079</v>
      </c>
      <c r="D79" s="64"/>
      <c r="E79" s="52"/>
      <c r="F79" s="158"/>
      <c r="G79" s="158"/>
      <c r="H79" s="158"/>
      <c r="I79" s="158"/>
      <c r="J79" s="158"/>
      <c r="K79" s="158"/>
      <c r="L79" s="158"/>
      <c r="M79" s="158"/>
      <c r="N79" s="158"/>
      <c r="O79" s="158"/>
      <c r="Q79" s="6" t="s">
        <v>992</v>
      </c>
      <c r="R79" s="46"/>
    </row>
    <row r="80" spans="2:20" x14ac:dyDescent="0.2">
      <c r="B80" s="85" t="s">
        <v>1158</v>
      </c>
      <c r="C80" s="30" t="s">
        <v>1090</v>
      </c>
      <c r="D80" s="64"/>
      <c r="E80" s="52"/>
      <c r="F80" s="87"/>
      <c r="G80" s="87"/>
      <c r="H80" s="87"/>
      <c r="I80" s="87"/>
      <c r="J80" s="87"/>
      <c r="K80" s="55"/>
      <c r="L80" s="55"/>
      <c r="M80" s="55"/>
      <c r="N80" s="87"/>
      <c r="O80" s="57"/>
      <c r="R80" s="46"/>
    </row>
    <row r="81" spans="2:18" x14ac:dyDescent="0.2">
      <c r="B81" s="85" t="s">
        <v>1159</v>
      </c>
      <c r="C81" s="30" t="s">
        <v>1091</v>
      </c>
      <c r="D81" s="64"/>
      <c r="E81" s="52"/>
      <c r="F81" s="87"/>
      <c r="G81" s="87"/>
      <c r="H81" s="87"/>
      <c r="I81" s="87"/>
      <c r="J81" s="87"/>
      <c r="K81" s="87"/>
      <c r="L81" s="55"/>
      <c r="M81" s="55"/>
      <c r="N81" s="87"/>
      <c r="O81" s="57"/>
      <c r="R81" s="46"/>
    </row>
    <row r="82" spans="2:18" x14ac:dyDescent="0.2">
      <c r="B82" s="85" t="s">
        <v>1160</v>
      </c>
      <c r="C82" s="30" t="s">
        <v>1185</v>
      </c>
      <c r="D82" s="64"/>
      <c r="E82" s="52"/>
      <c r="F82" s="87"/>
      <c r="G82" s="87"/>
      <c r="H82" s="87"/>
      <c r="I82" s="87"/>
      <c r="J82" s="87"/>
      <c r="K82" s="55"/>
      <c r="L82" s="55"/>
      <c r="M82" s="55"/>
      <c r="N82" s="87"/>
      <c r="O82" s="57"/>
      <c r="R82" s="46"/>
    </row>
    <row r="83" spans="2:18" x14ac:dyDescent="0.2">
      <c r="B83" s="198"/>
      <c r="C83" s="53"/>
      <c r="D83" s="53"/>
      <c r="E83" s="53"/>
      <c r="F83" s="53"/>
      <c r="G83" s="53"/>
      <c r="H83" s="53"/>
      <c r="I83" s="53"/>
      <c r="J83" s="53"/>
      <c r="K83" s="53"/>
      <c r="L83" s="53"/>
      <c r="M83" s="53"/>
      <c r="N83" s="205"/>
      <c r="O83" s="53"/>
      <c r="R83" s="46"/>
    </row>
    <row r="84" spans="2:18" x14ac:dyDescent="0.2">
      <c r="B84" s="31" t="s">
        <v>792</v>
      </c>
      <c r="C84" s="54" t="s">
        <v>1191</v>
      </c>
      <c r="D84" s="53"/>
      <c r="E84" s="52"/>
      <c r="F84" s="53"/>
      <c r="G84" s="53"/>
      <c r="H84" s="53"/>
      <c r="I84" s="53"/>
      <c r="J84" s="53"/>
      <c r="K84" s="53"/>
      <c r="L84" s="53"/>
      <c r="M84" s="53"/>
      <c r="N84" s="53"/>
      <c r="O84" s="53"/>
      <c r="R84" s="46"/>
    </row>
    <row r="85" spans="2:18" x14ac:dyDescent="0.2">
      <c r="B85" s="85" t="s">
        <v>793</v>
      </c>
      <c r="C85" s="30" t="s">
        <v>1192</v>
      </c>
      <c r="D85" s="64"/>
      <c r="E85" s="52"/>
      <c r="F85" s="87"/>
      <c r="G85" s="87"/>
      <c r="H85" s="87"/>
      <c r="I85" s="87"/>
      <c r="J85" s="87"/>
      <c r="K85" s="87"/>
      <c r="L85" s="87"/>
      <c r="M85" s="87"/>
      <c r="N85" s="87"/>
      <c r="O85" s="57"/>
      <c r="R85" s="102"/>
    </row>
    <row r="86" spans="2:18" x14ac:dyDescent="0.2">
      <c r="B86" s="85" t="s">
        <v>794</v>
      </c>
      <c r="C86" s="30" t="s">
        <v>1193</v>
      </c>
      <c r="D86" s="64"/>
      <c r="E86" s="52"/>
      <c r="F86" s="87"/>
      <c r="G86" s="87"/>
      <c r="H86" s="87"/>
      <c r="I86" s="87"/>
      <c r="J86" s="87"/>
      <c r="K86" s="87"/>
      <c r="L86" s="87"/>
      <c r="M86" s="87"/>
      <c r="N86" s="87"/>
      <c r="O86" s="57"/>
      <c r="R86" s="102"/>
    </row>
    <row r="87" spans="2:18" x14ac:dyDescent="0.2">
      <c r="B87" s="198"/>
      <c r="C87" s="53"/>
      <c r="D87" s="53"/>
      <c r="E87" s="53"/>
      <c r="F87" s="53"/>
      <c r="G87" s="53"/>
      <c r="H87" s="53"/>
      <c r="I87" s="53"/>
      <c r="J87" s="53"/>
      <c r="K87" s="53"/>
      <c r="L87" s="53"/>
      <c r="M87" s="53"/>
      <c r="N87" s="205"/>
      <c r="O87" s="53"/>
      <c r="R87" s="102"/>
    </row>
    <row r="88" spans="2:18" x14ac:dyDescent="0.2">
      <c r="B88" s="31" t="s">
        <v>792</v>
      </c>
      <c r="C88" s="54" t="s">
        <v>789</v>
      </c>
      <c r="D88" s="53"/>
      <c r="E88" s="52"/>
      <c r="F88" s="53"/>
      <c r="G88" s="53"/>
      <c r="H88" s="53"/>
      <c r="I88" s="53"/>
      <c r="J88" s="53"/>
      <c r="K88" s="53"/>
      <c r="L88" s="53"/>
      <c r="M88" s="53"/>
      <c r="N88" s="205"/>
      <c r="O88" s="53"/>
      <c r="R88" s="102"/>
    </row>
    <row r="89" spans="2:18" x14ac:dyDescent="0.2">
      <c r="B89" s="85" t="s">
        <v>793</v>
      </c>
      <c r="C89" s="30" t="s">
        <v>1081</v>
      </c>
      <c r="D89" s="64"/>
      <c r="E89" s="52"/>
      <c r="F89" s="55"/>
      <c r="G89" s="55"/>
      <c r="H89" s="55"/>
      <c r="I89" s="55"/>
      <c r="J89" s="55"/>
      <c r="K89" s="55"/>
      <c r="L89" s="55"/>
      <c r="M89" s="55"/>
      <c r="N89" s="87"/>
      <c r="O89" s="159"/>
      <c r="R89" s="102"/>
    </row>
    <row r="90" spans="2:18" x14ac:dyDescent="0.2">
      <c r="B90" s="85" t="s">
        <v>794</v>
      </c>
      <c r="C90" s="30" t="s">
        <v>1082</v>
      </c>
      <c r="D90" s="64"/>
      <c r="E90" s="52"/>
      <c r="F90" s="55"/>
      <c r="G90" s="55"/>
      <c r="H90" s="55"/>
      <c r="I90" s="55"/>
      <c r="J90" s="55"/>
      <c r="K90" s="55"/>
      <c r="L90" s="55"/>
      <c r="M90" s="55"/>
      <c r="N90" s="87"/>
      <c r="O90" s="159"/>
    </row>
    <row r="91" spans="2:18" x14ac:dyDescent="0.2">
      <c r="B91" s="85" t="s">
        <v>795</v>
      </c>
      <c r="C91" s="30" t="s">
        <v>1083</v>
      </c>
      <c r="D91" s="64"/>
      <c r="E91" s="103"/>
      <c r="F91" s="55"/>
      <c r="G91" s="55"/>
      <c r="H91" s="55"/>
      <c r="I91" s="55"/>
      <c r="J91" s="55"/>
      <c r="K91" s="55"/>
      <c r="L91" s="55"/>
      <c r="M91" s="55"/>
      <c r="N91" s="87"/>
      <c r="O91" s="159"/>
    </row>
    <row r="92" spans="2:18" x14ac:dyDescent="0.2">
      <c r="B92" s="85" t="s">
        <v>814</v>
      </c>
      <c r="C92" s="30" t="s">
        <v>1084</v>
      </c>
      <c r="D92" s="64"/>
      <c r="E92" s="103"/>
      <c r="F92" s="55"/>
      <c r="G92" s="55"/>
      <c r="H92" s="55"/>
      <c r="I92" s="55"/>
      <c r="J92" s="55"/>
      <c r="K92" s="55"/>
      <c r="L92" s="55"/>
      <c r="M92" s="55"/>
      <c r="N92" s="87"/>
      <c r="O92" s="159"/>
      <c r="R92" s="99"/>
    </row>
    <row r="93" spans="2:18" x14ac:dyDescent="0.2">
      <c r="B93" s="85" t="s">
        <v>815</v>
      </c>
      <c r="C93" s="30" t="s">
        <v>1132</v>
      </c>
      <c r="D93" s="64"/>
      <c r="E93" s="103"/>
      <c r="F93" s="87"/>
      <c r="G93" s="87"/>
      <c r="H93" s="87"/>
      <c r="I93" s="87"/>
      <c r="J93" s="87"/>
      <c r="K93" s="87"/>
      <c r="L93" s="87"/>
      <c r="M93" s="87"/>
      <c r="N93" s="87"/>
      <c r="O93" s="159"/>
    </row>
    <row r="94" spans="2:18" x14ac:dyDescent="0.2">
      <c r="B94" s="198"/>
      <c r="C94" s="53"/>
      <c r="D94" s="53"/>
      <c r="E94" s="52"/>
      <c r="F94" s="53"/>
      <c r="G94" s="53"/>
      <c r="H94" s="53"/>
      <c r="I94" s="53"/>
      <c r="J94" s="53"/>
      <c r="K94" s="53"/>
      <c r="L94" s="53"/>
      <c r="M94" s="53"/>
      <c r="N94" s="205"/>
      <c r="O94" s="53"/>
    </row>
    <row r="95" spans="2:18" x14ac:dyDescent="0.2">
      <c r="B95" s="31" t="s">
        <v>154</v>
      </c>
      <c r="C95" s="13" t="s">
        <v>47</v>
      </c>
      <c r="D95" s="53"/>
      <c r="E95" s="52"/>
      <c r="F95" s="53"/>
      <c r="G95" s="53"/>
      <c r="H95" s="53"/>
      <c r="I95" s="53"/>
      <c r="J95" s="53"/>
      <c r="K95" s="53"/>
      <c r="L95" s="53"/>
      <c r="M95" s="53"/>
      <c r="N95" s="205"/>
      <c r="O95" s="53"/>
      <c r="P95" s="6">
        <f>43.85-8.2</f>
        <v>35.650000000000006</v>
      </c>
    </row>
    <row r="96" spans="2:18" x14ac:dyDescent="0.2">
      <c r="B96" s="31" t="s">
        <v>155</v>
      </c>
      <c r="C96" s="54" t="s">
        <v>430</v>
      </c>
      <c r="D96" s="64"/>
      <c r="E96" s="52"/>
      <c r="F96" s="158"/>
      <c r="G96" s="158"/>
      <c r="H96" s="158"/>
      <c r="I96" s="158"/>
      <c r="J96" s="158"/>
      <c r="K96" s="158"/>
      <c r="L96" s="158"/>
      <c r="M96" s="158"/>
      <c r="N96" s="158"/>
      <c r="O96" s="158"/>
    </row>
    <row r="97" spans="2:28" x14ac:dyDescent="0.2">
      <c r="B97" s="85" t="s">
        <v>156</v>
      </c>
      <c r="C97" s="30" t="s">
        <v>1092</v>
      </c>
      <c r="D97" s="64"/>
      <c r="E97" s="52"/>
      <c r="F97" s="55"/>
      <c r="G97" s="55"/>
      <c r="H97" s="55"/>
      <c r="I97" s="55"/>
      <c r="J97" s="55"/>
      <c r="K97" s="55"/>
      <c r="L97" s="55"/>
      <c r="M97" s="55"/>
      <c r="N97" s="87"/>
      <c r="O97" s="159"/>
    </row>
    <row r="98" spans="2:28" x14ac:dyDescent="0.2">
      <c r="B98" s="85" t="s">
        <v>388</v>
      </c>
      <c r="C98" s="30" t="s">
        <v>813</v>
      </c>
      <c r="D98" s="64"/>
      <c r="E98" s="52"/>
      <c r="F98" s="55"/>
      <c r="G98" s="55"/>
      <c r="H98" s="55"/>
      <c r="I98" s="55"/>
      <c r="J98" s="55"/>
      <c r="K98" s="55"/>
      <c r="L98" s="55"/>
      <c r="M98" s="55"/>
      <c r="N98" s="87"/>
      <c r="O98" s="159"/>
      <c r="P98" s="107">
        <f>87.7/2</f>
        <v>43.85</v>
      </c>
    </row>
    <row r="99" spans="2:28" x14ac:dyDescent="0.2">
      <c r="B99" s="85" t="s">
        <v>157</v>
      </c>
      <c r="C99" s="30" t="s">
        <v>980</v>
      </c>
      <c r="D99" s="64"/>
      <c r="E99" s="52"/>
      <c r="F99" s="55"/>
      <c r="G99" s="55"/>
      <c r="H99" s="55"/>
      <c r="I99" s="55"/>
      <c r="J99" s="55"/>
      <c r="K99" s="55"/>
      <c r="L99" s="55"/>
      <c r="M99" s="55"/>
      <c r="N99" s="87"/>
      <c r="O99" s="159"/>
      <c r="P99" s="107"/>
      <c r="R99" s="99"/>
    </row>
    <row r="100" spans="2:28" x14ac:dyDescent="0.2">
      <c r="B100" s="85" t="s">
        <v>637</v>
      </c>
      <c r="C100" s="30" t="s">
        <v>48</v>
      </c>
      <c r="D100" s="64"/>
      <c r="E100" s="52"/>
      <c r="F100" s="55"/>
      <c r="G100" s="55"/>
      <c r="H100" s="55"/>
      <c r="I100" s="55"/>
      <c r="J100" s="55"/>
      <c r="K100" s="55"/>
      <c r="L100" s="55"/>
      <c r="M100" s="55"/>
      <c r="N100" s="87"/>
      <c r="O100" s="159"/>
      <c r="P100" s="107"/>
      <c r="R100" s="99"/>
    </row>
    <row r="101" spans="2:28" x14ac:dyDescent="0.2">
      <c r="B101" s="85" t="s">
        <v>433</v>
      </c>
      <c r="C101" s="30" t="s">
        <v>1112</v>
      </c>
      <c r="D101" s="64"/>
      <c r="E101" s="52"/>
      <c r="F101" s="55"/>
      <c r="G101" s="55"/>
      <c r="H101" s="55"/>
      <c r="I101" s="55"/>
      <c r="J101" s="55"/>
      <c r="K101" s="55"/>
      <c r="L101" s="55"/>
      <c r="M101" s="55"/>
      <c r="N101" s="87"/>
      <c r="O101" s="159"/>
      <c r="P101" s="107">
        <f>88.5/2</f>
        <v>44.25</v>
      </c>
      <c r="R101" s="99"/>
    </row>
    <row r="102" spans="2:28" x14ac:dyDescent="0.2">
      <c r="B102" s="85" t="s">
        <v>434</v>
      </c>
      <c r="C102" s="30" t="s">
        <v>1113</v>
      </c>
      <c r="D102" s="64"/>
      <c r="E102" s="52"/>
      <c r="F102" s="87"/>
      <c r="G102" s="87"/>
      <c r="H102" s="87"/>
      <c r="I102" s="87"/>
      <c r="J102" s="87"/>
      <c r="K102" s="87"/>
      <c r="L102" s="87"/>
      <c r="M102" s="87"/>
      <c r="N102" s="87"/>
      <c r="O102" s="159"/>
      <c r="P102" s="107">
        <f>P101-User_Operation_Input!H59</f>
        <v>44.25</v>
      </c>
      <c r="R102" s="99"/>
    </row>
    <row r="103" spans="2:28" x14ac:dyDescent="0.2">
      <c r="B103" s="85" t="s">
        <v>786</v>
      </c>
      <c r="C103" s="30" t="s">
        <v>796</v>
      </c>
      <c r="D103" s="64"/>
      <c r="E103" s="52"/>
      <c r="F103" s="55"/>
      <c r="G103" s="55"/>
      <c r="H103" s="55"/>
      <c r="I103" s="55"/>
      <c r="J103" s="55"/>
      <c r="K103" s="55"/>
      <c r="L103" s="55"/>
      <c r="M103" s="55"/>
      <c r="N103" s="87"/>
      <c r="O103" s="159"/>
      <c r="R103" s="99"/>
    </row>
    <row r="104" spans="2:28" x14ac:dyDescent="0.2">
      <c r="B104" s="85" t="s">
        <v>797</v>
      </c>
      <c r="C104" s="30" t="s">
        <v>34</v>
      </c>
      <c r="D104" s="64"/>
      <c r="E104" s="52"/>
      <c r="F104" s="55"/>
      <c r="G104" s="55"/>
      <c r="H104" s="55"/>
      <c r="I104" s="55"/>
      <c r="J104" s="55"/>
      <c r="K104" s="55"/>
      <c r="L104" s="55"/>
      <c r="M104" s="55"/>
      <c r="N104" s="55"/>
      <c r="O104" s="159"/>
    </row>
    <row r="105" spans="2:28" x14ac:dyDescent="0.2">
      <c r="B105" s="85" t="s">
        <v>807</v>
      </c>
      <c r="C105" s="30" t="s">
        <v>1199</v>
      </c>
      <c r="D105" s="64"/>
      <c r="E105" s="52"/>
      <c r="F105" s="55"/>
      <c r="G105" s="55"/>
      <c r="H105" s="55"/>
      <c r="I105" s="55"/>
      <c r="J105" s="55"/>
      <c r="K105" s="55"/>
      <c r="L105" s="55"/>
      <c r="M105" s="55"/>
      <c r="N105" s="55"/>
      <c r="O105" s="159"/>
      <c r="Q105" s="127" t="s">
        <v>1030</v>
      </c>
      <c r="R105" s="64"/>
      <c r="S105" s="52"/>
      <c r="T105" s="55" t="e">
        <f>G124*F46/G123</f>
        <v>#DIV/0!</v>
      </c>
      <c r="U105" s="55" t="e">
        <f t="shared" ref="U105:Y105" si="0">H124*G46/H123</f>
        <v>#DIV/0!</v>
      </c>
      <c r="V105" s="55" t="e">
        <f t="shared" si="0"/>
        <v>#DIV/0!</v>
      </c>
      <c r="W105" s="55" t="e">
        <f t="shared" si="0"/>
        <v>#DIV/0!</v>
      </c>
      <c r="X105" s="55" t="e">
        <f t="shared" si="0"/>
        <v>#DIV/0!</v>
      </c>
      <c r="Y105" s="55" t="e">
        <f t="shared" si="0"/>
        <v>#DIV/0!</v>
      </c>
      <c r="Z105" s="55" t="e">
        <f t="shared" ref="Z105" si="1">M124*L46/M123</f>
        <v>#DIV/0!</v>
      </c>
      <c r="AA105" s="55" t="e">
        <f t="shared" ref="AA105" si="2">N124*M46/N123</f>
        <v>#DIV/0!</v>
      </c>
      <c r="AB105" s="55" t="e">
        <f>F124*N46/F123</f>
        <v>#DIV/0!</v>
      </c>
    </row>
    <row r="106" spans="2:28" x14ac:dyDescent="0.2">
      <c r="B106" s="85" t="s">
        <v>956</v>
      </c>
      <c r="C106" s="30" t="s">
        <v>973</v>
      </c>
      <c r="D106" s="64"/>
      <c r="E106" s="52"/>
      <c r="F106" s="55"/>
      <c r="G106" s="55"/>
      <c r="H106" s="55"/>
      <c r="I106" s="55"/>
      <c r="J106" s="55"/>
      <c r="K106" s="55"/>
      <c r="L106" s="55"/>
      <c r="M106" s="55"/>
      <c r="N106" s="87"/>
      <c r="O106" s="159"/>
      <c r="Q106" s="127" t="s">
        <v>1031</v>
      </c>
      <c r="R106" s="64"/>
      <c r="S106" s="52"/>
      <c r="T106" s="55">
        <v>247</v>
      </c>
      <c r="U106" s="55">
        <v>170</v>
      </c>
      <c r="V106" s="55">
        <v>170</v>
      </c>
      <c r="W106" s="55">
        <v>112.6</v>
      </c>
      <c r="X106" s="55">
        <v>112.6</v>
      </c>
      <c r="Y106" s="55">
        <v>697.3</v>
      </c>
      <c r="Z106" s="55">
        <v>611</v>
      </c>
      <c r="AA106" s="55">
        <v>916.4</v>
      </c>
      <c r="AB106" s="87">
        <v>834</v>
      </c>
    </row>
    <row r="107" spans="2:28" x14ac:dyDescent="0.2">
      <c r="B107" s="198"/>
      <c r="C107" s="53"/>
      <c r="D107" s="53"/>
      <c r="E107" s="52"/>
      <c r="F107" s="53"/>
      <c r="G107" s="53"/>
      <c r="H107" s="53"/>
      <c r="I107" s="53"/>
      <c r="J107" s="53"/>
      <c r="K107" s="53"/>
      <c r="L107" s="53"/>
      <c r="M107" s="53"/>
      <c r="N107" s="205"/>
      <c r="O107" s="53"/>
      <c r="P107" s="107"/>
      <c r="Q107" s="127" t="s">
        <v>1032</v>
      </c>
      <c r="R107" s="64"/>
      <c r="S107" s="52"/>
      <c r="T107" s="55" t="e">
        <f>G125*F46/G123</f>
        <v>#DIV/0!</v>
      </c>
      <c r="U107" s="55" t="e">
        <f t="shared" ref="U107:X107" si="3">H125*G46/H123</f>
        <v>#DIV/0!</v>
      </c>
      <c r="V107" s="55" t="e">
        <f t="shared" si="3"/>
        <v>#DIV/0!</v>
      </c>
      <c r="W107" s="55" t="e">
        <f t="shared" si="3"/>
        <v>#DIV/0!</v>
      </c>
      <c r="X107" s="55" t="e">
        <f t="shared" si="3"/>
        <v>#DIV/0!</v>
      </c>
      <c r="Y107" s="55" t="e">
        <f t="shared" ref="Y107" si="4">L125*K46/L123</f>
        <v>#DIV/0!</v>
      </c>
      <c r="Z107" s="55" t="e">
        <f t="shared" ref="Z107" si="5">M125*L46/M123</f>
        <v>#DIV/0!</v>
      </c>
      <c r="AA107" s="55" t="e">
        <f t="shared" ref="AA107" si="6">N125*M46/N123</f>
        <v>#DIV/0!</v>
      </c>
      <c r="AB107" s="55" t="e">
        <f>F125*N46/F123</f>
        <v>#DIV/0!</v>
      </c>
    </row>
    <row r="108" spans="2:28" x14ac:dyDescent="0.2">
      <c r="B108" s="31" t="s">
        <v>158</v>
      </c>
      <c r="C108" s="54" t="s">
        <v>1099</v>
      </c>
      <c r="D108" s="64"/>
      <c r="E108" s="52"/>
      <c r="F108" s="158"/>
      <c r="G108" s="158"/>
      <c r="H108" s="158"/>
      <c r="I108" s="158"/>
      <c r="J108" s="158"/>
      <c r="K108" s="158"/>
      <c r="L108" s="158"/>
      <c r="M108" s="158"/>
      <c r="N108" s="158"/>
      <c r="O108" s="158"/>
      <c r="Q108" s="127" t="s">
        <v>1033</v>
      </c>
      <c r="R108" s="64"/>
      <c r="S108" s="52"/>
      <c r="T108" s="55">
        <v>80.7</v>
      </c>
      <c r="U108" s="55">
        <v>75.3</v>
      </c>
      <c r="V108" s="55">
        <v>75.3</v>
      </c>
      <c r="W108" s="55">
        <v>81.599999999999994</v>
      </c>
      <c r="X108" s="55">
        <v>81.599999999999994</v>
      </c>
      <c r="Y108" s="55">
        <v>260.8</v>
      </c>
      <c r="Z108" s="55">
        <v>228.6</v>
      </c>
      <c r="AA108" s="55">
        <v>342.8</v>
      </c>
      <c r="AB108" s="87">
        <v>312</v>
      </c>
    </row>
    <row r="109" spans="2:28" x14ac:dyDescent="0.2">
      <c r="B109" s="85" t="s">
        <v>159</v>
      </c>
      <c r="C109" s="30" t="s">
        <v>1100</v>
      </c>
      <c r="D109" s="64"/>
      <c r="E109" s="52"/>
      <c r="F109" s="87"/>
      <c r="G109" s="87"/>
      <c r="H109" s="87"/>
      <c r="I109" s="87"/>
      <c r="J109" s="87"/>
      <c r="K109" s="87"/>
      <c r="L109" s="87"/>
      <c r="M109" s="87"/>
      <c r="N109" s="87"/>
      <c r="O109" s="159"/>
    </row>
    <row r="110" spans="2:28" x14ac:dyDescent="0.2">
      <c r="B110" s="85" t="s">
        <v>160</v>
      </c>
      <c r="C110" s="30" t="s">
        <v>1101</v>
      </c>
      <c r="D110" s="64"/>
      <c r="E110" s="52"/>
      <c r="F110" s="87"/>
      <c r="G110" s="87"/>
      <c r="H110" s="87"/>
      <c r="I110" s="87"/>
      <c r="J110" s="87"/>
      <c r="K110" s="87"/>
      <c r="L110" s="87"/>
      <c r="M110" s="87"/>
      <c r="N110" s="87"/>
      <c r="O110" s="159"/>
      <c r="P110" s="106"/>
    </row>
    <row r="111" spans="2:28" x14ac:dyDescent="0.2">
      <c r="B111" s="85" t="s">
        <v>1102</v>
      </c>
      <c r="C111" s="30" t="s">
        <v>1194</v>
      </c>
      <c r="D111" s="64"/>
      <c r="E111" s="52"/>
      <c r="F111" s="87"/>
      <c r="G111" s="87"/>
      <c r="H111" s="87"/>
      <c r="I111" s="87"/>
      <c r="J111" s="87"/>
      <c r="K111" s="87"/>
      <c r="L111" s="87"/>
      <c r="M111" s="87"/>
      <c r="N111" s="87"/>
      <c r="O111" s="159"/>
      <c r="P111" s="106" t="e">
        <f>N111/N110</f>
        <v>#DIV/0!</v>
      </c>
      <c r="T111" s="107"/>
    </row>
    <row r="112" spans="2:28" x14ac:dyDescent="0.2">
      <c r="B112" s="85" t="s">
        <v>1103</v>
      </c>
      <c r="C112" s="30" t="s">
        <v>1195</v>
      </c>
      <c r="D112" s="64"/>
      <c r="E112" s="52"/>
      <c r="F112" s="87"/>
      <c r="G112" s="87"/>
      <c r="H112" s="87"/>
      <c r="I112" s="87"/>
      <c r="J112" s="87"/>
      <c r="K112" s="87"/>
      <c r="L112" s="87"/>
      <c r="M112" s="87"/>
      <c r="N112" s="87"/>
      <c r="O112" s="159"/>
      <c r="P112" s="106" t="e">
        <f>N112/N110</f>
        <v>#DIV/0!</v>
      </c>
      <c r="R112" s="99"/>
      <c r="T112" s="107"/>
    </row>
    <row r="113" spans="2:18" x14ac:dyDescent="0.2">
      <c r="B113" s="85" t="s">
        <v>1197</v>
      </c>
      <c r="C113" s="30" t="s">
        <v>1196</v>
      </c>
      <c r="D113" s="64"/>
      <c r="E113" s="52"/>
      <c r="F113" s="87"/>
      <c r="G113" s="87"/>
      <c r="H113" s="87"/>
      <c r="I113" s="87"/>
      <c r="J113" s="87"/>
      <c r="K113" s="87"/>
      <c r="L113" s="87"/>
      <c r="M113" s="87"/>
      <c r="N113" s="87"/>
      <c r="O113" s="159"/>
    </row>
    <row r="114" spans="2:18" x14ac:dyDescent="0.2">
      <c r="B114" s="85" t="s">
        <v>1198</v>
      </c>
      <c r="C114" s="30" t="s">
        <v>1177</v>
      </c>
      <c r="D114" s="64"/>
      <c r="E114" s="52"/>
      <c r="F114" s="87"/>
      <c r="G114" s="87"/>
      <c r="H114" s="87"/>
      <c r="I114" s="87"/>
      <c r="J114" s="87"/>
      <c r="K114" s="87"/>
      <c r="L114" s="87"/>
      <c r="M114" s="87"/>
      <c r="N114" s="87"/>
      <c r="O114" s="159"/>
    </row>
    <row r="115" spans="2:18" x14ac:dyDescent="0.2">
      <c r="B115" s="198"/>
      <c r="C115" s="53"/>
      <c r="D115" s="53"/>
      <c r="E115" s="52"/>
      <c r="F115" s="53"/>
      <c r="G115" s="53"/>
      <c r="H115" s="53"/>
      <c r="I115" s="53"/>
      <c r="J115" s="53"/>
      <c r="K115" s="53"/>
      <c r="L115" s="53"/>
      <c r="M115" s="53"/>
      <c r="N115" s="205"/>
      <c r="O115" s="53"/>
    </row>
    <row r="116" spans="2:18" x14ac:dyDescent="0.2">
      <c r="B116" s="31" t="s">
        <v>176</v>
      </c>
      <c r="C116" s="54" t="s">
        <v>931</v>
      </c>
      <c r="D116" s="64"/>
      <c r="E116" s="52"/>
      <c r="F116" s="158"/>
      <c r="G116" s="158"/>
      <c r="H116" s="158"/>
      <c r="I116" s="158"/>
      <c r="J116" s="158"/>
      <c r="K116" s="158"/>
      <c r="L116" s="158"/>
      <c r="M116" s="158"/>
      <c r="N116" s="158"/>
      <c r="O116" s="158"/>
    </row>
    <row r="117" spans="2:18" x14ac:dyDescent="0.2">
      <c r="B117" s="85" t="s">
        <v>431</v>
      </c>
      <c r="C117" s="127" t="s">
        <v>1133</v>
      </c>
      <c r="D117" s="64"/>
      <c r="E117" s="52"/>
      <c r="F117" s="55"/>
      <c r="G117" s="55"/>
      <c r="H117" s="55"/>
      <c r="I117" s="55"/>
      <c r="J117" s="55"/>
      <c r="K117" s="55"/>
      <c r="L117" s="55"/>
      <c r="M117" s="55"/>
      <c r="N117" s="55"/>
      <c r="O117" s="159"/>
    </row>
    <row r="118" spans="2:18" x14ac:dyDescent="0.2">
      <c r="B118" s="85" t="s">
        <v>432</v>
      </c>
      <c r="C118" s="127" t="s">
        <v>1178</v>
      </c>
      <c r="D118" s="64"/>
      <c r="E118" s="52"/>
      <c r="F118" s="55"/>
      <c r="G118" s="55"/>
      <c r="H118" s="55"/>
      <c r="I118" s="55"/>
      <c r="J118" s="55"/>
      <c r="K118" s="55"/>
      <c r="L118" s="55"/>
      <c r="M118" s="55"/>
      <c r="N118" s="55"/>
      <c r="O118" s="159"/>
    </row>
    <row r="119" spans="2:18" x14ac:dyDescent="0.2">
      <c r="B119" s="85" t="s">
        <v>1116</v>
      </c>
      <c r="C119" s="30" t="s">
        <v>1200</v>
      </c>
      <c r="D119" s="64"/>
      <c r="E119" s="52"/>
      <c r="F119" s="55"/>
      <c r="G119" s="55"/>
      <c r="H119" s="55"/>
      <c r="I119" s="55"/>
      <c r="J119" s="55"/>
      <c r="K119" s="55"/>
      <c r="L119" s="55"/>
      <c r="M119" s="55"/>
      <c r="N119" s="87"/>
      <c r="O119" s="159"/>
    </row>
    <row r="120" spans="2:18" x14ac:dyDescent="0.2">
      <c r="B120" s="198"/>
      <c r="C120" s="53"/>
      <c r="D120" s="53"/>
      <c r="E120" s="52"/>
      <c r="F120" s="53"/>
      <c r="G120" s="53"/>
      <c r="H120" s="53"/>
      <c r="I120" s="53"/>
      <c r="J120" s="53"/>
      <c r="K120" s="53"/>
      <c r="L120" s="53"/>
      <c r="M120" s="53"/>
      <c r="N120" s="205"/>
      <c r="O120" s="53"/>
    </row>
    <row r="121" spans="2:18" x14ac:dyDescent="0.2">
      <c r="B121" s="31" t="s">
        <v>798</v>
      </c>
      <c r="C121" s="54" t="s">
        <v>1114</v>
      </c>
      <c r="D121" s="64"/>
      <c r="E121" s="52"/>
      <c r="F121" s="158"/>
      <c r="G121" s="158"/>
      <c r="H121" s="158"/>
      <c r="I121" s="158"/>
      <c r="J121" s="158"/>
      <c r="K121" s="158"/>
      <c r="L121" s="158"/>
      <c r="M121" s="158"/>
      <c r="N121" s="158"/>
      <c r="O121" s="158"/>
      <c r="R121" s="24"/>
    </row>
    <row r="122" spans="2:18" x14ac:dyDescent="0.2">
      <c r="B122" s="85" t="s">
        <v>799</v>
      </c>
      <c r="C122" s="30" t="s">
        <v>1130</v>
      </c>
      <c r="D122" s="64"/>
      <c r="E122" s="52"/>
      <c r="F122" s="55"/>
      <c r="G122" s="55"/>
      <c r="H122" s="55"/>
      <c r="I122" s="55"/>
      <c r="J122" s="55"/>
      <c r="K122" s="55"/>
      <c r="L122" s="55"/>
      <c r="M122" s="55"/>
      <c r="N122" s="55"/>
      <c r="O122" s="159"/>
      <c r="R122" s="102"/>
    </row>
    <row r="123" spans="2:18" x14ac:dyDescent="0.2">
      <c r="B123" s="85" t="s">
        <v>800</v>
      </c>
      <c r="C123" s="30" t="s">
        <v>1077</v>
      </c>
      <c r="D123" s="64"/>
      <c r="E123" s="52"/>
      <c r="F123" s="55"/>
      <c r="G123" s="55"/>
      <c r="H123" s="55"/>
      <c r="I123" s="55"/>
      <c r="J123" s="55"/>
      <c r="K123" s="55"/>
      <c r="L123" s="55"/>
      <c r="M123" s="55"/>
      <c r="N123" s="55"/>
      <c r="O123" s="159"/>
      <c r="R123" s="46"/>
    </row>
    <row r="124" spans="2:18" x14ac:dyDescent="0.2">
      <c r="B124" s="85" t="s">
        <v>1115</v>
      </c>
      <c r="C124" s="30" t="s">
        <v>1506</v>
      </c>
      <c r="D124" s="64"/>
      <c r="E124" s="52"/>
      <c r="F124" s="55"/>
      <c r="G124" s="55"/>
      <c r="H124" s="55"/>
      <c r="I124" s="55"/>
      <c r="J124" s="55"/>
      <c r="K124" s="55"/>
      <c r="L124" s="55"/>
      <c r="M124" s="55"/>
      <c r="N124" s="55"/>
      <c r="O124" s="159"/>
      <c r="P124" s="32" t="e">
        <f>N124/N123</f>
        <v>#DIV/0!</v>
      </c>
    </row>
    <row r="125" spans="2:18" x14ac:dyDescent="0.2">
      <c r="B125" s="194"/>
      <c r="C125" s="52"/>
      <c r="D125" s="52"/>
      <c r="E125" s="52"/>
      <c r="F125" s="52"/>
      <c r="G125" s="52"/>
      <c r="H125" s="52"/>
      <c r="I125" s="52"/>
      <c r="J125" s="52"/>
      <c r="K125" s="52"/>
      <c r="L125" s="52"/>
      <c r="M125" s="52"/>
      <c r="N125" s="204"/>
      <c r="O125" s="52"/>
      <c r="P125" s="32" t="e">
        <f>N125/N123</f>
        <v>#DIV/0!</v>
      </c>
    </row>
    <row r="126" spans="2:18" x14ac:dyDescent="0.2">
      <c r="B126" s="31" t="s">
        <v>809</v>
      </c>
      <c r="C126" s="54" t="s">
        <v>808</v>
      </c>
      <c r="D126" s="64"/>
      <c r="E126" s="52"/>
      <c r="F126" s="158"/>
      <c r="G126" s="158"/>
      <c r="H126" s="158"/>
      <c r="I126" s="158"/>
      <c r="J126" s="158"/>
      <c r="K126" s="158"/>
      <c r="L126" s="158"/>
      <c r="M126" s="158"/>
      <c r="N126" s="158"/>
      <c r="O126" s="158"/>
      <c r="P126" s="55">
        <v>1060.8</v>
      </c>
      <c r="Q126" s="55">
        <v>888.5</v>
      </c>
      <c r="R126" s="55">
        <v>1035.3</v>
      </c>
    </row>
    <row r="127" spans="2:18" x14ac:dyDescent="0.2">
      <c r="B127" s="85" t="s">
        <v>811</v>
      </c>
      <c r="C127" s="127" t="s">
        <v>974</v>
      </c>
      <c r="D127" s="64"/>
      <c r="E127" s="52"/>
      <c r="F127" s="55"/>
      <c r="G127" s="55"/>
      <c r="H127" s="55"/>
      <c r="I127" s="55"/>
      <c r="J127" s="55"/>
      <c r="K127" s="55"/>
      <c r="L127" s="55"/>
      <c r="M127" s="55"/>
      <c r="N127" s="87"/>
      <c r="O127" s="159"/>
      <c r="P127" s="32"/>
    </row>
    <row r="128" spans="2:18" x14ac:dyDescent="0.2">
      <c r="B128" s="85" t="s">
        <v>816</v>
      </c>
      <c r="C128" s="127" t="s">
        <v>975</v>
      </c>
      <c r="D128" s="64"/>
      <c r="E128" s="52"/>
      <c r="F128" s="55"/>
      <c r="G128" s="55"/>
      <c r="H128" s="55"/>
      <c r="I128" s="55"/>
      <c r="J128" s="55"/>
      <c r="K128" s="55"/>
      <c r="L128" s="55"/>
      <c r="M128" s="55"/>
      <c r="N128" s="55"/>
      <c r="O128" s="159"/>
      <c r="P128" s="32"/>
    </row>
    <row r="129" spans="2:16" x14ac:dyDescent="0.2">
      <c r="B129" s="194"/>
      <c r="C129" s="52"/>
      <c r="D129" s="52"/>
      <c r="E129" s="52"/>
      <c r="F129" s="52"/>
      <c r="G129" s="52"/>
      <c r="H129" s="52"/>
      <c r="I129" s="52"/>
      <c r="J129" s="52"/>
      <c r="K129" s="52"/>
      <c r="L129" s="52"/>
      <c r="M129" s="52"/>
      <c r="N129" s="204"/>
      <c r="O129" s="52"/>
      <c r="P129" s="32"/>
    </row>
    <row r="130" spans="2:16" x14ac:dyDescent="0.2">
      <c r="B130" s="31" t="s">
        <v>817</v>
      </c>
      <c r="C130" s="209" t="s">
        <v>995</v>
      </c>
      <c r="D130" s="64"/>
      <c r="E130" s="52"/>
      <c r="F130" s="158"/>
      <c r="G130" s="158"/>
      <c r="H130" s="158"/>
      <c r="I130" s="158"/>
      <c r="J130" s="158"/>
      <c r="K130" s="158"/>
      <c r="L130" s="158"/>
      <c r="M130" s="158"/>
      <c r="N130" s="158"/>
      <c r="O130" s="158"/>
      <c r="P130" s="32"/>
    </row>
    <row r="131" spans="2:16" x14ac:dyDescent="0.2">
      <c r="B131" s="85" t="s">
        <v>818</v>
      </c>
      <c r="C131" s="30" t="s">
        <v>1130</v>
      </c>
      <c r="D131" s="64"/>
      <c r="E131" s="52"/>
      <c r="F131" s="55"/>
      <c r="G131" s="55"/>
      <c r="H131" s="55"/>
      <c r="I131" s="55"/>
      <c r="J131" s="55"/>
      <c r="K131" s="55"/>
      <c r="L131" s="55"/>
      <c r="M131" s="55"/>
      <c r="N131" s="55"/>
      <c r="O131" s="159"/>
      <c r="P131" s="32"/>
    </row>
    <row r="132" spans="2:16" x14ac:dyDescent="0.2">
      <c r="B132" s="85" t="s">
        <v>997</v>
      </c>
      <c r="C132" s="30" t="s">
        <v>1077</v>
      </c>
      <c r="D132" s="64"/>
      <c r="E132" s="52"/>
      <c r="F132" s="55"/>
      <c r="G132" s="55"/>
      <c r="H132" s="55"/>
      <c r="I132" s="55"/>
      <c r="J132" s="55"/>
      <c r="K132" s="55"/>
      <c r="L132" s="55"/>
      <c r="M132" s="55"/>
      <c r="N132" s="55"/>
      <c r="O132" s="159"/>
      <c r="P132" s="32"/>
    </row>
    <row r="133" spans="2:16" x14ac:dyDescent="0.2">
      <c r="B133" s="85" t="s">
        <v>1117</v>
      </c>
      <c r="C133" s="30" t="s">
        <v>1118</v>
      </c>
      <c r="D133" s="64"/>
      <c r="E133" s="52"/>
      <c r="F133" s="55"/>
      <c r="G133" s="55"/>
      <c r="H133" s="55"/>
      <c r="I133" s="55"/>
      <c r="J133" s="55"/>
      <c r="K133" s="55"/>
      <c r="L133" s="55"/>
      <c r="M133" s="55"/>
      <c r="N133" s="55"/>
      <c r="O133" s="159"/>
      <c r="P133" s="32"/>
    </row>
    <row r="134" spans="2:16" x14ac:dyDescent="0.2">
      <c r="B134" s="194"/>
      <c r="C134" s="52"/>
      <c r="D134" s="52"/>
      <c r="E134" s="52"/>
      <c r="F134" s="52"/>
      <c r="G134" s="52"/>
      <c r="H134" s="52"/>
      <c r="I134" s="52"/>
      <c r="J134" s="52"/>
      <c r="K134" s="52"/>
      <c r="L134" s="52"/>
      <c r="M134" s="52"/>
      <c r="N134" s="204"/>
      <c r="O134" s="52"/>
      <c r="P134" s="32"/>
    </row>
    <row r="135" spans="2:16" x14ac:dyDescent="0.2">
      <c r="B135" s="31" t="s">
        <v>987</v>
      </c>
      <c r="C135" s="209" t="s">
        <v>996</v>
      </c>
      <c r="D135" s="64"/>
      <c r="E135" s="52"/>
      <c r="F135" s="158"/>
      <c r="G135" s="158"/>
      <c r="H135" s="158"/>
      <c r="I135" s="158"/>
      <c r="J135" s="158"/>
      <c r="K135" s="158"/>
      <c r="L135" s="158"/>
      <c r="M135" s="158"/>
      <c r="N135" s="158"/>
      <c r="O135" s="158"/>
      <c r="P135" s="32"/>
    </row>
    <row r="136" spans="2:16" x14ac:dyDescent="0.2">
      <c r="B136" s="85" t="s">
        <v>988</v>
      </c>
      <c r="C136" s="30" t="s">
        <v>1089</v>
      </c>
      <c r="D136" s="64"/>
      <c r="E136" s="52"/>
      <c r="F136" s="55"/>
      <c r="G136" s="55"/>
      <c r="H136" s="55"/>
      <c r="I136" s="55"/>
      <c r="J136" s="55"/>
      <c r="K136" s="55"/>
      <c r="L136" s="55"/>
      <c r="M136" s="55"/>
      <c r="N136" s="55"/>
      <c r="O136" s="159"/>
      <c r="P136" s="32"/>
    </row>
    <row r="137" spans="2:16" x14ac:dyDescent="0.2">
      <c r="B137" s="85" t="s">
        <v>989</v>
      </c>
      <c r="C137" s="30" t="s">
        <v>1078</v>
      </c>
      <c r="D137" s="64"/>
      <c r="E137" s="52"/>
      <c r="F137" s="55"/>
      <c r="G137" s="55"/>
      <c r="H137" s="55"/>
      <c r="I137" s="55"/>
      <c r="J137" s="55"/>
      <c r="K137" s="55"/>
      <c r="L137" s="55"/>
      <c r="M137" s="55"/>
      <c r="N137" s="55"/>
      <c r="O137" s="159"/>
      <c r="P137" s="32"/>
    </row>
    <row r="138" spans="2:16" x14ac:dyDescent="0.2">
      <c r="B138" s="198"/>
      <c r="C138" s="53"/>
      <c r="D138" s="53"/>
      <c r="E138" s="52"/>
      <c r="F138" s="53"/>
      <c r="G138" s="53"/>
      <c r="H138" s="53"/>
      <c r="I138" s="53"/>
      <c r="J138" s="53"/>
      <c r="K138" s="53"/>
      <c r="L138" s="53"/>
      <c r="M138" s="53"/>
      <c r="N138" s="205"/>
      <c r="O138" s="53"/>
      <c r="P138" s="32"/>
    </row>
    <row r="139" spans="2:16" x14ac:dyDescent="0.2">
      <c r="B139" s="31" t="s">
        <v>161</v>
      </c>
      <c r="C139" s="31" t="s">
        <v>383</v>
      </c>
      <c r="D139" s="53"/>
      <c r="E139" s="52"/>
      <c r="F139" s="53"/>
      <c r="G139" s="53"/>
      <c r="H139" s="53"/>
      <c r="I139" s="53"/>
      <c r="J139" s="53"/>
      <c r="K139" s="53"/>
      <c r="L139" s="53"/>
      <c r="M139" s="53"/>
      <c r="N139" s="205"/>
      <c r="O139" s="53"/>
      <c r="P139" s="32"/>
    </row>
    <row r="140" spans="2:16" x14ac:dyDescent="0.2">
      <c r="B140" s="31" t="s">
        <v>162</v>
      </c>
      <c r="C140" s="54" t="s">
        <v>981</v>
      </c>
      <c r="D140" s="64"/>
      <c r="E140" s="52"/>
      <c r="F140" s="158"/>
      <c r="G140" s="158"/>
      <c r="H140" s="158"/>
      <c r="I140" s="158"/>
      <c r="J140" s="158"/>
      <c r="K140" s="158"/>
      <c r="L140" s="158"/>
      <c r="M140" s="158"/>
      <c r="N140" s="158"/>
      <c r="O140" s="158"/>
      <c r="P140" s="32"/>
    </row>
    <row r="141" spans="2:16" x14ac:dyDescent="0.2">
      <c r="B141" s="85" t="s">
        <v>163</v>
      </c>
      <c r="C141" s="30" t="s">
        <v>1096</v>
      </c>
      <c r="D141" s="64"/>
      <c r="E141" s="52"/>
      <c r="F141" s="55"/>
      <c r="G141" s="55"/>
      <c r="H141" s="55"/>
      <c r="I141" s="55"/>
      <c r="J141" s="55"/>
      <c r="K141" s="55"/>
      <c r="L141" s="55"/>
      <c r="M141" s="55"/>
      <c r="N141" s="87"/>
      <c r="O141" s="159"/>
      <c r="P141" s="32"/>
    </row>
    <row r="142" spans="2:16" x14ac:dyDescent="0.2">
      <c r="B142" s="85" t="s">
        <v>164</v>
      </c>
      <c r="C142" s="30" t="s">
        <v>1087</v>
      </c>
      <c r="D142" s="64"/>
      <c r="E142" s="52"/>
      <c r="F142" s="55"/>
      <c r="G142" s="55"/>
      <c r="H142" s="55"/>
      <c r="I142" s="55"/>
      <c r="J142" s="55"/>
      <c r="K142" s="55"/>
      <c r="L142" s="55"/>
      <c r="M142" s="55"/>
      <c r="N142" s="87"/>
      <c r="O142" s="159"/>
      <c r="P142" s="32"/>
    </row>
    <row r="143" spans="2:16" x14ac:dyDescent="0.2">
      <c r="B143" s="85" t="s">
        <v>165</v>
      </c>
      <c r="C143" s="30" t="s">
        <v>1088</v>
      </c>
      <c r="D143" s="64"/>
      <c r="E143" s="52"/>
      <c r="F143" s="55"/>
      <c r="G143" s="55"/>
      <c r="H143" s="55"/>
      <c r="I143" s="55"/>
      <c r="J143" s="55"/>
      <c r="K143" s="55"/>
      <c r="L143" s="55"/>
      <c r="M143" s="55"/>
      <c r="N143" s="87"/>
      <c r="O143" s="159"/>
      <c r="P143" s="32"/>
    </row>
    <row r="144" spans="2:16" x14ac:dyDescent="0.2">
      <c r="B144" s="198"/>
      <c r="C144" s="53"/>
      <c r="D144" s="53"/>
      <c r="E144" s="53"/>
      <c r="F144" s="53"/>
      <c r="G144" s="53"/>
      <c r="H144" s="53"/>
      <c r="I144" s="53"/>
      <c r="J144" s="53"/>
      <c r="K144" s="53"/>
      <c r="L144" s="53"/>
      <c r="M144" s="53"/>
      <c r="N144" s="205"/>
      <c r="O144" s="53"/>
      <c r="P144" s="32"/>
    </row>
    <row r="145" spans="1:18" x14ac:dyDescent="0.2">
      <c r="B145" s="31" t="s">
        <v>638</v>
      </c>
      <c r="C145" s="54" t="s">
        <v>1086</v>
      </c>
      <c r="D145" s="64"/>
      <c r="E145" s="52"/>
      <c r="F145" s="158"/>
      <c r="G145" s="158"/>
      <c r="H145" s="158"/>
      <c r="I145" s="158"/>
      <c r="J145" s="158"/>
      <c r="K145" s="158"/>
      <c r="L145" s="158"/>
      <c r="M145" s="158"/>
      <c r="N145" s="158"/>
      <c r="O145" s="158"/>
      <c r="P145" s="32"/>
    </row>
    <row r="146" spans="1:18" x14ac:dyDescent="0.2">
      <c r="B146" s="85" t="s">
        <v>639</v>
      </c>
      <c r="C146" s="30" t="s">
        <v>1130</v>
      </c>
      <c r="D146" s="64"/>
      <c r="E146" s="52"/>
      <c r="F146" s="87"/>
      <c r="G146" s="87"/>
      <c r="H146" s="87"/>
      <c r="I146" s="87"/>
      <c r="J146" s="87"/>
      <c r="K146" s="87"/>
      <c r="L146" s="87"/>
      <c r="M146" s="87"/>
      <c r="N146" s="87"/>
      <c r="O146" s="159"/>
      <c r="P146" s="32"/>
    </row>
    <row r="147" spans="1:18" x14ac:dyDescent="0.2">
      <c r="B147" s="85" t="s">
        <v>640</v>
      </c>
      <c r="C147" s="30" t="s">
        <v>1077</v>
      </c>
      <c r="D147" s="64"/>
      <c r="E147" s="52"/>
      <c r="F147" s="87"/>
      <c r="G147" s="87"/>
      <c r="H147" s="87"/>
      <c r="I147" s="87"/>
      <c r="J147" s="87"/>
      <c r="K147" s="87"/>
      <c r="L147" s="87"/>
      <c r="M147" s="87"/>
      <c r="N147" s="87"/>
      <c r="O147" s="159"/>
      <c r="P147" s="32"/>
    </row>
    <row r="148" spans="1:18" x14ac:dyDescent="0.2">
      <c r="A148" s="6" t="s">
        <v>688</v>
      </c>
      <c r="B148" s="85" t="s">
        <v>976</v>
      </c>
      <c r="C148" s="30" t="s">
        <v>1118</v>
      </c>
      <c r="D148" s="64"/>
      <c r="E148" s="52"/>
      <c r="F148" s="87"/>
      <c r="G148" s="87"/>
      <c r="H148" s="87"/>
      <c r="I148" s="87"/>
      <c r="J148" s="87"/>
      <c r="K148" s="87"/>
      <c r="L148" s="87"/>
      <c r="M148" s="87"/>
      <c r="N148" s="87"/>
      <c r="O148" s="159"/>
      <c r="P148" s="32"/>
    </row>
    <row r="149" spans="1:18" x14ac:dyDescent="0.2">
      <c r="B149" s="198"/>
      <c r="C149" s="53"/>
      <c r="D149" s="53"/>
      <c r="E149" s="53"/>
      <c r="F149" s="53"/>
      <c r="G149" s="53"/>
      <c r="H149" s="53"/>
      <c r="I149" s="53"/>
      <c r="J149" s="53"/>
      <c r="K149" s="53"/>
      <c r="L149" s="53"/>
      <c r="M149" s="53"/>
      <c r="N149" s="205"/>
      <c r="O149" s="53"/>
    </row>
    <row r="150" spans="1:18" x14ac:dyDescent="0.2">
      <c r="B150" s="31" t="s">
        <v>641</v>
      </c>
      <c r="C150" s="54" t="s">
        <v>801</v>
      </c>
      <c r="D150" s="64"/>
      <c r="E150" s="52"/>
      <c r="F150" s="158"/>
      <c r="G150" s="158"/>
      <c r="H150" s="158"/>
      <c r="I150" s="158"/>
      <c r="J150" s="158"/>
      <c r="K150" s="158"/>
      <c r="L150" s="158"/>
      <c r="M150" s="158"/>
      <c r="N150" s="158"/>
      <c r="O150" s="158"/>
      <c r="R150" s="108" t="s">
        <v>940</v>
      </c>
    </row>
    <row r="151" spans="1:18" x14ac:dyDescent="0.2">
      <c r="B151" s="85" t="s">
        <v>642</v>
      </c>
      <c r="C151" s="30" t="s">
        <v>790</v>
      </c>
      <c r="D151" s="64"/>
      <c r="E151" s="52"/>
      <c r="F151" s="87"/>
      <c r="G151" s="87"/>
      <c r="H151" s="87"/>
      <c r="I151" s="87"/>
      <c r="J151" s="87"/>
      <c r="K151" s="87"/>
      <c r="L151" s="87"/>
      <c r="M151" s="87"/>
      <c r="N151" s="87"/>
      <c r="O151" s="159"/>
    </row>
    <row r="152" spans="1:18" x14ac:dyDescent="0.2">
      <c r="B152" s="85" t="s">
        <v>643</v>
      </c>
      <c r="C152" s="30" t="s">
        <v>778</v>
      </c>
      <c r="D152" s="64"/>
      <c r="E152" s="52"/>
      <c r="F152" s="87"/>
      <c r="G152" s="87"/>
      <c r="H152" s="87"/>
      <c r="I152" s="87"/>
      <c r="J152" s="87"/>
      <c r="K152" s="87"/>
      <c r="L152" s="87"/>
      <c r="M152" s="87"/>
      <c r="N152" s="87"/>
      <c r="O152" s="159"/>
    </row>
    <row r="153" spans="1:18" x14ac:dyDescent="0.2">
      <c r="B153" s="85" t="s">
        <v>644</v>
      </c>
      <c r="C153" s="30" t="s">
        <v>776</v>
      </c>
      <c r="D153" s="64"/>
      <c r="E153" s="52"/>
      <c r="F153" s="55"/>
      <c r="G153" s="55"/>
      <c r="H153" s="55"/>
      <c r="I153" s="55"/>
      <c r="J153" s="55"/>
      <c r="K153" s="55"/>
      <c r="L153" s="55"/>
      <c r="M153" s="55"/>
      <c r="N153" s="87"/>
      <c r="O153" s="159"/>
    </row>
    <row r="154" spans="1:18" x14ac:dyDescent="0.2">
      <c r="B154" s="85" t="s">
        <v>802</v>
      </c>
      <c r="C154" s="30" t="s">
        <v>777</v>
      </c>
      <c r="D154" s="64"/>
      <c r="E154" s="52"/>
      <c r="F154" s="87"/>
      <c r="G154" s="87"/>
      <c r="H154" s="87"/>
      <c r="I154" s="87"/>
      <c r="J154" s="87"/>
      <c r="K154" s="87"/>
      <c r="L154" s="87"/>
      <c r="M154" s="87"/>
      <c r="N154" s="87"/>
      <c r="O154" s="159"/>
      <c r="R154" s="108" t="s">
        <v>941</v>
      </c>
    </row>
    <row r="155" spans="1:18" x14ac:dyDescent="0.2">
      <c r="B155" s="85" t="s">
        <v>803</v>
      </c>
      <c r="C155" s="30" t="s">
        <v>779</v>
      </c>
      <c r="D155" s="64"/>
      <c r="E155" s="52"/>
      <c r="F155" s="87"/>
      <c r="G155" s="87"/>
      <c r="H155" s="87"/>
      <c r="I155" s="87"/>
      <c r="J155" s="87"/>
      <c r="K155" s="87"/>
      <c r="L155" s="87"/>
      <c r="M155" s="87"/>
      <c r="N155" s="87"/>
      <c r="O155" s="159"/>
    </row>
    <row r="156" spans="1:18" x14ac:dyDescent="0.2">
      <c r="B156" s="85" t="s">
        <v>977</v>
      </c>
      <c r="C156" s="30" t="s">
        <v>1085</v>
      </c>
      <c r="D156" s="64"/>
      <c r="E156" s="52"/>
      <c r="F156" s="55"/>
      <c r="G156" s="55"/>
      <c r="H156" s="55"/>
      <c r="I156" s="55"/>
      <c r="J156" s="55"/>
      <c r="K156" s="55"/>
      <c r="L156" s="55"/>
      <c r="M156" s="55"/>
      <c r="N156" s="87"/>
      <c r="O156" s="159"/>
    </row>
    <row r="157" spans="1:18" x14ac:dyDescent="0.2">
      <c r="B157" s="198"/>
      <c r="C157" s="53"/>
      <c r="D157" s="53"/>
      <c r="E157" s="53"/>
      <c r="F157" s="53"/>
      <c r="G157" s="53"/>
      <c r="H157" s="53"/>
      <c r="I157" s="53"/>
      <c r="J157" s="53"/>
      <c r="K157" s="53"/>
      <c r="L157" s="53"/>
      <c r="M157" s="53"/>
      <c r="N157" s="205"/>
      <c r="O157" s="53"/>
    </row>
    <row r="158" spans="1:18" x14ac:dyDescent="0.2">
      <c r="B158" s="31" t="s">
        <v>804</v>
      </c>
      <c r="C158" s="54" t="s">
        <v>978</v>
      </c>
      <c r="D158" s="64"/>
      <c r="E158" s="52"/>
      <c r="F158" s="158"/>
      <c r="G158" s="158"/>
      <c r="H158" s="158"/>
      <c r="I158" s="158"/>
      <c r="J158" s="158"/>
      <c r="K158" s="158"/>
      <c r="L158" s="158"/>
      <c r="M158" s="158"/>
      <c r="N158" s="172"/>
      <c r="O158" s="158"/>
      <c r="R158" s="186" t="s">
        <v>964</v>
      </c>
    </row>
    <row r="159" spans="1:18" x14ac:dyDescent="0.2">
      <c r="B159" s="85" t="s">
        <v>805</v>
      </c>
      <c r="C159" s="30" t="s">
        <v>979</v>
      </c>
      <c r="D159" s="64"/>
      <c r="E159" s="52"/>
      <c r="F159" s="87"/>
      <c r="G159" s="87"/>
      <c r="H159" s="87"/>
      <c r="I159" s="87"/>
      <c r="J159" s="87"/>
      <c r="K159" s="87"/>
      <c r="L159" s="87"/>
      <c r="M159" s="87"/>
      <c r="N159" s="87"/>
      <c r="O159" s="159"/>
    </row>
    <row r="160" spans="1:18" x14ac:dyDescent="0.2">
      <c r="B160" s="85" t="s">
        <v>806</v>
      </c>
      <c r="C160" s="127" t="s">
        <v>986</v>
      </c>
      <c r="D160" s="64"/>
      <c r="E160" s="52"/>
      <c r="F160" s="87"/>
      <c r="G160" s="87"/>
      <c r="H160" s="87"/>
      <c r="I160" s="87"/>
      <c r="J160" s="87"/>
      <c r="K160" s="87"/>
      <c r="L160" s="87"/>
      <c r="M160" s="87"/>
      <c r="N160" s="87"/>
      <c r="O160" s="159"/>
    </row>
    <row r="161" spans="2:16" x14ac:dyDescent="0.2">
      <c r="B161" s="198"/>
      <c r="C161" s="53"/>
      <c r="D161" s="53"/>
      <c r="E161" s="53"/>
      <c r="F161" s="53"/>
      <c r="G161" s="53"/>
      <c r="H161" s="53"/>
      <c r="I161" s="53"/>
      <c r="J161" s="53"/>
      <c r="K161" s="53"/>
      <c r="L161" s="53"/>
      <c r="M161" s="53"/>
      <c r="N161" s="205"/>
      <c r="O161" s="53"/>
    </row>
    <row r="162" spans="2:16" x14ac:dyDescent="0.2">
      <c r="B162" s="31" t="s">
        <v>819</v>
      </c>
      <c r="C162" s="187" t="s">
        <v>966</v>
      </c>
      <c r="D162" s="64"/>
      <c r="E162" s="52"/>
      <c r="F162" s="158"/>
      <c r="G162" s="158"/>
      <c r="H162" s="158"/>
      <c r="I162" s="158"/>
      <c r="J162" s="158"/>
      <c r="K162" s="158"/>
      <c r="L162" s="158"/>
      <c r="M162" s="158"/>
      <c r="N162" s="172"/>
      <c r="O162" s="158"/>
    </row>
    <row r="163" spans="2:16" x14ac:dyDescent="0.2">
      <c r="B163" s="85" t="s">
        <v>820</v>
      </c>
      <c r="C163" s="21" t="s">
        <v>1096</v>
      </c>
      <c r="D163" s="64"/>
      <c r="E163" s="52"/>
      <c r="F163" s="55"/>
      <c r="G163" s="55"/>
      <c r="H163" s="55"/>
      <c r="I163" s="55"/>
      <c r="J163" s="55"/>
      <c r="K163" s="55"/>
      <c r="L163" s="55"/>
      <c r="M163" s="55"/>
      <c r="N163" s="55"/>
      <c r="O163" s="159"/>
    </row>
    <row r="164" spans="2:16" x14ac:dyDescent="0.2">
      <c r="B164" s="85" t="s">
        <v>821</v>
      </c>
      <c r="C164" s="21" t="s">
        <v>1078</v>
      </c>
      <c r="D164" s="64"/>
      <c r="E164" s="52"/>
      <c r="F164" s="55"/>
      <c r="G164" s="87"/>
      <c r="H164" s="55"/>
      <c r="I164" s="87"/>
      <c r="J164" s="55"/>
      <c r="K164" s="55"/>
      <c r="L164" s="87"/>
      <c r="M164" s="55"/>
      <c r="N164" s="87"/>
      <c r="O164" s="159"/>
    </row>
    <row r="165" spans="2:16" x14ac:dyDescent="0.2">
      <c r="B165" s="198"/>
      <c r="C165" s="53"/>
      <c r="D165" s="53"/>
      <c r="E165" s="52"/>
      <c r="F165" s="53"/>
      <c r="G165" s="53"/>
      <c r="H165" s="53"/>
      <c r="I165" s="53"/>
      <c r="J165" s="53"/>
      <c r="K165" s="53"/>
      <c r="L165" s="53"/>
      <c r="M165" s="53"/>
      <c r="N165" s="205"/>
      <c r="O165" s="53"/>
      <c r="P165" s="8"/>
    </row>
    <row r="166" spans="2:16" x14ac:dyDescent="0.2">
      <c r="K166" s="7"/>
      <c r="L166" s="7"/>
      <c r="M166" s="7"/>
      <c r="O166" s="111"/>
      <c r="P166" s="111"/>
    </row>
    <row r="167" spans="2:16" x14ac:dyDescent="0.2">
      <c r="K167" s="8"/>
      <c r="L167" s="8"/>
      <c r="M167" s="8"/>
      <c r="O167" s="8"/>
      <c r="P167" s="8"/>
    </row>
    <row r="168" spans="2:16" x14ac:dyDescent="0.2">
      <c r="K168" s="8"/>
      <c r="L168" s="8"/>
      <c r="M168" s="8"/>
      <c r="O168" s="8"/>
      <c r="P168" s="8"/>
    </row>
    <row r="169" spans="2:16" x14ac:dyDescent="0.2">
      <c r="K169" s="7"/>
      <c r="L169" s="112"/>
      <c r="M169" s="113"/>
      <c r="O169" s="8"/>
      <c r="P169" s="8"/>
    </row>
    <row r="170" spans="2:16" x14ac:dyDescent="0.2">
      <c r="K170" s="8"/>
      <c r="L170" s="114"/>
      <c r="M170" s="113"/>
      <c r="O170" s="8"/>
      <c r="P170" s="8"/>
    </row>
    <row r="171" spans="2:16" x14ac:dyDescent="0.2">
      <c r="K171" s="8"/>
      <c r="L171" s="114"/>
      <c r="M171" s="113"/>
      <c r="O171" s="8"/>
      <c r="P171" s="8"/>
    </row>
    <row r="172" spans="2:16" x14ac:dyDescent="0.2">
      <c r="K172" s="8"/>
      <c r="L172" s="8"/>
      <c r="M172" s="8"/>
      <c r="O172" s="8"/>
      <c r="P172" s="8"/>
    </row>
    <row r="173" spans="2:16" x14ac:dyDescent="0.2">
      <c r="K173" s="8"/>
      <c r="L173" s="8"/>
      <c r="M173" s="8"/>
      <c r="O173" s="8"/>
      <c r="P173" s="8"/>
    </row>
    <row r="174" spans="2:16" x14ac:dyDescent="0.2">
      <c r="K174" s="8"/>
      <c r="L174" s="8"/>
      <c r="M174" s="8"/>
      <c r="O174" s="8"/>
      <c r="P174" s="8"/>
    </row>
    <row r="175" spans="2:16" x14ac:dyDescent="0.2">
      <c r="K175" s="7"/>
      <c r="L175" s="112"/>
      <c r="M175" s="113"/>
      <c r="O175" s="8"/>
      <c r="P175" s="8"/>
    </row>
    <row r="176" spans="2:16" x14ac:dyDescent="0.2">
      <c r="K176" s="8"/>
      <c r="L176" s="114"/>
      <c r="M176" s="113"/>
      <c r="O176" s="8"/>
      <c r="P176" s="8"/>
    </row>
    <row r="177" spans="2:52" x14ac:dyDescent="0.2">
      <c r="K177" s="8"/>
      <c r="L177" s="114"/>
      <c r="M177" s="113"/>
      <c r="O177" s="8"/>
      <c r="P177" s="8"/>
    </row>
    <row r="178" spans="2:52" x14ac:dyDescent="0.2">
      <c r="K178" s="8"/>
      <c r="L178" s="8"/>
      <c r="M178" s="8"/>
      <c r="O178" s="8"/>
      <c r="P178" s="8"/>
    </row>
    <row r="179" spans="2:52" x14ac:dyDescent="0.2">
      <c r="K179" s="8"/>
      <c r="L179" s="8"/>
      <c r="M179" s="8"/>
      <c r="O179" s="8"/>
      <c r="P179" s="8"/>
    </row>
    <row r="180" spans="2:52" x14ac:dyDescent="0.2">
      <c r="K180" s="8"/>
      <c r="L180" s="8"/>
      <c r="M180" s="8"/>
      <c r="N180" s="201"/>
      <c r="O180" s="8"/>
      <c r="P180" s="8"/>
    </row>
    <row r="182" spans="2:52" x14ac:dyDescent="0.2">
      <c r="AJ182" s="8"/>
      <c r="AK182" s="8"/>
      <c r="AL182" s="8"/>
      <c r="AM182" s="8"/>
      <c r="AN182" s="8"/>
      <c r="AO182" s="8"/>
      <c r="AP182" s="8"/>
      <c r="AQ182" s="8"/>
      <c r="AR182" s="8"/>
      <c r="AS182" s="8"/>
      <c r="AT182" s="8"/>
      <c r="AU182" s="8"/>
      <c r="AV182" s="8"/>
      <c r="AW182" s="8"/>
      <c r="AX182" s="8"/>
    </row>
    <row r="183" spans="2:52" x14ac:dyDescent="0.2">
      <c r="AJ183" s="8"/>
      <c r="AK183" s="8"/>
      <c r="AL183" s="8"/>
      <c r="AM183" s="8"/>
      <c r="AN183" s="8"/>
      <c r="AO183" s="8"/>
      <c r="AP183" s="8"/>
      <c r="AQ183" s="8"/>
      <c r="AR183" s="8"/>
      <c r="AS183" s="8"/>
      <c r="AT183" s="8"/>
      <c r="AU183" s="8"/>
      <c r="AV183" s="8"/>
      <c r="AW183" s="8"/>
      <c r="AX183" s="8"/>
    </row>
    <row r="184" spans="2:52" x14ac:dyDescent="0.2">
      <c r="AJ184" s="8"/>
      <c r="AK184" s="8"/>
      <c r="AL184" s="8"/>
      <c r="AM184" s="8"/>
      <c r="AN184" s="8"/>
      <c r="AO184" s="8"/>
      <c r="AP184" s="8"/>
      <c r="AQ184" s="8"/>
      <c r="AR184" s="8"/>
      <c r="AS184" s="8"/>
      <c r="AT184" s="8"/>
      <c r="AU184" s="8"/>
      <c r="AV184" s="8"/>
      <c r="AW184" s="8"/>
      <c r="AX184" s="8"/>
    </row>
    <row r="185" spans="2:52" x14ac:dyDescent="0.2">
      <c r="AJ185" s="8"/>
      <c r="AK185" s="8"/>
      <c r="AL185" s="8"/>
      <c r="AM185" s="8"/>
      <c r="AN185" s="8"/>
      <c r="AO185" s="8"/>
      <c r="AP185" s="8"/>
      <c r="AQ185" s="8"/>
      <c r="AR185" s="8"/>
      <c r="AS185" s="8"/>
      <c r="AT185" s="8"/>
      <c r="AU185" s="8"/>
      <c r="AV185" s="8"/>
      <c r="AW185" s="8"/>
      <c r="AX185" s="8"/>
    </row>
    <row r="186" spans="2:52" x14ac:dyDescent="0.2">
      <c r="AJ186" s="7"/>
      <c r="AK186" s="7"/>
      <c r="AL186" s="111"/>
      <c r="AM186" s="111"/>
      <c r="AN186" s="111"/>
      <c r="AO186" s="111"/>
      <c r="AP186" s="111"/>
      <c r="AQ186" s="111"/>
      <c r="AR186" s="111"/>
      <c r="AS186" s="111"/>
      <c r="AT186" s="111"/>
      <c r="AU186" s="8"/>
      <c r="AV186" s="8"/>
      <c r="AW186" s="8"/>
      <c r="AX186" s="8"/>
    </row>
    <row r="187" spans="2:52" x14ac:dyDescent="0.2">
      <c r="AJ187" s="8"/>
      <c r="AK187" s="8"/>
      <c r="AL187" s="8"/>
      <c r="AM187" s="8"/>
      <c r="AN187" s="8"/>
      <c r="AO187" s="8"/>
      <c r="AP187" s="8"/>
      <c r="AQ187" s="8"/>
      <c r="AR187" s="8"/>
      <c r="AS187" s="8"/>
      <c r="AT187" s="8"/>
      <c r="AU187" s="8"/>
      <c r="AV187" s="8"/>
      <c r="AW187" s="8"/>
      <c r="AX187" s="8"/>
    </row>
    <row r="188" spans="2:52" x14ac:dyDescent="0.2">
      <c r="AJ188" s="7"/>
      <c r="AK188" s="8"/>
      <c r="AL188" s="8"/>
      <c r="AM188" s="8"/>
      <c r="AN188" s="8"/>
      <c r="AO188" s="8"/>
      <c r="AP188" s="8"/>
      <c r="AQ188" s="8"/>
      <c r="AR188" s="8"/>
      <c r="AS188" s="8"/>
      <c r="AT188" s="8"/>
      <c r="AU188" s="8"/>
      <c r="AV188" s="8"/>
      <c r="AW188" s="8"/>
      <c r="AX188" s="8"/>
    </row>
    <row r="189" spans="2:52" x14ac:dyDescent="0.2">
      <c r="AJ189" s="8"/>
      <c r="AK189" s="8"/>
      <c r="AL189" s="8"/>
      <c r="AM189" s="8"/>
      <c r="AN189" s="8"/>
      <c r="AO189" s="8"/>
      <c r="AP189" s="8"/>
      <c r="AQ189" s="8"/>
      <c r="AR189" s="8"/>
      <c r="AS189" s="8"/>
      <c r="AT189" s="8"/>
      <c r="AU189" s="8"/>
      <c r="AV189" s="8"/>
      <c r="AW189" s="8"/>
      <c r="AX189" s="8"/>
      <c r="AZ189" s="8"/>
    </row>
    <row r="190" spans="2:52" x14ac:dyDescent="0.2">
      <c r="B190" s="197"/>
      <c r="D190" s="106"/>
      <c r="AJ190" s="8"/>
      <c r="AK190" s="8"/>
      <c r="AL190" s="8"/>
      <c r="AM190" s="8"/>
      <c r="AN190" s="8"/>
      <c r="AO190" s="8"/>
      <c r="AP190" s="8"/>
      <c r="AQ190" s="8"/>
      <c r="AR190" s="8"/>
      <c r="AS190" s="8"/>
      <c r="AT190" s="8"/>
      <c r="AU190" s="8"/>
      <c r="AV190" s="8"/>
      <c r="AW190" s="8"/>
      <c r="AX190" s="8"/>
    </row>
    <row r="191" spans="2:52" x14ac:dyDescent="0.2">
      <c r="B191" s="197"/>
      <c r="D191" s="106"/>
      <c r="AJ191" s="8"/>
      <c r="AK191" s="8"/>
      <c r="AL191" s="8"/>
      <c r="AM191" s="8"/>
      <c r="AN191" s="8"/>
      <c r="AO191" s="8"/>
      <c r="AP191" s="8"/>
      <c r="AQ191" s="8"/>
      <c r="AR191" s="8"/>
      <c r="AS191" s="8"/>
      <c r="AT191" s="8"/>
      <c r="AU191" s="8"/>
      <c r="AV191" s="8"/>
      <c r="AW191" s="8"/>
      <c r="AX191" s="8"/>
    </row>
    <row r="192" spans="2:52" x14ac:dyDescent="0.2">
      <c r="B192" s="197"/>
      <c r="D192" s="106"/>
      <c r="AJ192" s="8"/>
      <c r="AK192" s="8"/>
      <c r="AL192" s="8"/>
      <c r="AM192" s="8"/>
      <c r="AN192" s="8"/>
      <c r="AO192" s="8"/>
      <c r="AP192" s="8"/>
      <c r="AQ192" s="8"/>
      <c r="AR192" s="8"/>
      <c r="AS192" s="8"/>
      <c r="AT192" s="8"/>
      <c r="AU192" s="8"/>
      <c r="AV192" s="8"/>
      <c r="AW192" s="8"/>
      <c r="AX192" s="8"/>
    </row>
    <row r="193" spans="2:50" x14ac:dyDescent="0.2">
      <c r="B193" s="197"/>
      <c r="D193" s="106"/>
      <c r="F193" s="110"/>
      <c r="G193" s="110"/>
      <c r="AJ193" s="8"/>
      <c r="AK193" s="8"/>
      <c r="AL193" s="8"/>
      <c r="AM193" s="8"/>
      <c r="AN193" s="8"/>
      <c r="AO193" s="8"/>
      <c r="AP193" s="8"/>
      <c r="AQ193" s="8"/>
      <c r="AR193" s="8"/>
      <c r="AS193" s="8"/>
      <c r="AT193" s="8"/>
      <c r="AU193" s="8"/>
      <c r="AV193" s="8"/>
      <c r="AW193" s="8"/>
      <c r="AX193" s="8"/>
    </row>
    <row r="194" spans="2:50" x14ac:dyDescent="0.2">
      <c r="B194" s="197"/>
      <c r="D194" s="106"/>
      <c r="F194" s="110"/>
      <c r="H194" s="107"/>
      <c r="AJ194" s="8"/>
      <c r="AK194" s="8"/>
      <c r="AL194" s="8"/>
      <c r="AM194" s="8"/>
      <c r="AN194" s="8"/>
      <c r="AO194" s="8"/>
      <c r="AP194" s="8"/>
      <c r="AQ194" s="8"/>
      <c r="AR194" s="8"/>
      <c r="AS194" s="8"/>
      <c r="AT194" s="8"/>
      <c r="AU194" s="8"/>
      <c r="AV194" s="8"/>
      <c r="AW194" s="8"/>
      <c r="AX194" s="8"/>
    </row>
    <row r="195" spans="2:50" x14ac:dyDescent="0.2">
      <c r="B195" s="197"/>
      <c r="AJ195" s="8"/>
      <c r="AK195" s="8"/>
      <c r="AL195" s="8"/>
      <c r="AM195" s="8"/>
      <c r="AN195" s="8"/>
      <c r="AO195" s="8"/>
      <c r="AP195" s="8"/>
      <c r="AQ195" s="8"/>
      <c r="AR195" s="8"/>
      <c r="AS195" s="8"/>
      <c r="AT195" s="8"/>
      <c r="AU195" s="8"/>
      <c r="AV195" s="8"/>
      <c r="AW195" s="8"/>
      <c r="AX195" s="8"/>
    </row>
    <row r="196" spans="2:50" x14ac:dyDescent="0.2">
      <c r="AJ196" s="8"/>
      <c r="AK196" s="8"/>
      <c r="AL196" s="8"/>
      <c r="AM196" s="8"/>
      <c r="AN196" s="8"/>
      <c r="AO196" s="8"/>
      <c r="AP196" s="8"/>
      <c r="AQ196" s="8"/>
      <c r="AR196" s="8"/>
      <c r="AS196" s="8"/>
      <c r="AT196" s="8"/>
      <c r="AU196" s="8"/>
      <c r="AV196" s="8"/>
      <c r="AW196" s="8"/>
      <c r="AX196" s="8"/>
    </row>
    <row r="197" spans="2:50" x14ac:dyDescent="0.2">
      <c r="AJ197" s="8"/>
      <c r="AK197" s="8"/>
      <c r="AL197" s="8"/>
      <c r="AM197" s="8"/>
      <c r="AN197" s="8"/>
      <c r="AO197" s="8"/>
      <c r="AP197" s="8"/>
      <c r="AQ197" s="8"/>
      <c r="AR197" s="8"/>
      <c r="AS197" s="8"/>
      <c r="AT197" s="8"/>
      <c r="AU197" s="8"/>
      <c r="AV197" s="8"/>
      <c r="AW197" s="8"/>
      <c r="AX197" s="8"/>
    </row>
    <row r="198" spans="2:50" x14ac:dyDescent="0.2">
      <c r="AJ198" s="8"/>
      <c r="AK198" s="8"/>
      <c r="AL198" s="8"/>
      <c r="AM198" s="8"/>
      <c r="AN198" s="8"/>
      <c r="AO198" s="8"/>
      <c r="AP198" s="8"/>
      <c r="AQ198" s="8"/>
      <c r="AR198" s="8"/>
      <c r="AS198" s="8"/>
      <c r="AT198" s="8"/>
      <c r="AU198" s="8"/>
      <c r="AV198" s="8"/>
      <c r="AW198" s="8"/>
      <c r="AX198" s="8"/>
    </row>
    <row r="199" spans="2:50" x14ac:dyDescent="0.2">
      <c r="AJ199" s="8"/>
      <c r="AK199" s="8"/>
      <c r="AL199" s="8"/>
      <c r="AM199" s="8"/>
      <c r="AN199" s="8"/>
      <c r="AO199" s="8"/>
      <c r="AP199" s="8"/>
      <c r="AQ199" s="8"/>
      <c r="AR199" s="8"/>
      <c r="AS199" s="8"/>
      <c r="AT199" s="8"/>
      <c r="AU199" s="8"/>
      <c r="AV199" s="8"/>
      <c r="AW199" s="8"/>
      <c r="AX199" s="8"/>
    </row>
    <row r="200" spans="2:50" x14ac:dyDescent="0.2">
      <c r="AJ200" s="8"/>
      <c r="AK200" s="8"/>
      <c r="AL200" s="8"/>
      <c r="AM200" s="8"/>
      <c r="AN200" s="8"/>
      <c r="AO200" s="8"/>
      <c r="AP200" s="8"/>
      <c r="AQ200" s="8"/>
      <c r="AR200" s="8"/>
      <c r="AS200" s="8"/>
      <c r="AT200" s="8"/>
      <c r="AU200" s="8"/>
      <c r="AV200" s="8"/>
      <c r="AW200" s="8"/>
      <c r="AX200" s="8"/>
    </row>
    <row r="201" spans="2:50" x14ac:dyDescent="0.2">
      <c r="AJ201" s="8"/>
      <c r="AK201" s="8"/>
      <c r="AL201" s="8"/>
      <c r="AM201" s="8"/>
      <c r="AN201" s="8"/>
      <c r="AO201" s="8"/>
      <c r="AP201" s="8"/>
      <c r="AQ201" s="8"/>
      <c r="AR201" s="8"/>
      <c r="AS201" s="8"/>
      <c r="AT201" s="8"/>
      <c r="AU201" s="8"/>
      <c r="AV201" s="8"/>
      <c r="AW201" s="8"/>
      <c r="AX201" s="8"/>
    </row>
    <row r="202" spans="2:50" x14ac:dyDescent="0.2">
      <c r="AJ202" s="8"/>
      <c r="AK202" s="8"/>
      <c r="AL202" s="8"/>
      <c r="AM202" s="8"/>
      <c r="AN202" s="8"/>
      <c r="AO202" s="8"/>
      <c r="AP202" s="8"/>
      <c r="AQ202" s="8"/>
      <c r="AR202" s="8"/>
      <c r="AS202" s="8"/>
      <c r="AT202" s="8"/>
      <c r="AU202" s="8"/>
      <c r="AV202" s="8"/>
      <c r="AW202" s="8"/>
      <c r="AX202" s="8"/>
    </row>
    <row r="203" spans="2:50" x14ac:dyDescent="0.2">
      <c r="AT203" s="8"/>
      <c r="AU203" s="8"/>
    </row>
    <row r="204" spans="2:50" x14ac:dyDescent="0.2">
      <c r="AT204" s="109"/>
      <c r="AU204" s="8"/>
    </row>
    <row r="205" spans="2:50" x14ac:dyDescent="0.2">
      <c r="AT205" s="109"/>
      <c r="AU205" s="8"/>
    </row>
    <row r="206" spans="2:50" x14ac:dyDescent="0.2">
      <c r="P206" s="107">
        <f t="shared" ref="P206" si="7">P205*C208</f>
        <v>0</v>
      </c>
    </row>
    <row r="210" spans="7:14" x14ac:dyDescent="0.2">
      <c r="N210" s="200">
        <v>0</v>
      </c>
    </row>
    <row r="224" spans="7:14" x14ac:dyDescent="0.2">
      <c r="G224" s="104"/>
    </row>
    <row r="225" spans="9:17" x14ac:dyDescent="0.2">
      <c r="I225" s="8"/>
      <c r="J225" s="8"/>
      <c r="K225" s="8"/>
      <c r="L225" s="8"/>
      <c r="M225" s="8"/>
      <c r="N225" s="201"/>
      <c r="O225" s="8"/>
      <c r="P225" s="8"/>
    </row>
    <row r="227" spans="9:17" x14ac:dyDescent="0.2">
      <c r="Q227" s="16"/>
    </row>
    <row r="253" spans="7:7" x14ac:dyDescent="0.2">
      <c r="G253" s="32"/>
    </row>
    <row r="254" spans="7:7" x14ac:dyDescent="0.2">
      <c r="G254" s="32"/>
    </row>
    <row r="255" spans="7:7" x14ac:dyDescent="0.2">
      <c r="G255" s="32"/>
    </row>
    <row r="256" spans="7:7" x14ac:dyDescent="0.2">
      <c r="G256" s="32"/>
    </row>
    <row r="324" spans="17:17" x14ac:dyDescent="0.2">
      <c r="Q324" s="32"/>
    </row>
    <row r="325" spans="17:17" x14ac:dyDescent="0.2">
      <c r="Q325" s="32"/>
    </row>
    <row r="326" spans="17:17" x14ac:dyDescent="0.2">
      <c r="Q326" s="32"/>
    </row>
    <row r="327" spans="17:17" x14ac:dyDescent="0.2">
      <c r="Q327" s="32"/>
    </row>
    <row r="328" spans="17:17" x14ac:dyDescent="0.2">
      <c r="Q328" s="32"/>
    </row>
    <row r="329" spans="17:17" x14ac:dyDescent="0.2">
      <c r="Q329" s="32"/>
    </row>
    <row r="330" spans="17:17" x14ac:dyDescent="0.2">
      <c r="Q330" s="32"/>
    </row>
    <row r="331" spans="17:17" x14ac:dyDescent="0.2">
      <c r="Q331" s="32"/>
    </row>
    <row r="332" spans="17:17" x14ac:dyDescent="0.2">
      <c r="Q332" s="32"/>
    </row>
    <row r="333" spans="17:17" x14ac:dyDescent="0.2">
      <c r="Q333" s="32"/>
    </row>
    <row r="338" spans="17:17" x14ac:dyDescent="0.2">
      <c r="Q338" s="32"/>
    </row>
    <row r="339" spans="17:17" x14ac:dyDescent="0.2">
      <c r="Q339" s="32"/>
    </row>
    <row r="340" spans="17:17" x14ac:dyDescent="0.2">
      <c r="Q340" s="32"/>
    </row>
    <row r="341" spans="17:17" x14ac:dyDescent="0.2">
      <c r="Q341" s="32"/>
    </row>
    <row r="342" spans="17:17" x14ac:dyDescent="0.2">
      <c r="Q342" s="32"/>
    </row>
    <row r="343" spans="17:17" x14ac:dyDescent="0.2">
      <c r="Q343" s="32"/>
    </row>
    <row r="344" spans="17:17" x14ac:dyDescent="0.2">
      <c r="Q344" s="32"/>
    </row>
    <row r="345" spans="17:17" x14ac:dyDescent="0.2">
      <c r="Q345" s="32"/>
    </row>
    <row r="347" spans="17:17" x14ac:dyDescent="0.2">
      <c r="Q347" s="32"/>
    </row>
    <row r="348" spans="17:17" x14ac:dyDescent="0.2">
      <c r="Q348" s="32"/>
    </row>
    <row r="349" spans="17:17" x14ac:dyDescent="0.2">
      <c r="Q349" s="32"/>
    </row>
    <row r="350" spans="17:17" x14ac:dyDescent="0.2">
      <c r="Q350" s="32"/>
    </row>
    <row r="351" spans="17:17" x14ac:dyDescent="0.2">
      <c r="Q351" s="32"/>
    </row>
    <row r="352" spans="17:17" x14ac:dyDescent="0.2">
      <c r="Q352" s="32"/>
    </row>
    <row r="353" spans="17:17" x14ac:dyDescent="0.2">
      <c r="Q353" s="32"/>
    </row>
    <row r="355" spans="17:17" x14ac:dyDescent="0.2">
      <c r="Q355" s="108"/>
    </row>
    <row r="359" spans="17:17" x14ac:dyDescent="0.2">
      <c r="Q359" s="108"/>
    </row>
    <row r="370" spans="17:31" x14ac:dyDescent="0.2">
      <c r="Q370" s="8"/>
      <c r="R370" s="8"/>
      <c r="S370" s="8"/>
      <c r="T370" s="8"/>
      <c r="U370" s="8"/>
      <c r="V370" s="8"/>
      <c r="W370" s="8"/>
      <c r="X370" s="8"/>
      <c r="Y370" s="8"/>
      <c r="Z370" s="8"/>
    </row>
    <row r="371" spans="17:31" x14ac:dyDescent="0.2">
      <c r="Q371" s="111"/>
      <c r="R371" s="111"/>
      <c r="S371" s="111"/>
      <c r="T371" s="111"/>
      <c r="U371" s="111"/>
      <c r="V371" s="111"/>
      <c r="W371" s="111"/>
      <c r="X371" s="8"/>
      <c r="Y371" s="8"/>
      <c r="Z371" s="8"/>
      <c r="AD371" s="8"/>
      <c r="AE371" s="8"/>
    </row>
    <row r="372" spans="17:31" x14ac:dyDescent="0.2">
      <c r="Q372" s="8"/>
      <c r="R372" s="8"/>
      <c r="S372" s="8"/>
      <c r="T372" s="8"/>
      <c r="U372" s="8"/>
      <c r="V372" s="8"/>
      <c r="W372" s="8"/>
      <c r="X372" s="8"/>
      <c r="Y372" s="8"/>
      <c r="Z372" s="8"/>
      <c r="AD372" s="8"/>
      <c r="AE372" s="8"/>
    </row>
    <row r="373" spans="17:31" x14ac:dyDescent="0.2">
      <c r="Q373" s="8"/>
      <c r="R373" s="8"/>
      <c r="S373" s="8"/>
      <c r="T373" s="8"/>
      <c r="U373" s="8"/>
      <c r="V373" s="8"/>
      <c r="W373" s="8"/>
      <c r="X373" s="8"/>
      <c r="Y373" s="8"/>
      <c r="Z373" s="8"/>
      <c r="AD373" s="8"/>
      <c r="AE373" s="8"/>
    </row>
    <row r="374" spans="17:31" x14ac:dyDescent="0.2">
      <c r="Q374" s="8"/>
      <c r="R374" s="8"/>
      <c r="S374" s="8"/>
      <c r="T374" s="8"/>
      <c r="U374" s="8"/>
      <c r="V374" s="8"/>
      <c r="W374" s="8"/>
      <c r="X374" s="117"/>
      <c r="Y374" s="8"/>
      <c r="Z374" s="8"/>
      <c r="AD374" s="8"/>
      <c r="AE374" s="8"/>
    </row>
    <row r="375" spans="17:31" x14ac:dyDescent="0.2">
      <c r="Q375" s="8"/>
      <c r="R375" s="8"/>
      <c r="S375" s="8"/>
      <c r="T375" s="8"/>
      <c r="U375" s="8"/>
      <c r="V375" s="8"/>
      <c r="W375" s="8"/>
      <c r="X375" s="118"/>
      <c r="Y375" s="8"/>
      <c r="Z375" s="8"/>
    </row>
    <row r="376" spans="17:31" x14ac:dyDescent="0.2">
      <c r="Q376" s="8"/>
      <c r="R376" s="8"/>
      <c r="S376" s="8"/>
      <c r="T376" s="8"/>
      <c r="U376" s="8"/>
      <c r="V376" s="8"/>
      <c r="W376" s="8"/>
      <c r="X376" s="118"/>
      <c r="Y376" s="8"/>
      <c r="Z376" s="8"/>
    </row>
    <row r="377" spans="17:31" x14ac:dyDescent="0.2">
      <c r="Q377" s="8"/>
      <c r="R377" s="8"/>
      <c r="S377" s="8"/>
      <c r="T377" s="8"/>
      <c r="U377" s="8"/>
      <c r="V377" s="8"/>
      <c r="W377" s="8"/>
      <c r="X377" s="8"/>
      <c r="Y377" s="8"/>
      <c r="Z377" s="8"/>
    </row>
    <row r="378" spans="17:31" x14ac:dyDescent="0.2">
      <c r="Q378" s="8"/>
      <c r="R378" s="8"/>
      <c r="S378" s="8"/>
      <c r="T378" s="8"/>
      <c r="U378" s="8"/>
      <c r="V378" s="8"/>
      <c r="W378" s="8"/>
      <c r="X378" s="8"/>
      <c r="Y378" s="8"/>
      <c r="Z378" s="8"/>
    </row>
    <row r="379" spans="17:31" x14ac:dyDescent="0.2">
      <c r="Q379" s="8"/>
      <c r="R379" s="8"/>
      <c r="S379" s="8"/>
      <c r="T379" s="8"/>
      <c r="U379" s="8"/>
      <c r="V379" s="8"/>
      <c r="W379" s="8"/>
      <c r="X379" s="8"/>
      <c r="Y379" s="8"/>
      <c r="Z379" s="8"/>
    </row>
    <row r="380" spans="17:31" x14ac:dyDescent="0.2">
      <c r="Q380" s="8"/>
      <c r="R380" s="8"/>
      <c r="S380" s="8"/>
      <c r="T380" s="8"/>
      <c r="U380" s="8"/>
      <c r="V380" s="8"/>
      <c r="W380" s="8"/>
      <c r="X380" s="117"/>
      <c r="Y380" s="8"/>
      <c r="Z380" s="8"/>
      <c r="AB380" s="8"/>
    </row>
    <row r="381" spans="17:31" x14ac:dyDescent="0.2">
      <c r="Q381" s="8"/>
      <c r="R381" s="8"/>
      <c r="S381" s="8"/>
      <c r="T381" s="8"/>
      <c r="U381" s="8"/>
      <c r="V381" s="8"/>
      <c r="W381" s="8"/>
      <c r="X381" s="118"/>
      <c r="Y381" s="8"/>
      <c r="Z381" s="8"/>
      <c r="AB381" s="8"/>
    </row>
    <row r="382" spans="17:31" x14ac:dyDescent="0.2">
      <c r="Q382" s="8"/>
      <c r="R382" s="8"/>
      <c r="S382" s="8"/>
      <c r="T382" s="8"/>
      <c r="U382" s="8"/>
      <c r="V382" s="8"/>
      <c r="W382" s="8"/>
      <c r="X382" s="118"/>
      <c r="Y382" s="8"/>
      <c r="Z382" s="8"/>
      <c r="AB382" s="8"/>
    </row>
    <row r="383" spans="17:31" x14ac:dyDescent="0.2">
      <c r="Q383" s="8"/>
      <c r="R383" s="8"/>
      <c r="S383" s="8"/>
      <c r="T383" s="8"/>
      <c r="U383" s="8"/>
      <c r="V383" s="8"/>
      <c r="W383" s="8"/>
      <c r="X383" s="8"/>
      <c r="Y383" s="8"/>
      <c r="Z383" s="8"/>
      <c r="AA383" s="8"/>
      <c r="AB383" s="8"/>
      <c r="AC383" s="8"/>
    </row>
    <row r="384" spans="17:31" x14ac:dyDescent="0.2">
      <c r="Q384" s="8"/>
      <c r="R384" s="8"/>
      <c r="S384" s="8"/>
      <c r="T384" s="8"/>
      <c r="U384" s="8"/>
      <c r="V384" s="8"/>
      <c r="W384" s="8"/>
      <c r="X384" s="8"/>
      <c r="Y384" s="8"/>
      <c r="Z384" s="8"/>
      <c r="AB384" s="8"/>
    </row>
    <row r="385" spans="17:35" x14ac:dyDescent="0.2">
      <c r="Q385" s="8"/>
      <c r="R385" s="8"/>
      <c r="S385" s="8"/>
      <c r="T385" s="8"/>
      <c r="U385" s="8"/>
      <c r="V385" s="8"/>
      <c r="W385" s="8"/>
      <c r="X385" s="8"/>
      <c r="Y385" s="8"/>
      <c r="Z385" s="8"/>
      <c r="AA385" s="8"/>
      <c r="AB385" s="8"/>
      <c r="AC385" s="109"/>
    </row>
    <row r="386" spans="17:35" x14ac:dyDescent="0.2">
      <c r="Q386" s="8"/>
      <c r="R386" s="8"/>
      <c r="S386" s="8"/>
      <c r="T386" s="8"/>
      <c r="U386" s="8"/>
      <c r="V386" s="8"/>
      <c r="W386" s="8"/>
      <c r="X386" s="8"/>
      <c r="Y386" s="8"/>
      <c r="Z386" s="8"/>
      <c r="AA386" s="8"/>
      <c r="AB386" s="8"/>
      <c r="AC386" s="8"/>
    </row>
    <row r="387" spans="17:35" x14ac:dyDescent="0.2">
      <c r="Q387" s="7"/>
      <c r="R387" s="7"/>
      <c r="S387" s="7"/>
      <c r="T387" s="111"/>
      <c r="U387" s="111"/>
      <c r="V387" s="111"/>
      <c r="W387" s="111"/>
      <c r="X387" s="111"/>
      <c r="Y387" s="111"/>
      <c r="Z387" s="111"/>
      <c r="AA387" s="111"/>
      <c r="AB387" s="111"/>
      <c r="AC387" s="8"/>
      <c r="AH387" s="8"/>
      <c r="AI387" s="8"/>
    </row>
    <row r="388" spans="17:35" x14ac:dyDescent="0.2">
      <c r="Q388" s="8"/>
      <c r="R388" s="8"/>
      <c r="S388" s="8"/>
      <c r="T388" s="8"/>
      <c r="U388" s="8"/>
      <c r="V388" s="8"/>
      <c r="W388" s="8"/>
      <c r="X388" s="8"/>
      <c r="Y388" s="8"/>
      <c r="Z388" s="8"/>
      <c r="AA388" s="8"/>
      <c r="AB388" s="8"/>
      <c r="AC388" s="8"/>
      <c r="AH388" s="8"/>
      <c r="AI388" s="8"/>
    </row>
    <row r="389" spans="17:35" x14ac:dyDescent="0.2">
      <c r="Q389" s="7"/>
      <c r="R389" s="7"/>
      <c r="S389" s="8"/>
      <c r="T389" s="8"/>
      <c r="U389" s="8"/>
      <c r="V389" s="8"/>
      <c r="W389" s="8"/>
      <c r="X389" s="8"/>
      <c r="Y389" s="8"/>
      <c r="Z389" s="8"/>
      <c r="AA389" s="8"/>
      <c r="AB389" s="8"/>
      <c r="AC389" s="8"/>
      <c r="AH389" s="8"/>
      <c r="AI389" s="8"/>
    </row>
  </sheetData>
  <mergeCells count="1">
    <mergeCell ref="F8:I8"/>
  </mergeCells>
  <printOptions horizontalCentered="1"/>
  <pageMargins left="0.25" right="0.25" top="0.75" bottom="0.75" header="0.3" footer="0.3"/>
  <pageSetup paperSize="9" scale="43" fitToHeight="0" orientation="portrait" verticalDpi="1200"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300-000000000000}">
          <x14:formula1>
            <xm:f>Unit_Map!$A$11:$A$12</xm:f>
          </x14:formula1>
          <xm:sqref>D26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18"/>
  <sheetViews>
    <sheetView workbookViewId="0"/>
  </sheetViews>
  <sheetFormatPr defaultRowHeight="15" x14ac:dyDescent="0.25"/>
  <cols>
    <col min="1" max="1" width="17.5703125" bestFit="1" customWidth="1"/>
    <col min="2" max="2" width="14.85546875" bestFit="1" customWidth="1"/>
    <col min="3" max="3" width="11" bestFit="1" customWidth="1"/>
    <col min="4" max="4" width="20.28515625" customWidth="1"/>
    <col min="5" max="5" width="16" customWidth="1"/>
  </cols>
  <sheetData>
    <row r="1" spans="1:11" ht="38.25" x14ac:dyDescent="0.25">
      <c r="A1" s="262" t="s">
        <v>70</v>
      </c>
      <c r="B1" s="321" t="s">
        <v>63</v>
      </c>
      <c r="C1" s="322"/>
      <c r="D1" s="322"/>
      <c r="E1" s="323"/>
      <c r="F1" s="264" t="s">
        <v>829</v>
      </c>
      <c r="G1" s="264" t="s">
        <v>76</v>
      </c>
      <c r="H1" s="264" t="s">
        <v>75</v>
      </c>
      <c r="I1" s="264" t="s">
        <v>74</v>
      </c>
      <c r="J1" s="202" t="s">
        <v>73</v>
      </c>
      <c r="K1" s="264" t="s">
        <v>71</v>
      </c>
    </row>
    <row r="2" spans="1:11" x14ac:dyDescent="0.25">
      <c r="A2" s="263" t="s">
        <v>87</v>
      </c>
      <c r="B2" s="266">
        <f>User_Financial_Input!F11</f>
        <v>41906.600000000006</v>
      </c>
      <c r="C2" s="266">
        <f>User_Financial_Input!G11</f>
        <v>41999.200000000004</v>
      </c>
      <c r="D2" s="266">
        <f>User_Financial_Input!H11</f>
        <v>42091.8</v>
      </c>
      <c r="E2" s="266">
        <f>User_Financial_Input!I11</f>
        <v>42184.4</v>
      </c>
      <c r="F2" s="266">
        <f>User_Financial_Input!J11</f>
        <v>42277</v>
      </c>
      <c r="G2" s="267">
        <f>User_Financial_Input!K11</f>
        <v>40905</v>
      </c>
      <c r="H2" s="267">
        <f>User_Financial_Input!L11</f>
        <v>41271</v>
      </c>
      <c r="I2" s="267">
        <f>User_Financial_Input!M11</f>
        <v>41637</v>
      </c>
      <c r="J2" s="203">
        <f>User_Financial_Input!N11</f>
        <v>42003</v>
      </c>
      <c r="K2" s="266">
        <f>User_Financial_Input!O11</f>
        <v>42277</v>
      </c>
    </row>
    <row r="3" spans="1:11" x14ac:dyDescent="0.25">
      <c r="A3" s="286" t="str">
        <f>BasicInfo!C24</f>
        <v>USD</v>
      </c>
      <c r="B3" s="286">
        <v>1</v>
      </c>
      <c r="C3" s="286">
        <v>1</v>
      </c>
      <c r="D3" s="286">
        <v>1</v>
      </c>
      <c r="E3" s="286">
        <v>1</v>
      </c>
      <c r="F3" s="286">
        <v>1</v>
      </c>
      <c r="G3" s="286">
        <v>1</v>
      </c>
      <c r="H3" s="286">
        <v>1</v>
      </c>
      <c r="I3" s="286">
        <v>1</v>
      </c>
      <c r="J3" s="286">
        <v>1</v>
      </c>
      <c r="K3" s="286">
        <v>1</v>
      </c>
    </row>
    <row r="5" spans="1:11" s="96" customFormat="1" ht="21" x14ac:dyDescent="0.35">
      <c r="A5" s="96" t="s">
        <v>684</v>
      </c>
      <c r="B5" s="96" t="s">
        <v>685</v>
      </c>
      <c r="C5" s="96" t="s">
        <v>686</v>
      </c>
      <c r="E5" s="97" t="s">
        <v>761</v>
      </c>
    </row>
    <row r="6" spans="1:11" s="96" customFormat="1" x14ac:dyDescent="0.25">
      <c r="A6" s="122" t="str">
        <f>User_Financial_Input!$D$5&amp; " "&amp;"Million"</f>
        <v>USD Million</v>
      </c>
      <c r="B6" s="122" t="str">
        <f>User_Financial_Input!$D$5&amp; " "&amp;"Million"</f>
        <v>USD Million</v>
      </c>
      <c r="C6" s="123">
        <v>1</v>
      </c>
      <c r="E6" s="96" t="s">
        <v>899</v>
      </c>
    </row>
    <row r="7" spans="1:11" s="96" customFormat="1" x14ac:dyDescent="0.25">
      <c r="A7" s="122" t="str">
        <f>User_Financial_Input!$D$5&amp; " "&amp;"Thousand"</f>
        <v>USD Thousand</v>
      </c>
      <c r="B7" s="122" t="str">
        <f>User_Financial_Input!$D$5&amp; " "&amp;"Million"</f>
        <v>USD Million</v>
      </c>
      <c r="C7" s="123">
        <v>1E-3</v>
      </c>
      <c r="E7" s="96" t="s">
        <v>900</v>
      </c>
    </row>
    <row r="8" spans="1:11" s="96" customFormat="1" x14ac:dyDescent="0.25">
      <c r="A8" s="122" t="str">
        <f>User_Financial_Input!$D$5&amp; " "&amp;"Billion"</f>
        <v>USD Billion</v>
      </c>
      <c r="B8" s="122" t="str">
        <f>User_Financial_Input!$D$5&amp; " "&amp;"Million"</f>
        <v>USD Million</v>
      </c>
      <c r="C8" s="123">
        <v>1000</v>
      </c>
      <c r="E8" s="96" t="s">
        <v>901</v>
      </c>
    </row>
    <row r="9" spans="1:11" x14ac:dyDescent="0.25">
      <c r="A9" s="163" t="s">
        <v>1243</v>
      </c>
      <c r="B9" s="163" t="s">
        <v>1244</v>
      </c>
      <c r="C9" s="165">
        <v>4.5359236999999999E-4</v>
      </c>
      <c r="E9" s="180" t="s">
        <v>932</v>
      </c>
    </row>
    <row r="10" spans="1:11" x14ac:dyDescent="0.25">
      <c r="A10" s="163" t="s">
        <v>1245</v>
      </c>
      <c r="B10" s="163" t="s">
        <v>1244</v>
      </c>
      <c r="C10" s="163">
        <v>1E-3</v>
      </c>
      <c r="E10" s="180" t="s">
        <v>926</v>
      </c>
    </row>
    <row r="11" spans="1:11" x14ac:dyDescent="0.25">
      <c r="A11" s="163" t="s">
        <v>1246</v>
      </c>
      <c r="B11" s="163" t="s">
        <v>1244</v>
      </c>
      <c r="C11" s="165">
        <v>0.90718474000000004</v>
      </c>
      <c r="E11" s="46" t="s">
        <v>876</v>
      </c>
    </row>
    <row r="12" spans="1:11" x14ac:dyDescent="0.25">
      <c r="A12" s="163" t="s">
        <v>1244</v>
      </c>
      <c r="B12" s="163" t="s">
        <v>1244</v>
      </c>
      <c r="C12" s="163">
        <v>1</v>
      </c>
      <c r="E12" s="246"/>
    </row>
    <row r="13" spans="1:11" x14ac:dyDescent="0.25">
      <c r="A13" s="163" t="s">
        <v>1247</v>
      </c>
      <c r="B13" s="163" t="s">
        <v>1248</v>
      </c>
      <c r="C13" s="164">
        <v>3.5999999999999999E-3</v>
      </c>
      <c r="E13" s="246"/>
    </row>
    <row r="14" spans="1:11" x14ac:dyDescent="0.25">
      <c r="A14" s="163" t="s">
        <v>1249</v>
      </c>
      <c r="B14" s="163" t="s">
        <v>1248</v>
      </c>
      <c r="C14" s="164">
        <v>3.6</v>
      </c>
    </row>
    <row r="15" spans="1:11" x14ac:dyDescent="0.25">
      <c r="A15" s="163" t="s">
        <v>1250</v>
      </c>
      <c r="B15" s="163" t="s">
        <v>1248</v>
      </c>
      <c r="C15" s="164">
        <v>9.9999999999999995E-7</v>
      </c>
    </row>
    <row r="16" spans="1:11" x14ac:dyDescent="0.25">
      <c r="A16" s="163" t="s">
        <v>1251</v>
      </c>
      <c r="B16" s="163" t="s">
        <v>1248</v>
      </c>
      <c r="C16" s="164">
        <v>1E-3</v>
      </c>
    </row>
    <row r="17" spans="1:3" x14ac:dyDescent="0.25">
      <c r="A17" s="163" t="s">
        <v>1248</v>
      </c>
      <c r="B17" s="163" t="s">
        <v>1248</v>
      </c>
      <c r="C17" s="165">
        <v>1</v>
      </c>
    </row>
    <row r="18" spans="1:3" x14ac:dyDescent="0.25">
      <c r="A18" s="163" t="s">
        <v>1252</v>
      </c>
      <c r="B18" s="163" t="s">
        <v>1248</v>
      </c>
      <c r="C18" s="165">
        <v>1000</v>
      </c>
    </row>
  </sheetData>
  <mergeCells count="1">
    <mergeCell ref="B1:E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pageSetUpPr fitToPage="1"/>
  </sheetPr>
  <dimension ref="A2:W62"/>
  <sheetViews>
    <sheetView workbookViewId="0"/>
  </sheetViews>
  <sheetFormatPr defaultRowHeight="12.75" x14ac:dyDescent="0.2"/>
  <cols>
    <col min="1" max="1" width="6.85546875" style="6" customWidth="1"/>
    <col min="2" max="2" width="4.28515625" style="6" customWidth="1"/>
    <col min="3" max="3" width="57" style="6" customWidth="1"/>
    <col min="4" max="4" width="26.5703125" style="6" customWidth="1"/>
    <col min="5" max="5" width="9.42578125" style="6" customWidth="1"/>
    <col min="6" max="15" width="12.7109375" style="6" customWidth="1"/>
    <col min="16" max="16" width="5.140625" style="6" customWidth="1"/>
    <col min="17" max="17" width="4" style="6" customWidth="1"/>
    <col min="18" max="18" width="15.7109375" style="6" bestFit="1" customWidth="1"/>
    <col min="19" max="16384" width="9.140625" style="6"/>
  </cols>
  <sheetData>
    <row r="2" spans="1:23" ht="21" x14ac:dyDescent="0.35">
      <c r="B2" s="75" t="s">
        <v>650</v>
      </c>
      <c r="R2" s="97"/>
    </row>
    <row r="3" spans="1:23" s="16" customFormat="1" ht="38.25" x14ac:dyDescent="0.35">
      <c r="B3" s="129"/>
      <c r="C3" s="129" t="s">
        <v>346</v>
      </c>
      <c r="D3" s="129" t="s">
        <v>651</v>
      </c>
      <c r="E3" s="160" t="s">
        <v>142</v>
      </c>
      <c r="F3" s="324" t="s">
        <v>63</v>
      </c>
      <c r="G3" s="325"/>
      <c r="H3" s="325"/>
      <c r="I3" s="325"/>
      <c r="J3" s="149" t="s">
        <v>829</v>
      </c>
      <c r="K3" s="162" t="s">
        <v>76</v>
      </c>
      <c r="L3" s="162" t="s">
        <v>75</v>
      </c>
      <c r="M3" s="162" t="s">
        <v>74</v>
      </c>
      <c r="N3" s="162" t="s">
        <v>73</v>
      </c>
      <c r="O3" s="162" t="s">
        <v>71</v>
      </c>
      <c r="R3" s="97" t="s">
        <v>761</v>
      </c>
    </row>
    <row r="4" spans="1:23" s="16" customFormat="1" ht="27.75" customHeight="1" x14ac:dyDescent="0.2">
      <c r="B4" s="129"/>
      <c r="C4" s="129"/>
      <c r="D4" s="129"/>
      <c r="E4" s="129"/>
      <c r="F4" s="161">
        <f>Operation_Standard!F9</f>
        <v>41906.600000000006</v>
      </c>
      <c r="G4" s="161">
        <f>Operation_Standard!G9</f>
        <v>41999.200000000004</v>
      </c>
      <c r="H4" s="161">
        <f>Operation_Standard!H9</f>
        <v>42091.8</v>
      </c>
      <c r="I4" s="161">
        <f>Operation_Standard!I9</f>
        <v>42184.4</v>
      </c>
      <c r="J4" s="161">
        <f>Operation_Standard!J9</f>
        <v>42277</v>
      </c>
      <c r="K4" s="283">
        <f>Operation_Standard!K9</f>
        <v>40905</v>
      </c>
      <c r="L4" s="283">
        <f>Operation_Standard!L9</f>
        <v>41271</v>
      </c>
      <c r="M4" s="283">
        <f>Operation_Standard!M9</f>
        <v>41637</v>
      </c>
      <c r="N4" s="283">
        <f>Operation_Standard!N9</f>
        <v>42003</v>
      </c>
      <c r="O4" s="161">
        <f>Operation_Standard!O9</f>
        <v>42277</v>
      </c>
      <c r="R4" s="6" t="s">
        <v>775</v>
      </c>
    </row>
    <row r="5" spans="1:23" ht="15" x14ac:dyDescent="0.25">
      <c r="A5" t="s">
        <v>703</v>
      </c>
      <c r="B5" s="2">
        <v>1</v>
      </c>
      <c r="C5" s="13" t="s">
        <v>659</v>
      </c>
      <c r="D5" s="2"/>
      <c r="E5" s="2"/>
      <c r="F5" s="2"/>
      <c r="G5" s="2"/>
      <c r="H5" s="2"/>
      <c r="I5" s="2"/>
      <c r="J5" s="2"/>
      <c r="K5" s="2"/>
      <c r="L5" s="2"/>
      <c r="M5" s="2"/>
      <c r="N5" s="2"/>
      <c r="O5" s="2"/>
      <c r="R5" s="6" t="s">
        <v>937</v>
      </c>
    </row>
    <row r="6" spans="1:23" x14ac:dyDescent="0.2">
      <c r="B6" s="2"/>
      <c r="C6" s="13" t="s">
        <v>652</v>
      </c>
      <c r="D6" s="2" t="s">
        <v>335</v>
      </c>
      <c r="E6" s="2" t="str">
        <f>Operation_Standard!B262</f>
        <v>O.C.5.1</v>
      </c>
      <c r="F6" s="26">
        <f>Operation_Standard!F262</f>
        <v>0</v>
      </c>
      <c r="G6" s="26">
        <f>Operation_Standard!G262</f>
        <v>0</v>
      </c>
      <c r="H6" s="26">
        <f>Operation_Standard!H262</f>
        <v>0</v>
      </c>
      <c r="I6" s="26">
        <f>Operation_Standard!I262</f>
        <v>0</v>
      </c>
      <c r="J6" s="26">
        <f>Operation_Standard!J262</f>
        <v>0</v>
      </c>
      <c r="K6" s="26">
        <f>Operation_Standard!K262</f>
        <v>0</v>
      </c>
      <c r="L6" s="26">
        <f>Operation_Standard!L262</f>
        <v>0</v>
      </c>
      <c r="M6" s="26">
        <f>Operation_Standard!M262</f>
        <v>0</v>
      </c>
      <c r="N6" s="26">
        <f>Operation_Standard!N262</f>
        <v>0</v>
      </c>
      <c r="O6" s="26">
        <f>Operation_Standard!O262</f>
        <v>0</v>
      </c>
      <c r="R6" s="6" t="s">
        <v>913</v>
      </c>
    </row>
    <row r="7" spans="1:23" x14ac:dyDescent="0.2">
      <c r="B7" s="2"/>
      <c r="C7" s="74" t="s">
        <v>649</v>
      </c>
      <c r="D7" s="2"/>
      <c r="E7" s="2"/>
      <c r="F7" s="26"/>
      <c r="G7" s="26"/>
      <c r="H7" s="26"/>
      <c r="I7" s="26"/>
      <c r="J7" s="26"/>
      <c r="K7" s="26"/>
      <c r="L7" s="26"/>
      <c r="M7" s="26"/>
      <c r="N7" s="26"/>
      <c r="O7" s="26"/>
      <c r="R7" s="6" t="s">
        <v>953</v>
      </c>
    </row>
    <row r="8" spans="1:23" x14ac:dyDescent="0.2">
      <c r="B8" s="2"/>
      <c r="C8" s="14" t="s">
        <v>645</v>
      </c>
      <c r="D8" s="2" t="s">
        <v>1237</v>
      </c>
      <c r="E8" s="27" t="str">
        <f>Operation_Standard!B88</f>
        <v>C.1.2</v>
      </c>
      <c r="F8" s="27">
        <f>Operation_Standard!F88</f>
        <v>0</v>
      </c>
      <c r="G8" s="27">
        <f>Operation_Standard!G88</f>
        <v>0</v>
      </c>
      <c r="H8" s="27">
        <f>Operation_Standard!H88</f>
        <v>0</v>
      </c>
      <c r="I8" s="27">
        <f>Operation_Standard!I88</f>
        <v>0</v>
      </c>
      <c r="J8" s="27">
        <f>Operation_Standard!J88</f>
        <v>0</v>
      </c>
      <c r="K8" s="27">
        <f>Operation_Standard!K88</f>
        <v>0</v>
      </c>
      <c r="L8" s="27">
        <f>Operation_Standard!L88</f>
        <v>0</v>
      </c>
      <c r="M8" s="27">
        <f>Operation_Standard!M88</f>
        <v>0</v>
      </c>
      <c r="N8" s="27">
        <f>Operation_Standard!N88</f>
        <v>0</v>
      </c>
      <c r="O8" s="27">
        <f>Operation_Standard!O88</f>
        <v>0</v>
      </c>
      <c r="R8" s="6" t="s">
        <v>954</v>
      </c>
    </row>
    <row r="9" spans="1:23" x14ac:dyDescent="0.2">
      <c r="B9" s="2"/>
      <c r="C9" s="14" t="s">
        <v>963</v>
      </c>
      <c r="D9" s="2" t="s">
        <v>1237</v>
      </c>
      <c r="E9" s="27" t="str">
        <f>Operation_Standard!B112</f>
        <v>C.5.2</v>
      </c>
      <c r="F9" s="27">
        <f>Operation_Standard!F112</f>
        <v>0</v>
      </c>
      <c r="G9" s="27">
        <f>Operation_Standard!G112</f>
        <v>0</v>
      </c>
      <c r="H9" s="27">
        <f>Operation_Standard!H112</f>
        <v>0</v>
      </c>
      <c r="I9" s="27">
        <f>Operation_Standard!I112</f>
        <v>0</v>
      </c>
      <c r="J9" s="27">
        <f>Operation_Standard!J112</f>
        <v>0</v>
      </c>
      <c r="K9" s="27">
        <f>Operation_Standard!K112</f>
        <v>0</v>
      </c>
      <c r="L9" s="27">
        <f>Operation_Standard!L112</f>
        <v>0</v>
      </c>
      <c r="M9" s="27">
        <f>Operation_Standard!M112</f>
        <v>0</v>
      </c>
      <c r="N9" s="27">
        <f>Operation_Standard!N112</f>
        <v>0</v>
      </c>
      <c r="O9" s="27">
        <f>Operation_Standard!O112</f>
        <v>0</v>
      </c>
    </row>
    <row r="10" spans="1:23" x14ac:dyDescent="0.2">
      <c r="B10" s="2"/>
      <c r="C10" s="14" t="s">
        <v>968</v>
      </c>
      <c r="D10" s="2" t="s">
        <v>1237</v>
      </c>
      <c r="E10" s="27" t="str">
        <f>Operation_Standard!B66</f>
        <v>B.1.9</v>
      </c>
      <c r="F10" s="27">
        <f>Operation_Standard!F66</f>
        <v>0</v>
      </c>
      <c r="G10" s="27">
        <f>Operation_Standard!G66</f>
        <v>0</v>
      </c>
      <c r="H10" s="27">
        <f>Operation_Standard!H66</f>
        <v>0</v>
      </c>
      <c r="I10" s="27">
        <f>Operation_Standard!I66</f>
        <v>0</v>
      </c>
      <c r="J10" s="27">
        <f>Operation_Standard!J66</f>
        <v>0</v>
      </c>
      <c r="K10" s="27">
        <f>Operation_Standard!K66</f>
        <v>0</v>
      </c>
      <c r="L10" s="27">
        <f>Operation_Standard!L66</f>
        <v>0</v>
      </c>
      <c r="M10" s="27">
        <f>Operation_Standard!M66</f>
        <v>0</v>
      </c>
      <c r="N10" s="27">
        <f>Operation_Standard!N66</f>
        <v>0</v>
      </c>
      <c r="O10" s="27">
        <f>Operation_Standard!O66</f>
        <v>0</v>
      </c>
      <c r="R10" s="6" t="s">
        <v>914</v>
      </c>
    </row>
    <row r="11" spans="1:23" x14ac:dyDescent="0.2">
      <c r="B11" s="2"/>
      <c r="C11" s="173" t="str">
        <f>Financial_Standard!C57</f>
        <v>Depreciation &amp; Amortization</v>
      </c>
      <c r="D11" s="2" t="s">
        <v>839</v>
      </c>
      <c r="E11" s="27" t="str">
        <f>Financial_Standard!B57</f>
        <v>AA.1</v>
      </c>
      <c r="F11" s="27">
        <f>Financial_Standard!F57</f>
        <v>0</v>
      </c>
      <c r="G11" s="27">
        <f>Financial_Standard!G57</f>
        <v>0</v>
      </c>
      <c r="H11" s="27">
        <f>Financial_Standard!H57</f>
        <v>0</v>
      </c>
      <c r="I11" s="27">
        <f>Financial_Standard!I57</f>
        <v>0</v>
      </c>
      <c r="J11" s="27">
        <f>Financial_Standard!J57</f>
        <v>0</v>
      </c>
      <c r="K11" s="27">
        <f>Financial_Standard!K57</f>
        <v>0</v>
      </c>
      <c r="L11" s="27">
        <f>Financial_Standard!L57</f>
        <v>0</v>
      </c>
      <c r="M11" s="27">
        <f>Financial_Standard!M57</f>
        <v>0</v>
      </c>
      <c r="N11" s="27">
        <f>Financial_Standard!N57</f>
        <v>0</v>
      </c>
      <c r="O11" s="27">
        <f>Financial_Standard!O57</f>
        <v>0</v>
      </c>
      <c r="R11" s="108" t="s">
        <v>916</v>
      </c>
      <c r="S11" s="24"/>
      <c r="T11" s="24"/>
      <c r="U11" s="24"/>
      <c r="V11" s="24"/>
      <c r="W11" s="24"/>
    </row>
    <row r="12" spans="1:23" x14ac:dyDescent="0.2">
      <c r="B12" s="2"/>
      <c r="C12" s="14" t="s">
        <v>1234</v>
      </c>
      <c r="D12" s="2" t="s">
        <v>1237</v>
      </c>
      <c r="E12" s="27" t="str">
        <f>Operation_Standard!B64</f>
        <v>B.1.7</v>
      </c>
      <c r="F12" s="27">
        <f>Operation_Standard!F64</f>
        <v>0</v>
      </c>
      <c r="G12" s="27">
        <f>Operation_Standard!G64</f>
        <v>0</v>
      </c>
      <c r="H12" s="27">
        <f>Operation_Standard!H64</f>
        <v>0</v>
      </c>
      <c r="I12" s="27">
        <f>Operation_Standard!I64</f>
        <v>0</v>
      </c>
      <c r="J12" s="27">
        <f>Operation_Standard!J64</f>
        <v>0</v>
      </c>
      <c r="K12" s="27">
        <f>Operation_Standard!K64</f>
        <v>0</v>
      </c>
      <c r="L12" s="27">
        <f>Operation_Standard!L64</f>
        <v>0</v>
      </c>
      <c r="M12" s="27">
        <f>Operation_Standard!M64</f>
        <v>0</v>
      </c>
      <c r="N12" s="27">
        <f>Operation_Standard!N64</f>
        <v>0</v>
      </c>
      <c r="O12" s="27">
        <f>Operation_Standard!O64</f>
        <v>0</v>
      </c>
      <c r="R12" s="24"/>
      <c r="S12" s="24"/>
      <c r="T12" s="24"/>
      <c r="U12" s="24"/>
      <c r="V12" s="24"/>
      <c r="W12" s="24"/>
    </row>
    <row r="13" spans="1:23" x14ac:dyDescent="0.2">
      <c r="B13" s="2"/>
      <c r="C13" s="31" t="s">
        <v>646</v>
      </c>
      <c r="D13" s="2"/>
      <c r="E13" s="2"/>
      <c r="F13" s="27">
        <f>F6+(IF(ISNUMBER(F8),F8,0)+IF(ISNUMBER(F9),F9,0)-IF(ISNUMBER(F10),F10,0))+(F11-F12)</f>
        <v>0</v>
      </c>
      <c r="G13" s="27">
        <f t="shared" ref="G13:O13" si="0">G6+(IF(ISNUMBER(G8),G8,0)+IF(ISNUMBER(G9),G9,0)-IF(ISNUMBER(G10),G10,0))+(G11-G12)</f>
        <v>0</v>
      </c>
      <c r="H13" s="27">
        <f t="shared" si="0"/>
        <v>0</v>
      </c>
      <c r="I13" s="27">
        <f t="shared" si="0"/>
        <v>0</v>
      </c>
      <c r="J13" s="27">
        <f t="shared" si="0"/>
        <v>0</v>
      </c>
      <c r="K13" s="27">
        <f t="shared" si="0"/>
        <v>0</v>
      </c>
      <c r="L13" s="27">
        <f t="shared" si="0"/>
        <v>0</v>
      </c>
      <c r="M13" s="27">
        <f t="shared" si="0"/>
        <v>0</v>
      </c>
      <c r="N13" s="27">
        <f t="shared" si="0"/>
        <v>0</v>
      </c>
      <c r="O13" s="27">
        <f t="shared" si="0"/>
        <v>0</v>
      </c>
      <c r="R13" s="108" t="s">
        <v>951</v>
      </c>
      <c r="S13" s="24"/>
      <c r="T13" s="24"/>
      <c r="U13" s="24"/>
      <c r="V13" s="24"/>
      <c r="W13" s="24"/>
    </row>
    <row r="14" spans="1:23" x14ac:dyDescent="0.2">
      <c r="B14" s="2"/>
      <c r="C14" s="2"/>
      <c r="D14" s="2"/>
      <c r="E14" s="2"/>
      <c r="F14" s="27"/>
      <c r="G14" s="27"/>
      <c r="H14" s="27"/>
      <c r="I14" s="27"/>
      <c r="J14" s="27"/>
      <c r="K14" s="27"/>
      <c r="L14" s="27"/>
      <c r="M14" s="27"/>
      <c r="N14" s="27"/>
      <c r="O14" s="27"/>
      <c r="R14" s="326" t="s">
        <v>924</v>
      </c>
      <c r="S14" s="326"/>
      <c r="T14" s="326"/>
      <c r="U14" s="326"/>
      <c r="V14" s="326"/>
      <c r="W14" s="326"/>
    </row>
    <row r="15" spans="1:23" x14ac:dyDescent="0.2">
      <c r="B15" s="2"/>
      <c r="C15" s="13" t="s">
        <v>653</v>
      </c>
      <c r="D15" s="2" t="s">
        <v>299</v>
      </c>
      <c r="E15" s="27" t="str">
        <f>Financial_Standard!B174</f>
        <v>F.A.2</v>
      </c>
      <c r="F15" s="27">
        <f>Financial_Standard!F174</f>
        <v>0</v>
      </c>
      <c r="G15" s="27">
        <f>Financial_Standard!G174</f>
        <v>0</v>
      </c>
      <c r="H15" s="27">
        <f>Financial_Standard!H174</f>
        <v>0</v>
      </c>
      <c r="I15" s="27">
        <f>Financial_Standard!I174</f>
        <v>0</v>
      </c>
      <c r="J15" s="27">
        <f>Financial_Standard!J174</f>
        <v>0</v>
      </c>
      <c r="K15" s="27">
        <f>Financial_Standard!K174</f>
        <v>0</v>
      </c>
      <c r="L15" s="27">
        <f>Financial_Standard!L174</f>
        <v>0</v>
      </c>
      <c r="M15" s="27">
        <f>Financial_Standard!M174</f>
        <v>0</v>
      </c>
      <c r="N15" s="27">
        <f>Financial_Standard!N174</f>
        <v>0</v>
      </c>
      <c r="O15" s="27">
        <f>Financial_Standard!O174</f>
        <v>0</v>
      </c>
      <c r="R15" s="326"/>
      <c r="S15" s="326"/>
      <c r="T15" s="326"/>
      <c r="U15" s="326"/>
      <c r="V15" s="326"/>
      <c r="W15" s="326"/>
    </row>
    <row r="16" spans="1:23" x14ac:dyDescent="0.2">
      <c r="B16" s="2"/>
      <c r="C16" s="74" t="s">
        <v>965</v>
      </c>
      <c r="D16" s="2"/>
      <c r="E16" s="2"/>
      <c r="F16" s="27"/>
      <c r="G16" s="27"/>
      <c r="H16" s="27"/>
      <c r="I16" s="27"/>
      <c r="J16" s="27"/>
      <c r="K16" s="27"/>
      <c r="L16" s="27"/>
      <c r="M16" s="27"/>
      <c r="N16" s="27"/>
      <c r="O16" s="27"/>
      <c r="R16" s="326"/>
      <c r="S16" s="326"/>
      <c r="T16" s="326"/>
      <c r="U16" s="326"/>
      <c r="V16" s="326"/>
      <c r="W16" s="326"/>
    </row>
    <row r="17" spans="2:18" x14ac:dyDescent="0.2">
      <c r="B17" s="2"/>
      <c r="C17" s="27" t="str">
        <f>Financial_Standard!C36</f>
        <v>Financial Income</v>
      </c>
      <c r="D17" s="229" t="s">
        <v>839</v>
      </c>
      <c r="E17" s="27" t="str">
        <f>Financial_Standard!B36</f>
        <v>G.1</v>
      </c>
      <c r="F17" s="27">
        <f>Financial_Standard!F36</f>
        <v>0</v>
      </c>
      <c r="G17" s="27">
        <f>Financial_Standard!G36</f>
        <v>0</v>
      </c>
      <c r="H17" s="27">
        <f>Financial_Standard!H36</f>
        <v>0</v>
      </c>
      <c r="I17" s="27">
        <f>Financial_Standard!I36</f>
        <v>0</v>
      </c>
      <c r="J17" s="27">
        <f>Financial_Standard!J36</f>
        <v>0</v>
      </c>
      <c r="K17" s="27">
        <f>Financial_Standard!K36</f>
        <v>0</v>
      </c>
      <c r="L17" s="27">
        <f>Financial_Standard!L36</f>
        <v>0</v>
      </c>
      <c r="M17" s="27">
        <f>Financial_Standard!M36</f>
        <v>0</v>
      </c>
      <c r="N17" s="27">
        <f>Financial_Standard!N36</f>
        <v>0</v>
      </c>
      <c r="O17" s="27">
        <f>Financial_Standard!O36</f>
        <v>0</v>
      </c>
    </row>
    <row r="18" spans="2:18" x14ac:dyDescent="0.2">
      <c r="B18" s="2"/>
      <c r="C18" s="27" t="str">
        <f>Financial_Standard!C38</f>
        <v>Share of results of associated companies, net of tax</v>
      </c>
      <c r="D18" s="229" t="s">
        <v>839</v>
      </c>
      <c r="E18" s="27" t="str">
        <f>Financial_Standard!B38</f>
        <v>G.3</v>
      </c>
      <c r="F18" s="27">
        <f>Financial_Standard!F38</f>
        <v>0</v>
      </c>
      <c r="G18" s="27">
        <f>Financial_Standard!G38</f>
        <v>0</v>
      </c>
      <c r="H18" s="27">
        <f>Financial_Standard!H38</f>
        <v>0</v>
      </c>
      <c r="I18" s="27">
        <f>Financial_Standard!I38</f>
        <v>0</v>
      </c>
      <c r="J18" s="27">
        <f>Financial_Standard!J38</f>
        <v>0</v>
      </c>
      <c r="K18" s="27">
        <f>Financial_Standard!K38</f>
        <v>0</v>
      </c>
      <c r="L18" s="27">
        <f>Financial_Standard!L38</f>
        <v>0</v>
      </c>
      <c r="M18" s="27">
        <f>Financial_Standard!M38</f>
        <v>0</v>
      </c>
      <c r="N18" s="27">
        <f>Financial_Standard!N38</f>
        <v>0</v>
      </c>
      <c r="O18" s="27">
        <f>Financial_Standard!O38</f>
        <v>0</v>
      </c>
    </row>
    <row r="19" spans="2:18" x14ac:dyDescent="0.2">
      <c r="B19" s="2"/>
      <c r="C19" s="27" t="str">
        <f>Financial_Standard!C39</f>
        <v>Share of results of joint ventures, net of tax</v>
      </c>
      <c r="D19" s="229" t="s">
        <v>839</v>
      </c>
      <c r="E19" s="27" t="str">
        <f>Financial_Standard!B39</f>
        <v>G.4</v>
      </c>
      <c r="F19" s="27">
        <f>Financial_Standard!F39</f>
        <v>0</v>
      </c>
      <c r="G19" s="27">
        <f>Financial_Standard!G39</f>
        <v>0</v>
      </c>
      <c r="H19" s="27">
        <f>Financial_Standard!H39</f>
        <v>0</v>
      </c>
      <c r="I19" s="27">
        <f>Financial_Standard!I39</f>
        <v>0</v>
      </c>
      <c r="J19" s="27">
        <f>Financial_Standard!J39</f>
        <v>0</v>
      </c>
      <c r="K19" s="27">
        <f>Financial_Standard!K39</f>
        <v>0</v>
      </c>
      <c r="L19" s="27">
        <f>Financial_Standard!L39</f>
        <v>0</v>
      </c>
      <c r="M19" s="27">
        <f>Financial_Standard!M39</f>
        <v>0</v>
      </c>
      <c r="N19" s="27">
        <f>Financial_Standard!N39</f>
        <v>0</v>
      </c>
      <c r="O19" s="27">
        <f>Financial_Standard!O39</f>
        <v>0</v>
      </c>
    </row>
    <row r="20" spans="2:18" x14ac:dyDescent="0.2">
      <c r="B20" s="2"/>
      <c r="C20" s="27" t="str">
        <f>Financial_Standard!C40</f>
        <v>Foreign Exchange Gain/(Loss), net</v>
      </c>
      <c r="D20" s="229" t="s">
        <v>839</v>
      </c>
      <c r="E20" s="27" t="str">
        <f>Financial_Standard!B40</f>
        <v>G.5</v>
      </c>
      <c r="F20" s="27">
        <f>Financial_Standard!F40</f>
        <v>0</v>
      </c>
      <c r="G20" s="27">
        <f>Financial_Standard!G40</f>
        <v>0</v>
      </c>
      <c r="H20" s="27">
        <f>Financial_Standard!H40</f>
        <v>0</v>
      </c>
      <c r="I20" s="27">
        <f>Financial_Standard!I40</f>
        <v>0</v>
      </c>
      <c r="J20" s="27">
        <f>Financial_Standard!J40</f>
        <v>0</v>
      </c>
      <c r="K20" s="27">
        <f>Financial_Standard!K40</f>
        <v>0</v>
      </c>
      <c r="L20" s="27">
        <f>Financial_Standard!L40</f>
        <v>0</v>
      </c>
      <c r="M20" s="27">
        <f>Financial_Standard!M40</f>
        <v>0</v>
      </c>
      <c r="N20" s="27">
        <f>Financial_Standard!N40</f>
        <v>0</v>
      </c>
      <c r="O20" s="27">
        <f>Financial_Standard!O40</f>
        <v>0</v>
      </c>
    </row>
    <row r="21" spans="2:18" x14ac:dyDescent="0.2">
      <c r="B21" s="2"/>
      <c r="C21" s="27" t="str">
        <f>Financial_Standard!C41</f>
        <v>Other Non-Operating Income/(Expenses)</v>
      </c>
      <c r="D21" s="229" t="s">
        <v>839</v>
      </c>
      <c r="E21" s="27" t="str">
        <f>Financial_Standard!B41</f>
        <v>G.6</v>
      </c>
      <c r="F21" s="27">
        <f>Financial_Standard!F41</f>
        <v>0</v>
      </c>
      <c r="G21" s="27">
        <f>Financial_Standard!G41</f>
        <v>0</v>
      </c>
      <c r="H21" s="27">
        <f>Financial_Standard!H41</f>
        <v>0</v>
      </c>
      <c r="I21" s="27">
        <f>Financial_Standard!I41</f>
        <v>0</v>
      </c>
      <c r="J21" s="27">
        <f>Financial_Standard!J41</f>
        <v>0</v>
      </c>
      <c r="K21" s="27">
        <f>Financial_Standard!K41</f>
        <v>0</v>
      </c>
      <c r="L21" s="27">
        <f>Financial_Standard!L41</f>
        <v>0</v>
      </c>
      <c r="M21" s="27">
        <f>Financial_Standard!M41</f>
        <v>0</v>
      </c>
      <c r="N21" s="27">
        <f>Financial_Standard!N41</f>
        <v>0</v>
      </c>
      <c r="O21" s="27">
        <f>Financial_Standard!O41</f>
        <v>0</v>
      </c>
      <c r="R21" s="99" t="s">
        <v>877</v>
      </c>
    </row>
    <row r="22" spans="2:18" x14ac:dyDescent="0.2">
      <c r="B22" s="2"/>
      <c r="C22" s="13" t="s">
        <v>647</v>
      </c>
      <c r="D22" s="2"/>
      <c r="E22" s="2"/>
      <c r="F22" s="27">
        <f t="shared" ref="F22:O22" si="1">F15-SUM(F17:F21)</f>
        <v>0</v>
      </c>
      <c r="G22" s="27">
        <f t="shared" si="1"/>
        <v>0</v>
      </c>
      <c r="H22" s="27">
        <f t="shared" si="1"/>
        <v>0</v>
      </c>
      <c r="I22" s="27">
        <f t="shared" si="1"/>
        <v>0</v>
      </c>
      <c r="J22" s="27">
        <f t="shared" si="1"/>
        <v>0</v>
      </c>
      <c r="K22" s="27">
        <f t="shared" si="1"/>
        <v>0</v>
      </c>
      <c r="L22" s="27">
        <f t="shared" si="1"/>
        <v>0</v>
      </c>
      <c r="M22" s="27">
        <f t="shared" si="1"/>
        <v>0</v>
      </c>
      <c r="N22" s="27">
        <f t="shared" si="1"/>
        <v>0</v>
      </c>
      <c r="O22" s="27">
        <f t="shared" si="1"/>
        <v>0</v>
      </c>
      <c r="R22" s="6" t="s">
        <v>915</v>
      </c>
    </row>
    <row r="23" spans="2:18" x14ac:dyDescent="0.2">
      <c r="B23" s="2"/>
      <c r="C23" s="2"/>
      <c r="D23" s="2"/>
      <c r="E23" s="2"/>
      <c r="F23" s="2"/>
      <c r="G23" s="2"/>
      <c r="H23" s="2"/>
      <c r="I23" s="2"/>
      <c r="J23" s="2"/>
      <c r="K23" s="2"/>
      <c r="L23" s="2"/>
      <c r="M23" s="2"/>
      <c r="N23" s="2"/>
      <c r="O23" s="2"/>
      <c r="R23" s="6" t="s">
        <v>952</v>
      </c>
    </row>
    <row r="24" spans="2:18" x14ac:dyDescent="0.2">
      <c r="B24" s="2"/>
      <c r="C24" s="13" t="s">
        <v>648</v>
      </c>
      <c r="D24" s="2"/>
      <c r="E24" s="2"/>
      <c r="F24" s="26">
        <f t="shared" ref="F24:O24" si="2">ROUND(F13-F22,0)</f>
        <v>0</v>
      </c>
      <c r="G24" s="26">
        <f t="shared" si="2"/>
        <v>0</v>
      </c>
      <c r="H24" s="26">
        <f t="shared" si="2"/>
        <v>0</v>
      </c>
      <c r="I24" s="26">
        <f t="shared" si="2"/>
        <v>0</v>
      </c>
      <c r="J24" s="26">
        <f t="shared" si="2"/>
        <v>0</v>
      </c>
      <c r="K24" s="26">
        <f t="shared" si="2"/>
        <v>0</v>
      </c>
      <c r="L24" s="26">
        <f t="shared" si="2"/>
        <v>0</v>
      </c>
      <c r="M24" s="26">
        <f t="shared" si="2"/>
        <v>0</v>
      </c>
      <c r="N24" s="26">
        <f t="shared" si="2"/>
        <v>0</v>
      </c>
      <c r="O24" s="26">
        <f t="shared" si="2"/>
        <v>0</v>
      </c>
      <c r="P24" s="66"/>
    </row>
    <row r="25" spans="2:18" x14ac:dyDescent="0.2">
      <c r="B25" s="176"/>
      <c r="C25" s="176"/>
      <c r="D25" s="177" t="s">
        <v>654</v>
      </c>
      <c r="E25" s="178">
        <v>0.05</v>
      </c>
      <c r="F25" s="179" t="e">
        <f t="shared" ref="F25:O25" si="3">IF(OR((F13/F22)&gt;(1+$E$25),((F13/F22)&lt;(1-$E$25))),"Fail","Pass")</f>
        <v>#DIV/0!</v>
      </c>
      <c r="G25" s="179" t="e">
        <f t="shared" si="3"/>
        <v>#DIV/0!</v>
      </c>
      <c r="H25" s="179" t="e">
        <f t="shared" si="3"/>
        <v>#DIV/0!</v>
      </c>
      <c r="I25" s="179" t="e">
        <f t="shared" si="3"/>
        <v>#DIV/0!</v>
      </c>
      <c r="J25" s="179" t="e">
        <f t="shared" si="3"/>
        <v>#DIV/0!</v>
      </c>
      <c r="K25" s="179" t="e">
        <f t="shared" si="3"/>
        <v>#DIV/0!</v>
      </c>
      <c r="L25" s="179" t="e">
        <f t="shared" si="3"/>
        <v>#DIV/0!</v>
      </c>
      <c r="M25" s="179" t="e">
        <f t="shared" si="3"/>
        <v>#DIV/0!</v>
      </c>
      <c r="N25" s="179" t="e">
        <f t="shared" si="3"/>
        <v>#DIV/0!</v>
      </c>
      <c r="O25" s="179" t="e">
        <f t="shared" si="3"/>
        <v>#DIV/0!</v>
      </c>
    </row>
    <row r="26" spans="2:18" x14ac:dyDescent="0.2">
      <c r="B26" s="2"/>
      <c r="C26" s="2"/>
      <c r="D26" s="2"/>
      <c r="E26" s="2"/>
      <c r="F26" s="2"/>
      <c r="G26" s="2"/>
      <c r="H26" s="2"/>
      <c r="I26" s="2"/>
      <c r="J26" s="2"/>
      <c r="K26" s="2"/>
      <c r="L26" s="2"/>
      <c r="M26" s="2"/>
      <c r="N26" s="2"/>
      <c r="O26" s="2"/>
      <c r="R26" s="107"/>
    </row>
    <row r="27" spans="2:18" x14ac:dyDescent="0.2">
      <c r="B27" s="13">
        <v>2</v>
      </c>
      <c r="C27" s="13" t="s">
        <v>660</v>
      </c>
      <c r="D27" s="2"/>
      <c r="E27" s="2"/>
      <c r="F27" s="2"/>
      <c r="G27" s="2"/>
      <c r="H27" s="2"/>
      <c r="I27" s="2"/>
      <c r="J27" s="2"/>
      <c r="K27" s="2"/>
      <c r="L27" s="2"/>
      <c r="M27" s="2"/>
      <c r="N27" s="2"/>
      <c r="O27" s="2"/>
      <c r="R27" s="228"/>
    </row>
    <row r="28" spans="2:18" x14ac:dyDescent="0.2">
      <c r="B28" s="2"/>
      <c r="C28" s="13" t="s">
        <v>668</v>
      </c>
      <c r="D28" s="2"/>
      <c r="E28" s="2"/>
      <c r="F28" s="2"/>
      <c r="G28" s="2"/>
      <c r="H28" s="2"/>
      <c r="I28" s="2"/>
      <c r="J28" s="2"/>
      <c r="K28" s="2"/>
      <c r="L28" s="2"/>
      <c r="M28" s="2"/>
      <c r="N28" s="2"/>
      <c r="O28" s="2"/>
    </row>
    <row r="29" spans="2:18" x14ac:dyDescent="0.2">
      <c r="B29" s="2"/>
      <c r="C29" s="14" t="s">
        <v>1201</v>
      </c>
      <c r="D29" s="2" t="s">
        <v>335</v>
      </c>
      <c r="E29" s="33" t="str">
        <f>Operation_Standard!B240</f>
        <v>O.C.1.6</v>
      </c>
      <c r="F29" s="33" t="e">
        <f>Operation_Standard!F240</f>
        <v>#DIV/0!</v>
      </c>
      <c r="G29" s="33" t="e">
        <f>Operation_Standard!G240</f>
        <v>#DIV/0!</v>
      </c>
      <c r="H29" s="33" t="e">
        <f>Operation_Standard!H240</f>
        <v>#DIV/0!</v>
      </c>
      <c r="I29" s="33" t="e">
        <f>Operation_Standard!I240</f>
        <v>#DIV/0!</v>
      </c>
      <c r="J29" s="33" t="e">
        <f>Operation_Standard!J240</f>
        <v>#DIV/0!</v>
      </c>
      <c r="K29" s="33" t="e">
        <f>Operation_Standard!K240</f>
        <v>#DIV/0!</v>
      </c>
      <c r="L29" s="33" t="e">
        <f>Operation_Standard!L240</f>
        <v>#DIV/0!</v>
      </c>
      <c r="M29" s="33" t="e">
        <f>Operation_Standard!M240</f>
        <v>#DIV/0!</v>
      </c>
      <c r="N29" s="33" t="e">
        <f>Operation_Standard!N240</f>
        <v>#DIV/0!</v>
      </c>
      <c r="O29" s="33" t="e">
        <f>Operation_Standard!O240</f>
        <v>#DIV/0!</v>
      </c>
    </row>
    <row r="30" spans="2:18" x14ac:dyDescent="0.2">
      <c r="B30" s="2"/>
      <c r="C30" s="14" t="s">
        <v>1202</v>
      </c>
      <c r="D30" s="2" t="s">
        <v>1237</v>
      </c>
      <c r="E30" s="115" t="str">
        <f>Operation_Standard!B31</f>
        <v>A.5.1</v>
      </c>
      <c r="F30" s="115">
        <f>Operation_Standard!F31</f>
        <v>0</v>
      </c>
      <c r="G30" s="115">
        <f>Operation_Standard!G31</f>
        <v>0</v>
      </c>
      <c r="H30" s="115">
        <f>Operation_Standard!H31</f>
        <v>0</v>
      </c>
      <c r="I30" s="115">
        <f>Operation_Standard!I31</f>
        <v>0</v>
      </c>
      <c r="J30" s="115">
        <f>Operation_Standard!J31</f>
        <v>0</v>
      </c>
      <c r="K30" s="115">
        <f>Operation_Standard!K31</f>
        <v>0</v>
      </c>
      <c r="L30" s="115">
        <f>Operation_Standard!L31</f>
        <v>0</v>
      </c>
      <c r="M30" s="115">
        <f>Operation_Standard!M31</f>
        <v>0</v>
      </c>
      <c r="N30" s="115">
        <f>Operation_Standard!N31</f>
        <v>0</v>
      </c>
      <c r="O30" s="115">
        <f>Operation_Standard!O31</f>
        <v>0</v>
      </c>
    </row>
    <row r="31" spans="2:18" x14ac:dyDescent="0.2">
      <c r="B31" s="2"/>
      <c r="C31" s="85" t="s">
        <v>661</v>
      </c>
      <c r="D31" s="2"/>
      <c r="E31" s="2"/>
      <c r="F31" s="27" t="e">
        <f>F29*F30/1000</f>
        <v>#DIV/0!</v>
      </c>
      <c r="G31" s="27" t="e">
        <f t="shared" ref="G31:O31" si="4">G29*G30/1000</f>
        <v>#DIV/0!</v>
      </c>
      <c r="H31" s="27" t="e">
        <f t="shared" si="4"/>
        <v>#DIV/0!</v>
      </c>
      <c r="I31" s="27" t="e">
        <f t="shared" si="4"/>
        <v>#DIV/0!</v>
      </c>
      <c r="J31" s="27" t="e">
        <f t="shared" si="4"/>
        <v>#DIV/0!</v>
      </c>
      <c r="K31" s="27" t="e">
        <f t="shared" si="4"/>
        <v>#DIV/0!</v>
      </c>
      <c r="L31" s="27" t="e">
        <f t="shared" si="4"/>
        <v>#DIV/0!</v>
      </c>
      <c r="M31" s="27" t="e">
        <f t="shared" si="4"/>
        <v>#DIV/0!</v>
      </c>
      <c r="N31" s="27" t="e">
        <f t="shared" si="4"/>
        <v>#DIV/0!</v>
      </c>
      <c r="O31" s="27" t="e">
        <f t="shared" si="4"/>
        <v>#DIV/0!</v>
      </c>
    </row>
    <row r="32" spans="2:18" x14ac:dyDescent="0.2">
      <c r="B32" s="2"/>
      <c r="C32" s="85" t="s">
        <v>661</v>
      </c>
      <c r="D32" s="229" t="s">
        <v>1237</v>
      </c>
      <c r="E32" s="27" t="str">
        <f>Operation_Standard!B87</f>
        <v>C.1.1</v>
      </c>
      <c r="F32" s="27">
        <f>Operation_Standard!F87</f>
        <v>0</v>
      </c>
      <c r="G32" s="27">
        <f>Operation_Standard!G87</f>
        <v>0</v>
      </c>
      <c r="H32" s="27">
        <f>Operation_Standard!H87</f>
        <v>0</v>
      </c>
      <c r="I32" s="27">
        <f>Operation_Standard!I87</f>
        <v>0</v>
      </c>
      <c r="J32" s="27">
        <f>Operation_Standard!J87</f>
        <v>0</v>
      </c>
      <c r="K32" s="27">
        <f>Operation_Standard!K87</f>
        <v>0</v>
      </c>
      <c r="L32" s="27">
        <f>Operation_Standard!L87</f>
        <v>0</v>
      </c>
      <c r="M32" s="27">
        <f>Operation_Standard!M87</f>
        <v>0</v>
      </c>
      <c r="N32" s="27">
        <f>Operation_Standard!N87</f>
        <v>0</v>
      </c>
      <c r="O32" s="27">
        <f>Operation_Standard!O87</f>
        <v>0</v>
      </c>
      <c r="R32" s="6" t="s">
        <v>1238</v>
      </c>
    </row>
    <row r="33" spans="2:18" x14ac:dyDescent="0.2">
      <c r="B33" s="2"/>
      <c r="C33" s="2" t="s">
        <v>662</v>
      </c>
      <c r="D33" s="2" t="s">
        <v>1237</v>
      </c>
      <c r="E33" s="27" t="str">
        <f>Operation_Standard!B88</f>
        <v>C.1.2</v>
      </c>
      <c r="F33" s="27">
        <f>Operation_Standard!F88</f>
        <v>0</v>
      </c>
      <c r="G33" s="27">
        <f>Operation_Standard!G88</f>
        <v>0</v>
      </c>
      <c r="H33" s="27">
        <f>Operation_Standard!H88</f>
        <v>0</v>
      </c>
      <c r="I33" s="27">
        <f>Operation_Standard!I88</f>
        <v>0</v>
      </c>
      <c r="J33" s="27">
        <f>Operation_Standard!J88</f>
        <v>0</v>
      </c>
      <c r="K33" s="27">
        <f>Operation_Standard!K88</f>
        <v>0</v>
      </c>
      <c r="L33" s="27">
        <f>Operation_Standard!L88</f>
        <v>0</v>
      </c>
      <c r="M33" s="27">
        <f>Operation_Standard!M88</f>
        <v>0</v>
      </c>
      <c r="N33" s="27">
        <f>Operation_Standard!N88</f>
        <v>0</v>
      </c>
      <c r="O33" s="27">
        <f>Operation_Standard!O88</f>
        <v>0</v>
      </c>
    </row>
    <row r="34" spans="2:18" x14ac:dyDescent="0.2">
      <c r="B34" s="2"/>
      <c r="C34" s="13" t="s">
        <v>1235</v>
      </c>
      <c r="D34" s="2"/>
      <c r="E34" s="2"/>
      <c r="F34" s="120">
        <f t="shared" ref="F34:O34" si="5">IF(ISNUMBER(F31),F31+IF(ISNUMBER(F33),F33,0),F32+IF(ISNUMBER(F33),F33,0))</f>
        <v>0</v>
      </c>
      <c r="G34" s="120">
        <f t="shared" si="5"/>
        <v>0</v>
      </c>
      <c r="H34" s="120">
        <f t="shared" si="5"/>
        <v>0</v>
      </c>
      <c r="I34" s="120">
        <f t="shared" si="5"/>
        <v>0</v>
      </c>
      <c r="J34" s="120">
        <f t="shared" si="5"/>
        <v>0</v>
      </c>
      <c r="K34" s="120">
        <f t="shared" si="5"/>
        <v>0</v>
      </c>
      <c r="L34" s="120">
        <f t="shared" si="5"/>
        <v>0</v>
      </c>
      <c r="M34" s="120">
        <f t="shared" si="5"/>
        <v>0</v>
      </c>
      <c r="N34" s="120">
        <f t="shared" si="5"/>
        <v>0</v>
      </c>
      <c r="O34" s="120">
        <f t="shared" si="5"/>
        <v>0</v>
      </c>
      <c r="R34" s="6" t="s">
        <v>854</v>
      </c>
    </row>
    <row r="35" spans="2:18" x14ac:dyDescent="0.2">
      <c r="B35" s="2"/>
      <c r="C35" s="13"/>
      <c r="D35" s="2"/>
      <c r="E35" s="2"/>
      <c r="F35" s="27"/>
      <c r="G35" s="27"/>
      <c r="H35" s="27"/>
      <c r="I35" s="27"/>
      <c r="J35" s="27"/>
      <c r="K35" s="27"/>
      <c r="L35" s="27"/>
      <c r="M35" s="27"/>
      <c r="N35" s="27"/>
      <c r="O35" s="27"/>
    </row>
    <row r="36" spans="2:18" x14ac:dyDescent="0.2">
      <c r="B36" s="2"/>
      <c r="C36" s="13" t="s">
        <v>669</v>
      </c>
      <c r="D36" s="2"/>
      <c r="E36" s="2"/>
      <c r="F36" s="27"/>
      <c r="G36" s="27"/>
      <c r="H36" s="27"/>
      <c r="I36" s="27"/>
      <c r="J36" s="27"/>
      <c r="K36" s="27"/>
      <c r="L36" s="27"/>
      <c r="M36" s="27"/>
      <c r="N36" s="27"/>
      <c r="O36" s="27"/>
    </row>
    <row r="37" spans="2:18" x14ac:dyDescent="0.2">
      <c r="B37" s="2"/>
      <c r="C37" s="13" t="s">
        <v>663</v>
      </c>
      <c r="D37" s="229" t="s">
        <v>839</v>
      </c>
      <c r="E37" s="2" t="str">
        <f>Financial_Standard!B13</f>
        <v>A</v>
      </c>
      <c r="F37" s="27">
        <f>Financial_Standard!F13</f>
        <v>0</v>
      </c>
      <c r="G37" s="27">
        <f>Financial_Standard!G13</f>
        <v>0</v>
      </c>
      <c r="H37" s="27">
        <f>Financial_Standard!H13</f>
        <v>0</v>
      </c>
      <c r="I37" s="27">
        <f>Financial_Standard!I13</f>
        <v>0</v>
      </c>
      <c r="J37" s="27">
        <f>Financial_Standard!J13</f>
        <v>0</v>
      </c>
      <c r="K37" s="27">
        <f>Financial_Standard!K13</f>
        <v>0</v>
      </c>
      <c r="L37" s="27">
        <f>Financial_Standard!L13</f>
        <v>0</v>
      </c>
      <c r="M37" s="27">
        <f>Financial_Standard!M13</f>
        <v>0</v>
      </c>
      <c r="N37" s="27">
        <f>Financial_Standard!N13</f>
        <v>0</v>
      </c>
      <c r="O37" s="27">
        <f>Financial_Standard!O13</f>
        <v>0</v>
      </c>
    </row>
    <row r="38" spans="2:18" x14ac:dyDescent="0.2">
      <c r="B38" s="2"/>
      <c r="C38" s="13"/>
      <c r="D38" s="2"/>
      <c r="E38" s="2"/>
      <c r="F38" s="27"/>
      <c r="G38" s="27"/>
      <c r="H38" s="27"/>
      <c r="I38" s="27"/>
      <c r="J38" s="27"/>
      <c r="K38" s="27"/>
      <c r="L38" s="27"/>
      <c r="M38" s="27"/>
      <c r="N38" s="27"/>
      <c r="O38" s="27"/>
    </row>
    <row r="39" spans="2:18" x14ac:dyDescent="0.2">
      <c r="B39" s="2"/>
      <c r="C39" s="13" t="s">
        <v>664</v>
      </c>
      <c r="D39" s="2"/>
      <c r="E39" s="2"/>
      <c r="F39" s="84">
        <f>F34-F37</f>
        <v>0</v>
      </c>
      <c r="G39" s="84">
        <f t="shared" ref="G39:O39" si="6">G34-G37</f>
        <v>0</v>
      </c>
      <c r="H39" s="84">
        <f t="shared" si="6"/>
        <v>0</v>
      </c>
      <c r="I39" s="84">
        <f t="shared" si="6"/>
        <v>0</v>
      </c>
      <c r="J39" s="84">
        <f t="shared" si="6"/>
        <v>0</v>
      </c>
      <c r="K39" s="84">
        <f t="shared" si="6"/>
        <v>0</v>
      </c>
      <c r="L39" s="84">
        <f t="shared" si="6"/>
        <v>0</v>
      </c>
      <c r="M39" s="84">
        <f t="shared" si="6"/>
        <v>0</v>
      </c>
      <c r="N39" s="84">
        <f t="shared" si="6"/>
        <v>0</v>
      </c>
      <c r="O39" s="84">
        <f t="shared" si="6"/>
        <v>0</v>
      </c>
    </row>
    <row r="40" spans="2:18" x14ac:dyDescent="0.2">
      <c r="B40" s="176"/>
      <c r="C40" s="176"/>
      <c r="D40" s="177" t="s">
        <v>654</v>
      </c>
      <c r="E40" s="178">
        <v>0.05</v>
      </c>
      <c r="F40" s="179" t="e">
        <f>IF(OR((F34/F37)&gt;(1+$E$40),((F34/F37)&lt;(1-$E$40))),"Fail","Pass")</f>
        <v>#DIV/0!</v>
      </c>
      <c r="G40" s="179" t="e">
        <f t="shared" ref="G40:O40" si="7">IF(OR((G34/G37)&gt;(1+$E$40),((G34/G37)&lt;(1-$E$40))),"Fail","Pass")</f>
        <v>#DIV/0!</v>
      </c>
      <c r="H40" s="179" t="e">
        <f t="shared" si="7"/>
        <v>#DIV/0!</v>
      </c>
      <c r="I40" s="179" t="e">
        <f t="shared" si="7"/>
        <v>#DIV/0!</v>
      </c>
      <c r="J40" s="179" t="e">
        <f t="shared" si="7"/>
        <v>#DIV/0!</v>
      </c>
      <c r="K40" s="179" t="e">
        <f t="shared" si="7"/>
        <v>#DIV/0!</v>
      </c>
      <c r="L40" s="179" t="e">
        <f t="shared" si="7"/>
        <v>#DIV/0!</v>
      </c>
      <c r="M40" s="179" t="e">
        <f t="shared" si="7"/>
        <v>#DIV/0!</v>
      </c>
      <c r="N40" s="179" t="e">
        <f t="shared" si="7"/>
        <v>#DIV/0!</v>
      </c>
      <c r="O40" s="179" t="e">
        <f t="shared" si="7"/>
        <v>#DIV/0!</v>
      </c>
    </row>
    <row r="41" spans="2:18" x14ac:dyDescent="0.2">
      <c r="B41" s="2"/>
      <c r="C41" s="2"/>
      <c r="D41" s="2"/>
      <c r="E41" s="2"/>
      <c r="F41" s="2"/>
      <c r="G41" s="2"/>
      <c r="H41" s="2"/>
      <c r="I41" s="2"/>
      <c r="J41" s="2"/>
      <c r="K41" s="2"/>
      <c r="L41" s="2"/>
      <c r="M41" s="2"/>
      <c r="N41" s="2"/>
      <c r="O41" s="2"/>
    </row>
    <row r="42" spans="2:18" x14ac:dyDescent="0.2">
      <c r="B42" s="13">
        <v>3</v>
      </c>
      <c r="C42" s="13" t="s">
        <v>665</v>
      </c>
      <c r="D42" s="2"/>
      <c r="E42" s="2"/>
      <c r="F42" s="2"/>
      <c r="G42" s="2"/>
      <c r="H42" s="2"/>
      <c r="I42" s="2"/>
      <c r="J42" s="2"/>
      <c r="K42" s="2"/>
      <c r="L42" s="2"/>
      <c r="M42" s="2"/>
      <c r="N42" s="2"/>
      <c r="O42" s="2"/>
    </row>
    <row r="43" spans="2:18" x14ac:dyDescent="0.2">
      <c r="B43" s="2"/>
      <c r="C43" s="13" t="s">
        <v>668</v>
      </c>
      <c r="D43" s="2"/>
      <c r="E43" s="2"/>
      <c r="F43" s="2"/>
      <c r="G43" s="2"/>
      <c r="H43" s="2"/>
      <c r="I43" s="2"/>
      <c r="J43" s="2"/>
      <c r="K43" s="2"/>
      <c r="L43" s="2"/>
      <c r="M43" s="2"/>
      <c r="N43" s="2"/>
      <c r="O43" s="2"/>
    </row>
    <row r="44" spans="2:18" x14ac:dyDescent="0.2">
      <c r="B44" s="2"/>
      <c r="C44" s="14" t="s">
        <v>1203</v>
      </c>
      <c r="D44" s="2" t="s">
        <v>335</v>
      </c>
      <c r="E44" s="119" t="str">
        <f>Operation_Standard!B203</f>
        <v>O.B.1.13</v>
      </c>
      <c r="F44" s="119" t="e">
        <f>Operation_Standard!F203</f>
        <v>#DIV/0!</v>
      </c>
      <c r="G44" s="119" t="e">
        <f>Operation_Standard!G203</f>
        <v>#DIV/0!</v>
      </c>
      <c r="H44" s="119" t="e">
        <f>Operation_Standard!H203</f>
        <v>#DIV/0!</v>
      </c>
      <c r="I44" s="119" t="e">
        <f>Operation_Standard!I203</f>
        <v>#DIV/0!</v>
      </c>
      <c r="J44" s="119" t="e">
        <f>Operation_Standard!J203</f>
        <v>#DIV/0!</v>
      </c>
      <c r="K44" s="119" t="e">
        <f>Operation_Standard!K203</f>
        <v>#DIV/0!</v>
      </c>
      <c r="L44" s="119" t="e">
        <f>Operation_Standard!L203</f>
        <v>#DIV/0!</v>
      </c>
      <c r="M44" s="119" t="e">
        <f>Operation_Standard!M203</f>
        <v>#DIV/0!</v>
      </c>
      <c r="N44" s="119" t="e">
        <f>Operation_Standard!N203</f>
        <v>#DIV/0!</v>
      </c>
      <c r="O44" s="119" t="e">
        <f>Operation_Standard!O203</f>
        <v>#DIV/0!</v>
      </c>
    </row>
    <row r="45" spans="2:18" x14ac:dyDescent="0.2">
      <c r="B45" s="2"/>
      <c r="C45" s="14" t="s">
        <v>1202</v>
      </c>
      <c r="D45" s="2" t="s">
        <v>1237</v>
      </c>
      <c r="E45" s="27" t="str">
        <f>Operation_Standard!B31</f>
        <v>A.5.1</v>
      </c>
      <c r="F45" s="27">
        <f>Operation_Standard!F31</f>
        <v>0</v>
      </c>
      <c r="G45" s="27">
        <f>Operation_Standard!G31</f>
        <v>0</v>
      </c>
      <c r="H45" s="27">
        <f>Operation_Standard!H31</f>
        <v>0</v>
      </c>
      <c r="I45" s="27">
        <f>Operation_Standard!I31</f>
        <v>0</v>
      </c>
      <c r="J45" s="27">
        <f>Operation_Standard!J31</f>
        <v>0</v>
      </c>
      <c r="K45" s="27">
        <f>Operation_Standard!K31</f>
        <v>0</v>
      </c>
      <c r="L45" s="27">
        <f>Operation_Standard!L31</f>
        <v>0</v>
      </c>
      <c r="M45" s="27">
        <f>Operation_Standard!M31</f>
        <v>0</v>
      </c>
      <c r="N45" s="27">
        <f>Operation_Standard!N31</f>
        <v>0</v>
      </c>
      <c r="O45" s="27">
        <f>Operation_Standard!O31</f>
        <v>0</v>
      </c>
    </row>
    <row r="46" spans="2:18" x14ac:dyDescent="0.2">
      <c r="B46" s="2"/>
      <c r="C46" s="14" t="s">
        <v>34</v>
      </c>
      <c r="D46" s="2" t="s">
        <v>1237</v>
      </c>
      <c r="E46" s="27" t="str">
        <f>Operation_Standard!B64</f>
        <v>B.1.7</v>
      </c>
      <c r="F46" s="27">
        <f>Operation_Standard!F64</f>
        <v>0</v>
      </c>
      <c r="G46" s="27">
        <f>Operation_Standard!G64</f>
        <v>0</v>
      </c>
      <c r="H46" s="27">
        <f>Operation_Standard!H64</f>
        <v>0</v>
      </c>
      <c r="I46" s="27">
        <f>Operation_Standard!I64</f>
        <v>0</v>
      </c>
      <c r="J46" s="27">
        <f>Operation_Standard!J64</f>
        <v>0</v>
      </c>
      <c r="K46" s="27">
        <f>Operation_Standard!K64</f>
        <v>0</v>
      </c>
      <c r="L46" s="27">
        <f>Operation_Standard!L64</f>
        <v>0</v>
      </c>
      <c r="M46" s="27">
        <f>Operation_Standard!M64</f>
        <v>0</v>
      </c>
      <c r="N46" s="27">
        <f>Operation_Standard!N64</f>
        <v>0</v>
      </c>
      <c r="O46" s="27">
        <f>Operation_Standard!O64</f>
        <v>0</v>
      </c>
    </row>
    <row r="47" spans="2:18" s="231" customFormat="1" x14ac:dyDescent="0.2">
      <c r="B47" s="229"/>
      <c r="C47" s="233" t="s">
        <v>1233</v>
      </c>
      <c r="D47" s="229" t="s">
        <v>1237</v>
      </c>
      <c r="E47" s="27" t="str">
        <f>Operation_Standard!B65</f>
        <v>B.1.8</v>
      </c>
      <c r="F47" s="27">
        <f>Operation_Standard!F65</f>
        <v>0</v>
      </c>
      <c r="G47" s="27">
        <f>Operation_Standard!G65</f>
        <v>0</v>
      </c>
      <c r="H47" s="27">
        <f>Operation_Standard!H65</f>
        <v>0</v>
      </c>
      <c r="I47" s="27">
        <f>Operation_Standard!I65</f>
        <v>0</v>
      </c>
      <c r="J47" s="27">
        <f>Operation_Standard!J65</f>
        <v>0</v>
      </c>
      <c r="K47" s="27">
        <f>Operation_Standard!K65</f>
        <v>0</v>
      </c>
      <c r="L47" s="27">
        <f>Operation_Standard!L65</f>
        <v>0</v>
      </c>
      <c r="M47" s="27">
        <f>Operation_Standard!M65</f>
        <v>0</v>
      </c>
      <c r="N47" s="27">
        <f>Operation_Standard!N65</f>
        <v>0</v>
      </c>
      <c r="O47" s="27">
        <f>Operation_Standard!O65</f>
        <v>0</v>
      </c>
    </row>
    <row r="48" spans="2:18" x14ac:dyDescent="0.2">
      <c r="B48" s="2"/>
      <c r="C48" s="85" t="s">
        <v>666</v>
      </c>
      <c r="D48" s="2"/>
      <c r="E48" s="2"/>
      <c r="F48" s="27" t="e">
        <f>(F44*F45/1000)+SUM(F46,F47)</f>
        <v>#DIV/0!</v>
      </c>
      <c r="G48" s="27" t="e">
        <f t="shared" ref="G48:O48" si="8">(G44*G45/1000)+SUM(G46,G47)</f>
        <v>#DIV/0!</v>
      </c>
      <c r="H48" s="27" t="e">
        <f t="shared" si="8"/>
        <v>#DIV/0!</v>
      </c>
      <c r="I48" s="27" t="e">
        <f t="shared" si="8"/>
        <v>#DIV/0!</v>
      </c>
      <c r="J48" s="27" t="e">
        <f t="shared" si="8"/>
        <v>#DIV/0!</v>
      </c>
      <c r="K48" s="27" t="e">
        <f t="shared" si="8"/>
        <v>#DIV/0!</v>
      </c>
      <c r="L48" s="27" t="e">
        <f t="shared" si="8"/>
        <v>#DIV/0!</v>
      </c>
      <c r="M48" s="27" t="e">
        <f t="shared" si="8"/>
        <v>#DIV/0!</v>
      </c>
      <c r="N48" s="27" t="e">
        <f t="shared" si="8"/>
        <v>#DIV/0!</v>
      </c>
      <c r="O48" s="27" t="e">
        <f t="shared" si="8"/>
        <v>#DIV/0!</v>
      </c>
    </row>
    <row r="49" spans="1:18" x14ac:dyDescent="0.2">
      <c r="B49" s="2"/>
      <c r="C49" s="85" t="s">
        <v>666</v>
      </c>
      <c r="D49" s="229" t="s">
        <v>1237</v>
      </c>
      <c r="E49" s="27" t="str">
        <f>Operation_Standard!B57</f>
        <v>B.1</v>
      </c>
      <c r="F49" s="27">
        <f>Operation_Standard!F57</f>
        <v>0</v>
      </c>
      <c r="G49" s="27">
        <f>Operation_Standard!G57</f>
        <v>0</v>
      </c>
      <c r="H49" s="27">
        <f>Operation_Standard!H57</f>
        <v>0</v>
      </c>
      <c r="I49" s="27">
        <f>Operation_Standard!I57</f>
        <v>0</v>
      </c>
      <c r="J49" s="27">
        <f>Operation_Standard!J57</f>
        <v>0</v>
      </c>
      <c r="K49" s="27">
        <f>Operation_Standard!K57</f>
        <v>0</v>
      </c>
      <c r="L49" s="27">
        <f>Operation_Standard!L57</f>
        <v>0</v>
      </c>
      <c r="M49" s="27">
        <f>Operation_Standard!M57</f>
        <v>0</v>
      </c>
      <c r="N49" s="27">
        <f>Operation_Standard!N57</f>
        <v>0</v>
      </c>
      <c r="O49" s="27">
        <f>Operation_Standard!O57</f>
        <v>0</v>
      </c>
      <c r="R49" s="6" t="s">
        <v>1238</v>
      </c>
    </row>
    <row r="50" spans="1:18" x14ac:dyDescent="0.2">
      <c r="B50" s="2"/>
      <c r="C50" s="2" t="s">
        <v>667</v>
      </c>
      <c r="D50" s="2" t="s">
        <v>1237</v>
      </c>
      <c r="E50" s="27" t="str">
        <f>Operation_Standard!B66</f>
        <v>B.1.9</v>
      </c>
      <c r="F50" s="27">
        <f>Operation_Standard!F66</f>
        <v>0</v>
      </c>
      <c r="G50" s="27">
        <f>Operation_Standard!G66</f>
        <v>0</v>
      </c>
      <c r="H50" s="27">
        <f>Operation_Standard!H66</f>
        <v>0</v>
      </c>
      <c r="I50" s="27">
        <f>Operation_Standard!I66</f>
        <v>0</v>
      </c>
      <c r="J50" s="27">
        <f>Operation_Standard!J66</f>
        <v>0</v>
      </c>
      <c r="K50" s="27">
        <f>Operation_Standard!K66</f>
        <v>0</v>
      </c>
      <c r="L50" s="27">
        <f>Operation_Standard!L66</f>
        <v>0</v>
      </c>
      <c r="M50" s="27">
        <f>Operation_Standard!M66</f>
        <v>0</v>
      </c>
      <c r="N50" s="27">
        <f>Operation_Standard!N66</f>
        <v>0</v>
      </c>
      <c r="O50" s="27">
        <f>Operation_Standard!O66</f>
        <v>0</v>
      </c>
    </row>
    <row r="51" spans="1:18" x14ac:dyDescent="0.2">
      <c r="B51" s="2"/>
      <c r="C51" s="13" t="s">
        <v>1236</v>
      </c>
      <c r="D51" s="2"/>
      <c r="E51" s="2"/>
      <c r="F51" s="120">
        <f>IF(ISNUMBER(F48),F48+IF(ISNUMBER(F50),F50,0),F49+IF(ISNUMBER(F50),F50,0))</f>
        <v>0</v>
      </c>
      <c r="G51" s="120">
        <f t="shared" ref="G51" si="9">IF(ISNUMBER(G48),G48+IF(ISNUMBER(G50),G50,0),G49+IF(ISNUMBER(G50),G50,0))</f>
        <v>0</v>
      </c>
      <c r="H51" s="120">
        <f t="shared" ref="H51" si="10">IF(ISNUMBER(H48),H48+IF(ISNUMBER(H50),H50,0),H49+IF(ISNUMBER(H50),H50,0))</f>
        <v>0</v>
      </c>
      <c r="I51" s="120">
        <f t="shared" ref="I51" si="11">IF(ISNUMBER(I48),I48+IF(ISNUMBER(I50),I50,0),I49+IF(ISNUMBER(I50),I50,0))</f>
        <v>0</v>
      </c>
      <c r="J51" s="120">
        <f t="shared" ref="J51" si="12">IF(ISNUMBER(J48),J48+IF(ISNUMBER(J50),J50,0),J49+IF(ISNUMBER(J50),J50,0))</f>
        <v>0</v>
      </c>
      <c r="K51" s="120">
        <f t="shared" ref="K51" si="13">IF(ISNUMBER(K48),K48+IF(ISNUMBER(K50),K50,0),K49+IF(ISNUMBER(K50),K50,0))</f>
        <v>0</v>
      </c>
      <c r="L51" s="120">
        <f t="shared" ref="L51" si="14">IF(ISNUMBER(L48),L48+IF(ISNUMBER(L50),L50,0),L49+IF(ISNUMBER(L50),L50,0))</f>
        <v>0</v>
      </c>
      <c r="M51" s="120">
        <f t="shared" ref="M51" si="15">IF(ISNUMBER(M48),M48+IF(ISNUMBER(M50),M50,0),M49+IF(ISNUMBER(M50),M50,0))</f>
        <v>0</v>
      </c>
      <c r="N51" s="120">
        <f t="shared" ref="N51" si="16">IF(ISNUMBER(N48),N48+IF(ISNUMBER(N50),N50,0),N49+IF(ISNUMBER(N50),N50,0))</f>
        <v>0</v>
      </c>
      <c r="O51" s="120">
        <f t="shared" ref="O51" si="17">IF(ISNUMBER(O48),O48+IF(ISNUMBER(O50),O50,0),O49+IF(ISNUMBER(O50),O50,0))</f>
        <v>0</v>
      </c>
      <c r="R51" s="6" t="s">
        <v>854</v>
      </c>
    </row>
    <row r="52" spans="1:18" x14ac:dyDescent="0.2">
      <c r="B52" s="2"/>
      <c r="C52" s="13"/>
      <c r="D52" s="2"/>
      <c r="E52" s="2"/>
      <c r="F52" s="27"/>
      <c r="G52" s="27"/>
      <c r="H52" s="27"/>
      <c r="I52" s="27"/>
      <c r="J52" s="27"/>
      <c r="K52" s="27"/>
      <c r="L52" s="27"/>
      <c r="M52" s="27"/>
      <c r="N52" s="27"/>
      <c r="O52" s="27"/>
    </row>
    <row r="53" spans="1:18" x14ac:dyDescent="0.2">
      <c r="B53" s="2"/>
      <c r="C53" s="13" t="s">
        <v>669</v>
      </c>
      <c r="D53" s="2"/>
      <c r="E53" s="2"/>
      <c r="F53" s="27"/>
      <c r="G53" s="27"/>
      <c r="H53" s="27"/>
      <c r="I53" s="27"/>
      <c r="J53" s="27"/>
      <c r="K53" s="27"/>
      <c r="L53" s="27"/>
      <c r="M53" s="27"/>
      <c r="N53" s="27"/>
      <c r="O53" s="27"/>
    </row>
    <row r="54" spans="1:18" x14ac:dyDescent="0.2">
      <c r="B54" s="2"/>
      <c r="C54" s="14" t="s">
        <v>46</v>
      </c>
      <c r="D54" s="229" t="s">
        <v>839</v>
      </c>
      <c r="E54" s="2" t="str">
        <f>Financial_Standard!B18</f>
        <v>B</v>
      </c>
      <c r="F54" s="27">
        <f>-Financial_Standard!F18</f>
        <v>0</v>
      </c>
      <c r="G54" s="27">
        <f>-Financial_Standard!G18</f>
        <v>0</v>
      </c>
      <c r="H54" s="27">
        <f>-Financial_Standard!H18</f>
        <v>0</v>
      </c>
      <c r="I54" s="27">
        <f>-Financial_Standard!I18</f>
        <v>0</v>
      </c>
      <c r="J54" s="27">
        <f>-Financial_Standard!J18</f>
        <v>0</v>
      </c>
      <c r="K54" s="27">
        <f>-Financial_Standard!K18</f>
        <v>0</v>
      </c>
      <c r="L54" s="27">
        <f>-Financial_Standard!L18</f>
        <v>0</v>
      </c>
      <c r="M54" s="27">
        <f>-Financial_Standard!M18</f>
        <v>0</v>
      </c>
      <c r="N54" s="27">
        <f>-Financial_Standard!N18</f>
        <v>0</v>
      </c>
      <c r="O54" s="27">
        <f>-Financial_Standard!O18</f>
        <v>0</v>
      </c>
    </row>
    <row r="55" spans="1:18" x14ac:dyDescent="0.2">
      <c r="B55" s="2"/>
      <c r="C55" s="76" t="s">
        <v>86</v>
      </c>
      <c r="D55" s="229" t="s">
        <v>839</v>
      </c>
      <c r="E55" s="2" t="str">
        <f>Financial_Standard!B29</f>
        <v>E.1</v>
      </c>
      <c r="F55" s="27">
        <f>-Financial_Standard!F29</f>
        <v>0</v>
      </c>
      <c r="G55" s="27">
        <f>-Financial_Standard!G29</f>
        <v>0</v>
      </c>
      <c r="H55" s="27">
        <f>-Financial_Standard!H29</f>
        <v>0</v>
      </c>
      <c r="I55" s="27">
        <f>-Financial_Standard!I29</f>
        <v>0</v>
      </c>
      <c r="J55" s="27">
        <f>-Financial_Standard!J29</f>
        <v>0</v>
      </c>
      <c r="K55" s="27">
        <f>-Financial_Standard!K29</f>
        <v>0</v>
      </c>
      <c r="L55" s="27">
        <f>-Financial_Standard!L29</f>
        <v>0</v>
      </c>
      <c r="M55" s="27">
        <f>-Financial_Standard!M29</f>
        <v>0</v>
      </c>
      <c r="N55" s="27">
        <f>-Financial_Standard!N29</f>
        <v>0</v>
      </c>
      <c r="O55" s="27">
        <f>-Financial_Standard!O29</f>
        <v>0</v>
      </c>
    </row>
    <row r="56" spans="1:18" x14ac:dyDescent="0.2">
      <c r="B56" s="2"/>
      <c r="C56" s="76" t="s">
        <v>48</v>
      </c>
      <c r="D56" s="229" t="s">
        <v>839</v>
      </c>
      <c r="E56" s="2" t="str">
        <f>Financial_Standard!B30</f>
        <v>E.2</v>
      </c>
      <c r="F56" s="27">
        <f>-Financial_Standard!F30</f>
        <v>0</v>
      </c>
      <c r="G56" s="27">
        <f>-Financial_Standard!G30</f>
        <v>0</v>
      </c>
      <c r="H56" s="27">
        <f>-Financial_Standard!H30</f>
        <v>0</v>
      </c>
      <c r="I56" s="27">
        <f>-Financial_Standard!I30</f>
        <v>0</v>
      </c>
      <c r="J56" s="27">
        <f>-Financial_Standard!J30</f>
        <v>0</v>
      </c>
      <c r="K56" s="27">
        <f>-Financial_Standard!K30</f>
        <v>0</v>
      </c>
      <c r="L56" s="27">
        <f>-Financial_Standard!L30</f>
        <v>0</v>
      </c>
      <c r="M56" s="27">
        <f>-Financial_Standard!M30</f>
        <v>0</v>
      </c>
      <c r="N56" s="27">
        <f>-Financial_Standard!N30</f>
        <v>0</v>
      </c>
      <c r="O56" s="27">
        <f>-Financial_Standard!O30</f>
        <v>0</v>
      </c>
    </row>
    <row r="57" spans="1:18" x14ac:dyDescent="0.2">
      <c r="B57" s="2"/>
      <c r="C57" s="21" t="s">
        <v>49</v>
      </c>
      <c r="D57" s="229" t="s">
        <v>839</v>
      </c>
      <c r="E57" s="2" t="str">
        <f>Financial_Standard!B31</f>
        <v>E.3</v>
      </c>
      <c r="F57" s="27">
        <f>-Financial_Standard!F31</f>
        <v>0</v>
      </c>
      <c r="G57" s="27">
        <f>-Financial_Standard!G31</f>
        <v>0</v>
      </c>
      <c r="H57" s="27">
        <f>-Financial_Standard!H31</f>
        <v>0</v>
      </c>
      <c r="I57" s="27">
        <f>-Financial_Standard!I31</f>
        <v>0</v>
      </c>
      <c r="J57" s="27">
        <f>-Financial_Standard!J31</f>
        <v>0</v>
      </c>
      <c r="K57" s="27">
        <f>-Financial_Standard!K31</f>
        <v>0</v>
      </c>
      <c r="L57" s="27">
        <f>-Financial_Standard!L31</f>
        <v>0</v>
      </c>
      <c r="M57" s="27">
        <f>-Financial_Standard!M31</f>
        <v>0</v>
      </c>
      <c r="N57" s="27">
        <f>-Financial_Standard!N31</f>
        <v>0</v>
      </c>
      <c r="O57" s="27">
        <f>-Financial_Standard!O31</f>
        <v>0</v>
      </c>
    </row>
    <row r="58" spans="1:18" x14ac:dyDescent="0.2">
      <c r="B58" s="2"/>
      <c r="C58" s="13" t="s">
        <v>670</v>
      </c>
      <c r="D58" s="2"/>
      <c r="E58" s="2"/>
      <c r="F58" s="27">
        <f>SUM(F54:F57)</f>
        <v>0</v>
      </c>
      <c r="G58" s="27">
        <f t="shared" ref="G58:O58" si="18">SUM(G54:G57)</f>
        <v>0</v>
      </c>
      <c r="H58" s="27">
        <f t="shared" si="18"/>
        <v>0</v>
      </c>
      <c r="I58" s="27">
        <f t="shared" si="18"/>
        <v>0</v>
      </c>
      <c r="J58" s="27">
        <f t="shared" si="18"/>
        <v>0</v>
      </c>
      <c r="K58" s="27">
        <f t="shared" si="18"/>
        <v>0</v>
      </c>
      <c r="L58" s="27">
        <f t="shared" si="18"/>
        <v>0</v>
      </c>
      <c r="M58" s="27">
        <f t="shared" si="18"/>
        <v>0</v>
      </c>
      <c r="N58" s="27">
        <f t="shared" si="18"/>
        <v>0</v>
      </c>
      <c r="O58" s="27">
        <f t="shared" si="18"/>
        <v>0</v>
      </c>
    </row>
    <row r="59" spans="1:18" x14ac:dyDescent="0.2">
      <c r="B59" s="2"/>
      <c r="C59" s="13"/>
      <c r="D59" s="2"/>
      <c r="E59" s="2"/>
      <c r="F59" s="27"/>
      <c r="G59" s="27"/>
      <c r="H59" s="27"/>
      <c r="I59" s="27"/>
      <c r="J59" s="27"/>
      <c r="K59" s="27"/>
      <c r="L59" s="27"/>
      <c r="M59" s="27"/>
      <c r="N59" s="27"/>
      <c r="O59" s="27"/>
    </row>
    <row r="60" spans="1:18" x14ac:dyDescent="0.2">
      <c r="B60" s="2"/>
      <c r="C60" s="13" t="s">
        <v>664</v>
      </c>
      <c r="D60" s="2"/>
      <c r="E60" s="2"/>
      <c r="F60" s="27">
        <f>F51-F58</f>
        <v>0</v>
      </c>
      <c r="G60" s="27">
        <f t="shared" ref="G60:O60" si="19">G51-G58</f>
        <v>0</v>
      </c>
      <c r="H60" s="27">
        <f t="shared" si="19"/>
        <v>0</v>
      </c>
      <c r="I60" s="27">
        <f t="shared" si="19"/>
        <v>0</v>
      </c>
      <c r="J60" s="27">
        <f t="shared" si="19"/>
        <v>0</v>
      </c>
      <c r="K60" s="27">
        <f t="shared" si="19"/>
        <v>0</v>
      </c>
      <c r="L60" s="27">
        <f t="shared" si="19"/>
        <v>0</v>
      </c>
      <c r="M60" s="27">
        <f t="shared" si="19"/>
        <v>0</v>
      </c>
      <c r="N60" s="27">
        <f t="shared" si="19"/>
        <v>0</v>
      </c>
      <c r="O60" s="27">
        <f t="shared" si="19"/>
        <v>0</v>
      </c>
    </row>
    <row r="61" spans="1:18" x14ac:dyDescent="0.2">
      <c r="A61" s="6" t="s">
        <v>704</v>
      </c>
      <c r="B61" s="176"/>
      <c r="C61" s="176"/>
      <c r="D61" s="177" t="s">
        <v>654</v>
      </c>
      <c r="E61" s="178">
        <v>0.05</v>
      </c>
      <c r="F61" s="179" t="e">
        <f>IF(OR((F51/F58)&gt;(1+$E$61),((F51/F58)&lt;(1-$E$61))),"Fail","Pass")</f>
        <v>#DIV/0!</v>
      </c>
      <c r="G61" s="179" t="e">
        <f t="shared" ref="G61:O61" si="20">IF(OR((G51/G58)&gt;(1+$E$61),((G51/G58)&lt;(1-$E$61))),"Fail","Pass")</f>
        <v>#DIV/0!</v>
      </c>
      <c r="H61" s="179" t="e">
        <f t="shared" si="20"/>
        <v>#DIV/0!</v>
      </c>
      <c r="I61" s="179" t="e">
        <f t="shared" si="20"/>
        <v>#DIV/0!</v>
      </c>
      <c r="J61" s="179" t="e">
        <f t="shared" si="20"/>
        <v>#DIV/0!</v>
      </c>
      <c r="K61" s="179" t="e">
        <f t="shared" si="20"/>
        <v>#DIV/0!</v>
      </c>
      <c r="L61" s="179" t="e">
        <f t="shared" si="20"/>
        <v>#DIV/0!</v>
      </c>
      <c r="M61" s="179" t="e">
        <f t="shared" si="20"/>
        <v>#DIV/0!</v>
      </c>
      <c r="N61" s="179" t="e">
        <f t="shared" si="20"/>
        <v>#DIV/0!</v>
      </c>
      <c r="O61" s="179" t="e">
        <f t="shared" si="20"/>
        <v>#DIV/0!</v>
      </c>
    </row>
    <row r="62" spans="1:18" x14ac:dyDescent="0.2">
      <c r="B62" s="2"/>
      <c r="C62" s="2"/>
      <c r="D62" s="2"/>
      <c r="E62" s="2"/>
      <c r="F62" s="2"/>
      <c r="G62" s="2"/>
      <c r="H62" s="2"/>
      <c r="I62" s="2"/>
      <c r="J62" s="2"/>
      <c r="K62" s="2"/>
      <c r="L62" s="2"/>
      <c r="M62" s="2"/>
      <c r="N62" s="2"/>
      <c r="O62" s="2"/>
    </row>
  </sheetData>
  <mergeCells count="2">
    <mergeCell ref="F3:I3"/>
    <mergeCell ref="R14:W16"/>
  </mergeCells>
  <printOptions horizontalCentered="1"/>
  <pageMargins left="0.25" right="0.25" top="0.75" bottom="0.75" header="0.3" footer="0.3"/>
  <pageSetup paperSize="9" scale="43" fitToHeight="0" orientation="portrait"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65"/>
  <sheetViews>
    <sheetView workbookViewId="0"/>
  </sheetViews>
  <sheetFormatPr defaultRowHeight="15" x14ac:dyDescent="0.25"/>
  <cols>
    <col min="2" max="2" width="15.5703125" bestFit="1" customWidth="1"/>
    <col min="3" max="3" width="9.42578125" bestFit="1" customWidth="1"/>
    <col min="4" max="4" width="29.140625" bestFit="1" customWidth="1"/>
    <col min="5" max="5" width="42.28515625" bestFit="1" customWidth="1"/>
    <col min="6" max="6" width="26.5703125" bestFit="1" customWidth="1"/>
    <col min="7" max="7" width="36.85546875" bestFit="1" customWidth="1"/>
    <col min="8" max="8" width="46" bestFit="1" customWidth="1"/>
  </cols>
  <sheetData>
    <row r="2" spans="1:8" x14ac:dyDescent="0.25">
      <c r="B2" s="293" t="s">
        <v>672</v>
      </c>
      <c r="C2" s="293" t="s">
        <v>673</v>
      </c>
      <c r="D2" s="293" t="s">
        <v>621</v>
      </c>
      <c r="E2" s="293" t="s">
        <v>622</v>
      </c>
      <c r="F2" s="293" t="s">
        <v>624</v>
      </c>
      <c r="G2" s="293" t="s">
        <v>623</v>
      </c>
      <c r="H2" s="293" t="s">
        <v>66</v>
      </c>
    </row>
    <row r="3" spans="1:8" x14ac:dyDescent="0.25">
      <c r="A3" t="s">
        <v>709</v>
      </c>
      <c r="B3" s="285">
        <v>1</v>
      </c>
      <c r="C3" s="285" t="s">
        <v>674</v>
      </c>
      <c r="D3" s="285" t="s">
        <v>1437</v>
      </c>
      <c r="E3" s="285" t="s">
        <v>1474</v>
      </c>
      <c r="F3" s="285"/>
      <c r="G3" s="285" t="str">
        <f>Operation_Standard!C142</f>
        <v>Order Book Profile</v>
      </c>
      <c r="H3" s="285" t="str">
        <f>Operation_Standard!C145</f>
        <v>Closing Order Book Position</v>
      </c>
    </row>
    <row r="4" spans="1:8" x14ac:dyDescent="0.25">
      <c r="B4" s="285">
        <v>2</v>
      </c>
      <c r="C4" s="285" t="s">
        <v>674</v>
      </c>
      <c r="D4" s="285" t="s">
        <v>1438</v>
      </c>
      <c r="E4" s="285" t="s">
        <v>1335</v>
      </c>
      <c r="F4" s="285"/>
      <c r="G4" s="285" t="str">
        <f>Operation_Standard!C142</f>
        <v>Order Book Profile</v>
      </c>
      <c r="H4" s="285" t="str">
        <f>Operation_Standard!C144</f>
        <v>New Orders Received during the Period</v>
      </c>
    </row>
    <row r="5" spans="1:8" x14ac:dyDescent="0.25">
      <c r="B5" s="285">
        <v>3</v>
      </c>
      <c r="C5" s="285" t="s">
        <v>674</v>
      </c>
      <c r="D5" s="285" t="s">
        <v>1439</v>
      </c>
      <c r="E5" s="285" t="s">
        <v>1302</v>
      </c>
      <c r="F5" s="285"/>
      <c r="G5" s="285" t="str">
        <f>Operation_Standard!C148</f>
        <v>Other Comparable</v>
      </c>
      <c r="H5" s="285" t="str">
        <f>Operation_Standard!C150</f>
        <v>Book to Bill ("B2B") Ratio</v>
      </c>
    </row>
    <row r="6" spans="1:8" x14ac:dyDescent="0.25">
      <c r="B6" s="285">
        <v>4</v>
      </c>
      <c r="C6" s="285" t="s">
        <v>674</v>
      </c>
      <c r="D6" s="285" t="s">
        <v>1440</v>
      </c>
      <c r="E6" s="285" t="s">
        <v>1476</v>
      </c>
      <c r="F6" s="285"/>
      <c r="G6" s="285" t="str">
        <f>Operation_Standard!C163</f>
        <v>Asset Profile</v>
      </c>
      <c r="H6" s="285" t="str">
        <f>Operation_Standard!C168</f>
        <v>EBITDA / Gross F.A. (Annualized)</v>
      </c>
    </row>
    <row r="7" spans="1:8" x14ac:dyDescent="0.25">
      <c r="B7" s="285">
        <v>5</v>
      </c>
      <c r="C7" s="285" t="s">
        <v>674</v>
      </c>
      <c r="D7" s="285" t="s">
        <v>1441</v>
      </c>
      <c r="E7" s="285" t="s">
        <v>1542</v>
      </c>
      <c r="F7" s="285"/>
      <c r="G7" s="285" t="str">
        <f>Operation_Standard!C163</f>
        <v>Asset Profile</v>
      </c>
      <c r="H7" s="285" t="str">
        <f>Operation_Standard!C165</f>
        <v>Net F.A / Empl.</v>
      </c>
    </row>
    <row r="8" spans="1:8" x14ac:dyDescent="0.25">
      <c r="B8" s="285">
        <v>6</v>
      </c>
      <c r="C8" s="285" t="s">
        <v>674</v>
      </c>
      <c r="D8" s="285" t="s">
        <v>1442</v>
      </c>
      <c r="E8" s="285" t="s">
        <v>1532</v>
      </c>
      <c r="F8" s="285"/>
      <c r="G8" s="285" t="str">
        <f>Operation_Standard!C148</f>
        <v>Other Comparable</v>
      </c>
      <c r="H8" s="285" t="str">
        <f>Operation_Standard!C153</f>
        <v>New Order Received to S&amp;M Exp.</v>
      </c>
    </row>
    <row r="9" spans="1:8" x14ac:dyDescent="0.25">
      <c r="B9" s="285">
        <v>7</v>
      </c>
      <c r="C9" s="285" t="s">
        <v>674</v>
      </c>
      <c r="D9" s="285" t="s">
        <v>1443</v>
      </c>
      <c r="E9" s="285" t="s">
        <v>1525</v>
      </c>
      <c r="F9" s="285"/>
      <c r="G9" s="285" t="str">
        <f>Operation_Standard!C177</f>
        <v>Distribution Profile</v>
      </c>
      <c r="H9" s="285" t="str">
        <f>Operation_Standard!C178</f>
        <v>Tot. Sales Offices</v>
      </c>
    </row>
    <row r="10" spans="1:8" x14ac:dyDescent="0.25">
      <c r="B10" s="285">
        <v>8</v>
      </c>
      <c r="C10" s="285" t="s">
        <v>674</v>
      </c>
      <c r="D10" s="285" t="s">
        <v>1444</v>
      </c>
      <c r="E10" s="285" t="s">
        <v>1527</v>
      </c>
      <c r="F10" s="285"/>
      <c r="G10" s="285" t="str">
        <f>Operation_Standard!C215</f>
        <v>CAPEX Profile</v>
      </c>
      <c r="H10" s="285" t="str">
        <f>Operation_Standard!C221</f>
        <v>% CAPEX to Rev.</v>
      </c>
    </row>
    <row r="11" spans="1:8" x14ac:dyDescent="0.25">
      <c r="B11" s="285">
        <v>9</v>
      </c>
      <c r="C11" s="285" t="s">
        <v>674</v>
      </c>
      <c r="D11" s="285" t="s">
        <v>1445</v>
      </c>
      <c r="E11" s="285" t="s">
        <v>1539</v>
      </c>
      <c r="F11" s="285"/>
      <c r="G11" s="285" t="str">
        <f>Operation_Standard!C224</f>
        <v>OPEX as % of Rev.</v>
      </c>
      <c r="H11" s="285" t="str">
        <f>Operation_Standard!C226</f>
        <v>R &amp; D Exp.</v>
      </c>
    </row>
    <row r="12" spans="1:8" x14ac:dyDescent="0.25">
      <c r="B12" s="285">
        <v>10</v>
      </c>
      <c r="C12" s="285" t="s">
        <v>674</v>
      </c>
      <c r="D12" s="285" t="s">
        <v>1446</v>
      </c>
      <c r="E12" s="285" t="s">
        <v>1477</v>
      </c>
      <c r="F12" s="285"/>
      <c r="G12" s="285" t="str">
        <f>Operation_Standard!C224</f>
        <v>OPEX as % of Rev.</v>
      </c>
      <c r="H12" s="285" t="str">
        <f>Operation_Standard!C227</f>
        <v>Selling &amp; Marketing Exp.</v>
      </c>
    </row>
    <row r="13" spans="1:8" x14ac:dyDescent="0.25">
      <c r="B13" s="285">
        <v>11</v>
      </c>
      <c r="C13" s="285" t="s">
        <v>674</v>
      </c>
      <c r="D13" s="285" t="s">
        <v>1447</v>
      </c>
      <c r="E13" s="285" t="s">
        <v>1480</v>
      </c>
      <c r="F13" s="285"/>
      <c r="G13" s="285" t="str">
        <f>Operation_Standard!C224</f>
        <v>OPEX as % of Rev.</v>
      </c>
      <c r="H13" s="285" t="str">
        <f>Operation_Standard!C225</f>
        <v>Cost of Sales (Excl. D&amp;A)</v>
      </c>
    </row>
    <row r="14" spans="1:8" x14ac:dyDescent="0.25">
      <c r="B14" s="285">
        <v>12</v>
      </c>
      <c r="C14" s="285" t="s">
        <v>674</v>
      </c>
      <c r="D14" s="285" t="s">
        <v>1448</v>
      </c>
      <c r="E14" s="285" t="s">
        <v>1540</v>
      </c>
      <c r="F14" s="285"/>
      <c r="G14" s="285" t="str">
        <f>Operation_Standard!C170</f>
        <v>Manufacturing Value Added ("M.V.A") Profile</v>
      </c>
      <c r="H14" s="285" t="str">
        <f>Operation_Standard!C171</f>
        <v>M.V.A</v>
      </c>
    </row>
    <row r="15" spans="1:8" x14ac:dyDescent="0.25">
      <c r="B15" s="285">
        <v>13</v>
      </c>
      <c r="C15" s="285" t="s">
        <v>674</v>
      </c>
      <c r="D15" s="285" t="s">
        <v>1449</v>
      </c>
      <c r="E15" s="285" t="s">
        <v>1526</v>
      </c>
      <c r="F15" s="285"/>
      <c r="G15" s="285" t="str">
        <f>Operation_Standard!C170</f>
        <v>Manufacturing Value Added ("M.V.A") Profile</v>
      </c>
      <c r="H15" s="285" t="str">
        <f>Operation_Standard!C174</f>
        <v>M.V.A to Rev.</v>
      </c>
    </row>
    <row r="16" spans="1:8" x14ac:dyDescent="0.25">
      <c r="B16" s="285">
        <v>14</v>
      </c>
      <c r="C16" s="285" t="s">
        <v>674</v>
      </c>
      <c r="D16" s="285" t="s">
        <v>1450</v>
      </c>
      <c r="E16" s="285" t="s">
        <v>1541</v>
      </c>
      <c r="F16" s="285"/>
      <c r="G16" s="285" t="str">
        <f>Operation_Standard!C190</f>
        <v>Operating Expenses Breakdown</v>
      </c>
      <c r="H16" s="285" t="str">
        <f>Operation_Standard!C192</f>
        <v>Tot. Cash OPEX</v>
      </c>
    </row>
    <row r="17" spans="2:8" x14ac:dyDescent="0.25">
      <c r="B17" s="285">
        <v>15</v>
      </c>
      <c r="C17" s="285" t="s">
        <v>675</v>
      </c>
      <c r="D17" s="285" t="s">
        <v>1451</v>
      </c>
      <c r="E17" s="285" t="s">
        <v>1478</v>
      </c>
      <c r="F17" s="285" t="s">
        <v>1344</v>
      </c>
      <c r="G17" s="285" t="str">
        <f>Operation_Standard!C190</f>
        <v>Operating Expenses Breakdown</v>
      </c>
      <c r="H17" s="285" t="str">
        <f>Operation_Standard!C193</f>
        <v>Cost of Sales (Excl. D&amp;A)</v>
      </c>
    </row>
    <row r="18" spans="2:8" x14ac:dyDescent="0.25">
      <c r="B18" s="285">
        <v>15</v>
      </c>
      <c r="C18" s="285" t="s">
        <v>675</v>
      </c>
      <c r="D18" s="285" t="s">
        <v>1451</v>
      </c>
      <c r="E18" s="285" t="s">
        <v>1478</v>
      </c>
      <c r="F18" s="285" t="s">
        <v>1485</v>
      </c>
      <c r="G18" s="285" t="str">
        <f>Operation_Standard!C190</f>
        <v>Operating Expenses Breakdown</v>
      </c>
      <c r="H18" s="285" t="str">
        <f>Operation_Standard!C194</f>
        <v>R &amp;D Exp.</v>
      </c>
    </row>
    <row r="19" spans="2:8" x14ac:dyDescent="0.25">
      <c r="B19" s="285">
        <v>15</v>
      </c>
      <c r="C19" s="285" t="s">
        <v>675</v>
      </c>
      <c r="D19" s="285" t="s">
        <v>1451</v>
      </c>
      <c r="E19" s="285" t="s">
        <v>1478</v>
      </c>
      <c r="F19" s="285" t="s">
        <v>1486</v>
      </c>
      <c r="G19" s="285" t="str">
        <f>Operation_Standard!C190</f>
        <v>Operating Expenses Breakdown</v>
      </c>
      <c r="H19" s="285" t="str">
        <f>Operation_Standard!C195</f>
        <v>Selling &amp; Marketing Exp.</v>
      </c>
    </row>
    <row r="20" spans="2:8" x14ac:dyDescent="0.25">
      <c r="B20" s="285">
        <v>15</v>
      </c>
      <c r="C20" s="285" t="s">
        <v>675</v>
      </c>
      <c r="D20" s="285" t="s">
        <v>1451</v>
      </c>
      <c r="E20" s="285" t="s">
        <v>1478</v>
      </c>
      <c r="F20" s="285" t="s">
        <v>1486</v>
      </c>
      <c r="G20" s="285" t="str">
        <f>Operation_Standard!C190</f>
        <v>Operating Expenses Breakdown</v>
      </c>
      <c r="H20" s="285" t="str">
        <f>Operation_Standard!C196</f>
        <v>General &amp; Administrative Exp.</v>
      </c>
    </row>
    <row r="21" spans="2:8" x14ac:dyDescent="0.25">
      <c r="B21" s="285">
        <v>15</v>
      </c>
      <c r="C21" s="285" t="s">
        <v>675</v>
      </c>
      <c r="D21" s="285" t="s">
        <v>1451</v>
      </c>
      <c r="E21" s="285" t="s">
        <v>1478</v>
      </c>
      <c r="F21" s="285" t="s">
        <v>1486</v>
      </c>
      <c r="G21" s="285" t="str">
        <f>Operation_Standard!C190</f>
        <v>Operating Expenses Breakdown</v>
      </c>
      <c r="H21" s="285" t="str">
        <f>Operation_Standard!C197</f>
        <v>Rental Exp.</v>
      </c>
    </row>
    <row r="22" spans="2:8" x14ac:dyDescent="0.25">
      <c r="B22" s="285">
        <v>15</v>
      </c>
      <c r="C22" s="285" t="s">
        <v>675</v>
      </c>
      <c r="D22" s="285" t="s">
        <v>1451</v>
      </c>
      <c r="E22" s="285" t="s">
        <v>1478</v>
      </c>
      <c r="F22" s="285" t="s">
        <v>1381</v>
      </c>
      <c r="G22" s="285" t="str">
        <f>Operation_Standard!C190</f>
        <v>Operating Expenses Breakdown</v>
      </c>
      <c r="H22" s="285" t="str">
        <f>Operation_Standard!C198</f>
        <v>Other Cash OPEX</v>
      </c>
    </row>
    <row r="23" spans="2:8" x14ac:dyDescent="0.25">
      <c r="B23" s="285">
        <v>16</v>
      </c>
      <c r="C23" s="285" t="s">
        <v>674</v>
      </c>
      <c r="D23" s="285" t="s">
        <v>1452</v>
      </c>
      <c r="E23" s="285" t="s">
        <v>1543</v>
      </c>
      <c r="F23" s="285"/>
      <c r="G23" s="285" t="str">
        <f>Operation_Standard!C190</f>
        <v>Operating Expenses Breakdown</v>
      </c>
      <c r="H23" s="285" t="str">
        <f>Operation_Standard!C202</f>
        <v>Avg. Empl. Exp. / Empl.</v>
      </c>
    </row>
    <row r="24" spans="2:8" x14ac:dyDescent="0.25">
      <c r="B24" s="285">
        <v>17</v>
      </c>
      <c r="C24" s="285" t="s">
        <v>674</v>
      </c>
      <c r="D24" s="285" t="s">
        <v>1453</v>
      </c>
      <c r="E24" s="285" t="s">
        <v>1432</v>
      </c>
      <c r="F24" s="285"/>
      <c r="G24" s="285" t="str">
        <f>Operation_Standard!C190</f>
        <v>Operating Expenses Breakdown</v>
      </c>
      <c r="H24" s="285" t="str">
        <f>Operation_Standard!C204</f>
        <v>Avg. Cash OPEX / Sales Office</v>
      </c>
    </row>
    <row r="25" spans="2:8" x14ac:dyDescent="0.25">
      <c r="B25" s="285">
        <v>18</v>
      </c>
      <c r="C25" s="285" t="s">
        <v>674</v>
      </c>
      <c r="D25" s="285" t="s">
        <v>1454</v>
      </c>
      <c r="E25" s="285" t="s">
        <v>1073</v>
      </c>
      <c r="F25" s="285"/>
      <c r="G25" s="285" t="str">
        <f>Operation_Standard!C234</f>
        <v>Revenue Breakdown</v>
      </c>
      <c r="H25" s="285" t="str">
        <f>Operation_Standard!C235</f>
        <v>Tot. Rev.</v>
      </c>
    </row>
    <row r="26" spans="2:8" x14ac:dyDescent="0.25">
      <c r="B26" s="285">
        <v>19</v>
      </c>
      <c r="C26" s="285" t="s">
        <v>675</v>
      </c>
      <c r="D26" s="285" t="s">
        <v>1455</v>
      </c>
      <c r="E26" s="285" t="s">
        <v>1475</v>
      </c>
      <c r="F26" s="285" t="s">
        <v>1489</v>
      </c>
      <c r="G26" s="285" t="str">
        <f>Operation_Standard!C234</f>
        <v>Revenue Breakdown</v>
      </c>
      <c r="H26" s="285" t="str">
        <f>Operation_Standard!C236</f>
        <v>% Original Equipment Sales</v>
      </c>
    </row>
    <row r="27" spans="2:8" x14ac:dyDescent="0.25">
      <c r="B27" s="285">
        <v>19</v>
      </c>
      <c r="C27" s="285" t="s">
        <v>675</v>
      </c>
      <c r="D27" s="285" t="s">
        <v>1455</v>
      </c>
      <c r="E27" s="285" t="s">
        <v>1475</v>
      </c>
      <c r="F27" s="285" t="s">
        <v>1178</v>
      </c>
      <c r="G27" s="285" t="str">
        <f>Operation_Standard!C234</f>
        <v>Revenue Breakdown</v>
      </c>
      <c r="H27" s="285" t="str">
        <f>Operation_Standard!C237</f>
        <v>% After Sales Services</v>
      </c>
    </row>
    <row r="28" spans="2:8" x14ac:dyDescent="0.25">
      <c r="B28" s="285">
        <v>20</v>
      </c>
      <c r="C28" s="285" t="s">
        <v>674</v>
      </c>
      <c r="D28" s="285" t="s">
        <v>1456</v>
      </c>
      <c r="E28" s="285" t="s">
        <v>1544</v>
      </c>
      <c r="F28" s="285"/>
      <c r="G28" s="285" t="str">
        <f>Operation_Standard!C234</f>
        <v>Revenue Breakdown</v>
      </c>
      <c r="H28" s="285" t="str">
        <f>Operation_Standard!C241</f>
        <v>Avg. Rev. / Sales Office</v>
      </c>
    </row>
    <row r="29" spans="2:8" x14ac:dyDescent="0.25">
      <c r="B29" s="285">
        <v>21</v>
      </c>
      <c r="C29" s="285" t="s">
        <v>675</v>
      </c>
      <c r="D29" s="285" t="s">
        <v>1457</v>
      </c>
      <c r="E29" s="285" t="s">
        <v>1490</v>
      </c>
      <c r="F29" s="285" t="s">
        <v>898</v>
      </c>
      <c r="G29" s="285" t="str">
        <f>Operation_Standard!C244</f>
        <v>Revenue by Region</v>
      </c>
      <c r="H29" s="285" t="str">
        <f>Operation_Standard!C245</f>
        <v xml:space="preserve">% Europe </v>
      </c>
    </row>
    <row r="30" spans="2:8" x14ac:dyDescent="0.25">
      <c r="B30" s="285">
        <v>21</v>
      </c>
      <c r="C30" s="285" t="s">
        <v>675</v>
      </c>
      <c r="D30" s="285" t="s">
        <v>1457</v>
      </c>
      <c r="E30" s="285" t="s">
        <v>1490</v>
      </c>
      <c r="F30" s="285" t="s">
        <v>778</v>
      </c>
      <c r="G30" s="285" t="str">
        <f>Operation_Standard!C244</f>
        <v>Revenue by Region</v>
      </c>
      <c r="H30" s="285" t="str">
        <f>Operation_Standard!C246</f>
        <v>% Asia Pacific</v>
      </c>
    </row>
    <row r="31" spans="2:8" x14ac:dyDescent="0.25">
      <c r="B31" s="285">
        <v>21</v>
      </c>
      <c r="C31" s="285" t="s">
        <v>675</v>
      </c>
      <c r="D31" s="285" t="s">
        <v>1457</v>
      </c>
      <c r="E31" s="285" t="s">
        <v>1490</v>
      </c>
      <c r="F31" s="285" t="s">
        <v>776</v>
      </c>
      <c r="G31" s="285" t="str">
        <f>Operation_Standard!C244</f>
        <v>Revenue by Region</v>
      </c>
      <c r="H31" s="285" t="str">
        <f>Operation_Standard!C247</f>
        <v>% North America</v>
      </c>
    </row>
    <row r="32" spans="2:8" x14ac:dyDescent="0.25">
      <c r="B32" s="285">
        <v>21</v>
      </c>
      <c r="C32" s="285" t="s">
        <v>675</v>
      </c>
      <c r="D32" s="285" t="s">
        <v>1457</v>
      </c>
      <c r="E32" s="285" t="s">
        <v>1490</v>
      </c>
      <c r="F32" s="285" t="s">
        <v>1209</v>
      </c>
      <c r="G32" s="285" t="str">
        <f>Operation_Standard!C244</f>
        <v>Revenue by Region</v>
      </c>
      <c r="H32" s="285" t="str">
        <f>Operation_Standard!C248</f>
        <v>% South America</v>
      </c>
    </row>
    <row r="33" spans="1:8" x14ac:dyDescent="0.25">
      <c r="B33" s="285">
        <v>21</v>
      </c>
      <c r="C33" s="285" t="s">
        <v>675</v>
      </c>
      <c r="D33" s="285" t="s">
        <v>1457</v>
      </c>
      <c r="E33" s="285" t="s">
        <v>1490</v>
      </c>
      <c r="F33" s="285" t="s">
        <v>779</v>
      </c>
      <c r="G33" s="285" t="str">
        <f>Operation_Standard!C244</f>
        <v>Revenue by Region</v>
      </c>
      <c r="H33" s="285" t="str">
        <f>Operation_Standard!C249</f>
        <v>% Middle East &amp; Africa</v>
      </c>
    </row>
    <row r="34" spans="1:8" x14ac:dyDescent="0.25">
      <c r="B34" s="285">
        <v>21</v>
      </c>
      <c r="C34" s="285" t="s">
        <v>675</v>
      </c>
      <c r="D34" s="285" t="s">
        <v>1457</v>
      </c>
      <c r="E34" s="285" t="s">
        <v>1490</v>
      </c>
      <c r="F34" s="285" t="s">
        <v>1506</v>
      </c>
      <c r="G34" s="285" t="str">
        <f>Operation_Standard!C244</f>
        <v>Revenue by Region</v>
      </c>
      <c r="H34" s="285" t="str">
        <f>Operation_Standard!C250</f>
        <v>% Others (Unclassified)</v>
      </c>
    </row>
    <row r="35" spans="1:8" x14ac:dyDescent="0.25">
      <c r="B35" s="285">
        <v>22</v>
      </c>
      <c r="C35" s="285" t="s">
        <v>675</v>
      </c>
      <c r="D35" s="285" t="s">
        <v>1458</v>
      </c>
      <c r="E35" s="285" t="s">
        <v>1491</v>
      </c>
      <c r="F35" s="285" t="s">
        <v>1130</v>
      </c>
      <c r="G35" s="285" t="str">
        <f>Operation_Standard!C252</f>
        <v>Revenue by End User</v>
      </c>
      <c r="H35" s="285" t="str">
        <f>Operation_Standard!C253</f>
        <v>% Commercial &amp; Industrial</v>
      </c>
    </row>
    <row r="36" spans="1:8" x14ac:dyDescent="0.25">
      <c r="B36" s="285">
        <v>22</v>
      </c>
      <c r="C36" s="285" t="s">
        <v>675</v>
      </c>
      <c r="D36" s="285" t="s">
        <v>1458</v>
      </c>
      <c r="E36" s="285" t="s">
        <v>1491</v>
      </c>
      <c r="F36" s="285" t="s">
        <v>1077</v>
      </c>
      <c r="G36" s="285" t="str">
        <f>Operation_Standard!C252</f>
        <v>Revenue by End User</v>
      </c>
      <c r="H36" s="285" t="str">
        <f>Operation_Standard!C254</f>
        <v>% Residential</v>
      </c>
    </row>
    <row r="37" spans="1:8" x14ac:dyDescent="0.25">
      <c r="B37" s="285">
        <v>22</v>
      </c>
      <c r="C37" s="285" t="s">
        <v>675</v>
      </c>
      <c r="D37" s="285" t="s">
        <v>1458</v>
      </c>
      <c r="E37" s="285" t="s">
        <v>1491</v>
      </c>
      <c r="F37" s="285" t="s">
        <v>1111</v>
      </c>
      <c r="G37" s="285" t="str">
        <f>Operation_Standard!C252</f>
        <v>Revenue by End User</v>
      </c>
      <c r="H37" s="285" t="str">
        <f>Operation_Standard!C255</f>
        <v>% Other(Unclassified)</v>
      </c>
    </row>
    <row r="38" spans="1:8" x14ac:dyDescent="0.25">
      <c r="B38" s="285">
        <v>23</v>
      </c>
      <c r="C38" s="285" t="s">
        <v>675</v>
      </c>
      <c r="D38" s="285" t="s">
        <v>1459</v>
      </c>
      <c r="E38" s="285" t="s">
        <v>1492</v>
      </c>
      <c r="F38" s="285" t="s">
        <v>1255</v>
      </c>
      <c r="G38" s="285" t="str">
        <f>Operation_Standard!C257</f>
        <v>Revenue by Trade</v>
      </c>
      <c r="H38" s="285" t="str">
        <f>Operation_Standard!C258</f>
        <v>% International</v>
      </c>
    </row>
    <row r="39" spans="1:8" x14ac:dyDescent="0.25">
      <c r="B39" s="285">
        <v>23</v>
      </c>
      <c r="C39" s="285" t="s">
        <v>675</v>
      </c>
      <c r="D39" s="285" t="s">
        <v>1459</v>
      </c>
      <c r="E39" s="285" t="s">
        <v>1492</v>
      </c>
      <c r="F39" s="285" t="s">
        <v>986</v>
      </c>
      <c r="G39" s="285" t="str">
        <f>Operation_Standard!C257</f>
        <v>Revenue by Trade</v>
      </c>
      <c r="H39" s="285" t="str">
        <f>Operation_Standard!C259</f>
        <v>% Domestic</v>
      </c>
    </row>
    <row r="40" spans="1:8" x14ac:dyDescent="0.25">
      <c r="B40" s="285">
        <v>24</v>
      </c>
      <c r="C40" s="285" t="s">
        <v>674</v>
      </c>
      <c r="D40" s="285" t="s">
        <v>1460</v>
      </c>
      <c r="E40" s="285" t="s">
        <v>1488</v>
      </c>
      <c r="F40" s="285"/>
      <c r="G40" s="285" t="str">
        <f>Operation_Standard!C261</f>
        <v>EBITDA Comparison</v>
      </c>
      <c r="H40" s="285" t="str">
        <f>Operation_Standard!C262</f>
        <v>Tot. EBITDA</v>
      </c>
    </row>
    <row r="41" spans="1:8" x14ac:dyDescent="0.25">
      <c r="B41" s="285">
        <v>25</v>
      </c>
      <c r="C41" s="285" t="s">
        <v>674</v>
      </c>
      <c r="D41" s="285" t="s">
        <v>1461</v>
      </c>
      <c r="E41" s="285" t="s">
        <v>822</v>
      </c>
      <c r="F41" s="285"/>
      <c r="G41" s="285" t="str">
        <f>Operation_Standard!C261</f>
        <v>EBITDA Comparison</v>
      </c>
      <c r="H41" s="285" t="str">
        <f>Operation_Standard!C263</f>
        <v>EBITDA Margin</v>
      </c>
    </row>
    <row r="42" spans="1:8" x14ac:dyDescent="0.25">
      <c r="A42" t="s">
        <v>710</v>
      </c>
      <c r="B42" s="285">
        <v>26</v>
      </c>
      <c r="C42" s="285" t="s">
        <v>674</v>
      </c>
      <c r="D42" s="285" t="s">
        <v>1538</v>
      </c>
      <c r="E42" s="285" t="s">
        <v>1436</v>
      </c>
      <c r="F42" s="285"/>
      <c r="G42" s="285" t="str">
        <f>Operation_Standard!C261</f>
        <v>EBITDA Comparison</v>
      </c>
      <c r="H42" s="285" t="str">
        <f>Operation_Standard!C265</f>
        <v>Avg. EBITDA / Sales Office</v>
      </c>
    </row>
    <row r="43" spans="1:8" x14ac:dyDescent="0.25">
      <c r="A43" t="s">
        <v>711</v>
      </c>
      <c r="B43" s="285">
        <v>27</v>
      </c>
      <c r="C43" s="285" t="s">
        <v>674</v>
      </c>
      <c r="D43" s="285" t="s">
        <v>678</v>
      </c>
      <c r="E43" s="285" t="s">
        <v>45</v>
      </c>
      <c r="F43" s="285"/>
      <c r="G43" s="285" t="str">
        <f>Financial_Standard!C172</f>
        <v>Typical Financial Size Metric</v>
      </c>
      <c r="H43" s="285" t="str">
        <f>Financial_Standard!C173</f>
        <v>Revenue</v>
      </c>
    </row>
    <row r="44" spans="1:8" x14ac:dyDescent="0.25">
      <c r="B44" s="285">
        <v>28</v>
      </c>
      <c r="C44" s="285" t="s">
        <v>674</v>
      </c>
      <c r="D44" s="285" t="s">
        <v>679</v>
      </c>
      <c r="E44" s="285" t="s">
        <v>102</v>
      </c>
      <c r="F44" s="285"/>
      <c r="G44" s="285" t="str">
        <f>Financial_Standard!C179</f>
        <v>Profitability Ratios Comparison</v>
      </c>
      <c r="H44" s="285" t="str">
        <f>Financial_Standard!C180</f>
        <v>Gross Profit Margin</v>
      </c>
    </row>
    <row r="45" spans="1:8" x14ac:dyDescent="0.25">
      <c r="B45" s="285">
        <v>29</v>
      </c>
      <c r="C45" s="285" t="s">
        <v>674</v>
      </c>
      <c r="D45" s="285" t="s">
        <v>680</v>
      </c>
      <c r="E45" s="285" t="s">
        <v>104</v>
      </c>
      <c r="F45" s="285"/>
      <c r="G45" s="285" t="str">
        <f>Financial_Standard!C179</f>
        <v>Profitability Ratios Comparison</v>
      </c>
      <c r="H45" s="285" t="str">
        <f>Financial_Standard!C181</f>
        <v>EBITDA (Operating Cash Flow) Margin</v>
      </c>
    </row>
    <row r="46" spans="1:8" x14ac:dyDescent="0.25">
      <c r="B46" s="285">
        <v>30</v>
      </c>
      <c r="C46" s="285" t="s">
        <v>674</v>
      </c>
      <c r="D46" s="285" t="s">
        <v>681</v>
      </c>
      <c r="E46" s="285" t="s">
        <v>103</v>
      </c>
      <c r="F46" s="285"/>
      <c r="G46" s="285" t="str">
        <f>Financial_Standard!C179</f>
        <v>Profitability Ratios Comparison</v>
      </c>
      <c r="H46" s="285" t="str">
        <f>Financial_Standard!C182</f>
        <v>Net Profit Margin</v>
      </c>
    </row>
    <row r="47" spans="1:8" x14ac:dyDescent="0.25">
      <c r="B47" s="285">
        <v>31</v>
      </c>
      <c r="C47" s="285" t="s">
        <v>674</v>
      </c>
      <c r="D47" s="285" t="s">
        <v>682</v>
      </c>
      <c r="E47" s="285" t="s">
        <v>1224</v>
      </c>
      <c r="F47" s="285"/>
      <c r="G47" s="285" t="str">
        <f>Financial_Standard!C207</f>
        <v>Risk Grading Ratios</v>
      </c>
      <c r="H47" s="285" t="str">
        <f>Financial_Standard!C212</f>
        <v>Activity = Sales/Total Assets (Annualized)</v>
      </c>
    </row>
    <row r="48" spans="1:8" x14ac:dyDescent="0.25">
      <c r="B48" s="285">
        <v>32</v>
      </c>
      <c r="C48" s="285" t="s">
        <v>674</v>
      </c>
      <c r="D48" s="285" t="s">
        <v>683</v>
      </c>
      <c r="E48" s="285" t="s">
        <v>463</v>
      </c>
      <c r="F48" s="285"/>
      <c r="G48" s="285" t="str">
        <f>Financial_Standard!C207</f>
        <v>Risk Grading Ratios</v>
      </c>
      <c r="H48" s="285" t="str">
        <f>Financial_Standard!C213</f>
        <v>Activity = Net Sales Growth</v>
      </c>
    </row>
    <row r="49" spans="2:8" x14ac:dyDescent="0.25">
      <c r="B49" s="285">
        <v>33</v>
      </c>
      <c r="C49" s="285" t="s">
        <v>674</v>
      </c>
      <c r="D49" s="285" t="s">
        <v>1462</v>
      </c>
      <c r="E49" s="285" t="s">
        <v>1217</v>
      </c>
      <c r="F49" s="285"/>
      <c r="G49" s="285" t="str">
        <f>Financial_Standard!C179</f>
        <v>Profitability Ratios Comparison</v>
      </c>
      <c r="H49" s="285" t="str">
        <f>Financial_Standard!C183</f>
        <v>Return on Capital Employed (Annualized)</v>
      </c>
    </row>
    <row r="50" spans="2:8" x14ac:dyDescent="0.25">
      <c r="B50" s="285">
        <v>34</v>
      </c>
      <c r="C50" s="285" t="s">
        <v>674</v>
      </c>
      <c r="D50" s="285" t="s">
        <v>1463</v>
      </c>
      <c r="E50" s="285" t="s">
        <v>1218</v>
      </c>
      <c r="F50" s="285"/>
      <c r="G50" s="285" t="str">
        <f>Financial_Standard!C179</f>
        <v>Profitability Ratios Comparison</v>
      </c>
      <c r="H50" s="285" t="str">
        <f>Financial_Standard!C184</f>
        <v>Return on Total Assets (Annualized)</v>
      </c>
    </row>
    <row r="51" spans="2:8" x14ac:dyDescent="0.25">
      <c r="B51" s="285">
        <v>35</v>
      </c>
      <c r="C51" s="285" t="s">
        <v>674</v>
      </c>
      <c r="D51" s="285" t="s">
        <v>1464</v>
      </c>
      <c r="E51" s="285" t="s">
        <v>1322</v>
      </c>
      <c r="F51" s="285"/>
      <c r="G51" s="285" t="str">
        <f>Financial_Standard!C223</f>
        <v>Performance Ratios</v>
      </c>
      <c r="H51" s="285" t="str">
        <f>Financial_Standard!C225</f>
        <v>Return on Tangible Equity = Net Profit/TNW (Annualized)</v>
      </c>
    </row>
    <row r="52" spans="2:8" x14ac:dyDescent="0.25">
      <c r="B52" s="285">
        <v>36</v>
      </c>
      <c r="C52" s="285" t="s">
        <v>674</v>
      </c>
      <c r="D52" s="285" t="s">
        <v>1465</v>
      </c>
      <c r="E52" s="285" t="s">
        <v>1219</v>
      </c>
      <c r="F52" s="285"/>
      <c r="G52" s="285" t="str">
        <f>Financial_Standard!C186</f>
        <v>Liquidity Ratios Comparison</v>
      </c>
      <c r="H52" s="285" t="str">
        <f>Financial_Standard!C187</f>
        <v>Trade Receivable Turnover Period (Annualized)</v>
      </c>
    </row>
    <row r="53" spans="2:8" x14ac:dyDescent="0.25">
      <c r="B53" s="285">
        <v>37</v>
      </c>
      <c r="C53" s="285" t="s">
        <v>674</v>
      </c>
      <c r="D53" s="285" t="s">
        <v>1466</v>
      </c>
      <c r="E53" s="285" t="s">
        <v>1220</v>
      </c>
      <c r="F53" s="285"/>
      <c r="G53" s="285" t="str">
        <f>Financial_Standard!C186</f>
        <v>Liquidity Ratios Comparison</v>
      </c>
      <c r="H53" s="285" t="str">
        <f>Financial_Standard!C188</f>
        <v>Inventory Turnover Period (Annualized)</v>
      </c>
    </row>
    <row r="54" spans="2:8" x14ac:dyDescent="0.25">
      <c r="B54" s="285">
        <v>38</v>
      </c>
      <c r="C54" s="285" t="s">
        <v>674</v>
      </c>
      <c r="D54" s="285" t="s">
        <v>1467</v>
      </c>
      <c r="E54" s="285" t="s">
        <v>1221</v>
      </c>
      <c r="F54" s="285"/>
      <c r="G54" s="285" t="str">
        <f>Financial_Standard!C186</f>
        <v>Liquidity Ratios Comparison</v>
      </c>
      <c r="H54" s="285" t="str">
        <f>Financial_Standard!C189</f>
        <v>Trade Payables Turnover Period (Annualized)</v>
      </c>
    </row>
    <row r="55" spans="2:8" x14ac:dyDescent="0.25">
      <c r="B55" s="285">
        <v>39</v>
      </c>
      <c r="C55" s="285" t="s">
        <v>674</v>
      </c>
      <c r="D55" s="285" t="s">
        <v>1468</v>
      </c>
      <c r="E55" s="285" t="s">
        <v>844</v>
      </c>
      <c r="F55" s="285"/>
      <c r="G55" s="285" t="str">
        <f>Financial_Standard!C186</f>
        <v>Liquidity Ratios Comparison</v>
      </c>
      <c r="H55" s="285" t="str">
        <f>Financial_Standard!C190</f>
        <v>Cash Conversion Cycle (Annualized)</v>
      </c>
    </row>
    <row r="56" spans="2:8" x14ac:dyDescent="0.25">
      <c r="B56" s="285">
        <v>40</v>
      </c>
      <c r="C56" s="285" t="s">
        <v>674</v>
      </c>
      <c r="D56" s="285" t="s">
        <v>1469</v>
      </c>
      <c r="E56" s="285" t="s">
        <v>105</v>
      </c>
      <c r="F56" s="285"/>
      <c r="G56" s="285" t="str">
        <f>Financial_Standard!C186</f>
        <v>Liquidity Ratios Comparison</v>
      </c>
      <c r="H56" s="285" t="str">
        <f>Financial_Standard!C191</f>
        <v>Current Ratio</v>
      </c>
    </row>
    <row r="57" spans="2:8" x14ac:dyDescent="0.25">
      <c r="B57" s="285">
        <v>41</v>
      </c>
      <c r="C57" s="285" t="s">
        <v>674</v>
      </c>
      <c r="D57" s="285" t="s">
        <v>1470</v>
      </c>
      <c r="E57" s="285" t="s">
        <v>505</v>
      </c>
      <c r="F57" s="285"/>
      <c r="G57" s="285" t="str">
        <f>Financial_Standard!C235</f>
        <v>Liquidity Ratios</v>
      </c>
      <c r="H57" s="285" t="str">
        <f>Financial_Standard!C237</f>
        <v>Quick Ratio</v>
      </c>
    </row>
    <row r="58" spans="2:8" x14ac:dyDescent="0.25">
      <c r="B58" s="285">
        <v>42</v>
      </c>
      <c r="C58" s="285" t="s">
        <v>674</v>
      </c>
      <c r="D58" s="285" t="s">
        <v>1471</v>
      </c>
      <c r="E58" s="285" t="s">
        <v>508</v>
      </c>
      <c r="F58" s="285"/>
      <c r="G58" s="285" t="str">
        <f>Financial_Standard!C235</f>
        <v>Liquidity Ratios</v>
      </c>
      <c r="H58" s="285" t="str">
        <f>Financial_Standard!C239</f>
        <v>Liquid Assets/Total Assets</v>
      </c>
    </row>
    <row r="59" spans="2:8" x14ac:dyDescent="0.25">
      <c r="B59" s="285">
        <v>43</v>
      </c>
      <c r="C59" s="285" t="s">
        <v>674</v>
      </c>
      <c r="D59" s="285" t="s">
        <v>1472</v>
      </c>
      <c r="E59" s="285" t="s">
        <v>106</v>
      </c>
      <c r="F59" s="285"/>
      <c r="G59" s="285" t="str">
        <f>Financial_Standard!C196</f>
        <v>Leveraging Ratios Comparison</v>
      </c>
      <c r="H59" s="285" t="str">
        <f>Financial_Standard!C198</f>
        <v>Interest Coverage Ratio</v>
      </c>
    </row>
    <row r="60" spans="2:8" x14ac:dyDescent="0.25">
      <c r="B60" s="285">
        <v>44</v>
      </c>
      <c r="C60" s="285" t="s">
        <v>674</v>
      </c>
      <c r="D60" s="285" t="s">
        <v>1473</v>
      </c>
      <c r="E60" s="285" t="s">
        <v>1222</v>
      </c>
      <c r="F60" s="285"/>
      <c r="G60" s="285" t="str">
        <f>Financial_Standard!C196</f>
        <v>Leveraging Ratios Comparison</v>
      </c>
      <c r="H60" s="285" t="str">
        <f>Financial_Standard!C197</f>
        <v>Debt Service Coverage Ratio (DSCR) (Annualized)</v>
      </c>
    </row>
    <row r="61" spans="2:8" x14ac:dyDescent="0.25">
      <c r="B61" s="285">
        <v>45</v>
      </c>
      <c r="C61" s="285" t="s">
        <v>674</v>
      </c>
      <c r="D61" s="285" t="s">
        <v>1518</v>
      </c>
      <c r="E61" s="285" t="s">
        <v>1223</v>
      </c>
      <c r="F61" s="285"/>
      <c r="G61" s="285" t="str">
        <f>Financial_Standard!C196</f>
        <v>Leveraging Ratios Comparison</v>
      </c>
      <c r="H61" s="285" t="str">
        <f>Financial_Standard!C199</f>
        <v>Gross Debt to EBITDA (Annualized)</v>
      </c>
    </row>
    <row r="62" spans="2:8" x14ac:dyDescent="0.25">
      <c r="B62" s="285">
        <v>46</v>
      </c>
      <c r="C62" s="285" t="s">
        <v>674</v>
      </c>
      <c r="D62" s="285" t="s">
        <v>1519</v>
      </c>
      <c r="E62" s="285" t="s">
        <v>111</v>
      </c>
      <c r="F62" s="285"/>
      <c r="G62" s="285" t="str">
        <f>Financial_Standard!C196</f>
        <v>Leveraging Ratios Comparison</v>
      </c>
      <c r="H62" s="285" t="str">
        <f>Financial_Standard!C201</f>
        <v>Gross Debt to Equity Ratio</v>
      </c>
    </row>
    <row r="63" spans="2:8" x14ac:dyDescent="0.25">
      <c r="B63" s="285">
        <v>47</v>
      </c>
      <c r="C63" s="285" t="s">
        <v>674</v>
      </c>
      <c r="D63" s="285" t="s">
        <v>1520</v>
      </c>
      <c r="E63" s="285" t="s">
        <v>469</v>
      </c>
      <c r="F63" s="285"/>
      <c r="G63" s="285" t="str">
        <f>Financial_Standard!C207</f>
        <v>Risk Grading Ratios</v>
      </c>
      <c r="H63" s="285" t="str">
        <f>Financial_Standard!C215</f>
        <v>Size = Tangible Net Worth (TNW)</v>
      </c>
    </row>
    <row r="64" spans="2:8" x14ac:dyDescent="0.25">
      <c r="B64" s="285">
        <v>48</v>
      </c>
      <c r="C64" s="285" t="s">
        <v>674</v>
      </c>
      <c r="D64" s="285" t="s">
        <v>1521</v>
      </c>
      <c r="E64" s="285" t="s">
        <v>454</v>
      </c>
      <c r="F64" s="285"/>
      <c r="G64" s="285" t="str">
        <f>Financial_Standard!C207</f>
        <v>Risk Grading Ratios</v>
      </c>
      <c r="H64" s="285" t="str">
        <f>Financial_Standard!C209</f>
        <v>Leverage = TNW/Debt Servicing Amount</v>
      </c>
    </row>
    <row r="65" spans="1:8" x14ac:dyDescent="0.25">
      <c r="A65" t="s">
        <v>712</v>
      </c>
      <c r="B65" s="285">
        <v>49</v>
      </c>
      <c r="C65" s="285" t="s">
        <v>674</v>
      </c>
      <c r="D65" s="285" t="s">
        <v>1522</v>
      </c>
      <c r="E65" s="285" t="s">
        <v>456</v>
      </c>
      <c r="F65" s="285"/>
      <c r="G65" s="285" t="str">
        <f>Financial_Standard!C207</f>
        <v>Risk Grading Ratios</v>
      </c>
      <c r="H65" s="285" t="str">
        <f>Financial_Standard!C210</f>
        <v>Leverage = Total Liabilities/TNW</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2:Z392"/>
  <sheetViews>
    <sheetView topLeftCell="B346" workbookViewId="0">
      <selection activeCell="F353" sqref="F353"/>
    </sheetView>
  </sheetViews>
  <sheetFormatPr defaultRowHeight="12.75" x14ac:dyDescent="0.2"/>
  <cols>
    <col min="1" max="1" width="9.140625" style="6" bestFit="1" customWidth="1"/>
    <col min="2" max="2" width="7.7109375" style="6" customWidth="1"/>
    <col min="3" max="3" width="51.5703125" style="6" customWidth="1"/>
    <col min="4" max="4" width="22.42578125" style="6" hidden="1" customWidth="1"/>
    <col min="5" max="5" width="8" style="6" hidden="1" customWidth="1"/>
    <col min="6" max="15" width="11.5703125" style="6" customWidth="1"/>
    <col min="16" max="16" width="4" style="6" customWidth="1"/>
    <col min="17" max="17" width="3.5703125" style="6" customWidth="1"/>
    <col min="18" max="16384" width="9.140625" style="6"/>
  </cols>
  <sheetData>
    <row r="2" spans="1:26" ht="21" x14ac:dyDescent="0.35">
      <c r="C2" s="34" t="s">
        <v>82</v>
      </c>
      <c r="D2" s="34"/>
      <c r="E2" s="11"/>
      <c r="F2" s="11"/>
      <c r="G2" s="11"/>
      <c r="H2" s="11"/>
      <c r="I2" s="11"/>
      <c r="J2" s="11"/>
      <c r="K2" s="11"/>
      <c r="L2" s="11"/>
      <c r="M2" s="11"/>
      <c r="N2" s="11"/>
      <c r="O2" s="11"/>
      <c r="R2" s="97" t="s">
        <v>761</v>
      </c>
    </row>
    <row r="3" spans="1:26" x14ac:dyDescent="0.2">
      <c r="B3" s="9"/>
      <c r="C3" s="16" t="s">
        <v>101</v>
      </c>
      <c r="D3" s="167">
        <f>BasicInfo!C21</f>
        <v>42366</v>
      </c>
      <c r="R3" s="6" t="s">
        <v>938</v>
      </c>
    </row>
    <row r="4" spans="1:26" x14ac:dyDescent="0.2">
      <c r="B4" s="8"/>
      <c r="C4" s="16" t="s">
        <v>83</v>
      </c>
      <c r="D4" s="168" t="str">
        <f>BasicInfo!C5</f>
        <v>Lennox International Inc.</v>
      </c>
      <c r="R4" s="6" t="s">
        <v>938</v>
      </c>
    </row>
    <row r="5" spans="1:26" x14ac:dyDescent="0.2">
      <c r="B5" s="8"/>
      <c r="C5" s="16" t="s">
        <v>72</v>
      </c>
      <c r="D5" s="168" t="str">
        <f>BasicInfo!C24</f>
        <v>USD</v>
      </c>
      <c r="R5" s="6" t="s">
        <v>938</v>
      </c>
    </row>
    <row r="6" spans="1:26" x14ac:dyDescent="0.2">
      <c r="B6" s="8"/>
      <c r="C6" s="7" t="s">
        <v>77</v>
      </c>
      <c r="D6" s="185" t="s">
        <v>824</v>
      </c>
      <c r="R6" s="6" t="s">
        <v>938</v>
      </c>
    </row>
    <row r="7" spans="1:26" x14ac:dyDescent="0.2">
      <c r="B7" s="11"/>
      <c r="C7" s="10" t="s">
        <v>1333</v>
      </c>
      <c r="D7" s="121" t="str">
        <f>BasicInfo!C26&amp;" "&amp;"Million"</f>
        <v>USD Million</v>
      </c>
      <c r="E7" s="11"/>
      <c r="F7" s="11"/>
      <c r="G7" s="11"/>
      <c r="H7" s="11"/>
      <c r="I7" s="11"/>
      <c r="J7" s="11"/>
      <c r="K7" s="11"/>
      <c r="L7" s="11"/>
      <c r="M7" s="11"/>
      <c r="N7" s="11"/>
      <c r="O7" s="11"/>
      <c r="R7" s="24" t="s">
        <v>939</v>
      </c>
    </row>
    <row r="8" spans="1:26" x14ac:dyDescent="0.2">
      <c r="C8" s="5" t="s">
        <v>94</v>
      </c>
      <c r="D8" s="5"/>
      <c r="R8" s="46" t="s">
        <v>920</v>
      </c>
    </row>
    <row r="9" spans="1:26" x14ac:dyDescent="0.2">
      <c r="C9" s="5" t="s">
        <v>85</v>
      </c>
      <c r="D9" s="5"/>
      <c r="R9" s="46" t="s">
        <v>902</v>
      </c>
    </row>
    <row r="10" spans="1:26" ht="38.25" x14ac:dyDescent="0.25">
      <c r="A10"/>
      <c r="B10" s="13" t="s">
        <v>142</v>
      </c>
      <c r="C10" s="13" t="s">
        <v>44</v>
      </c>
      <c r="D10" s="13"/>
      <c r="E10" s="146" t="s">
        <v>70</v>
      </c>
      <c r="F10" s="321" t="s">
        <v>63</v>
      </c>
      <c r="G10" s="322"/>
      <c r="H10" s="322"/>
      <c r="I10" s="323"/>
      <c r="J10" s="149" t="s">
        <v>829</v>
      </c>
      <c r="K10" s="149" t="s">
        <v>76</v>
      </c>
      <c r="L10" s="149" t="s">
        <v>75</v>
      </c>
      <c r="M10" s="149" t="s">
        <v>74</v>
      </c>
      <c r="N10" s="149" t="s">
        <v>73</v>
      </c>
      <c r="O10" s="149" t="s">
        <v>71</v>
      </c>
      <c r="R10" s="6" t="s">
        <v>775</v>
      </c>
    </row>
    <row r="11" spans="1:26" x14ac:dyDescent="0.2">
      <c r="B11" s="13"/>
      <c r="C11" s="2"/>
      <c r="D11" s="2"/>
      <c r="E11" s="147" t="s">
        <v>87</v>
      </c>
      <c r="F11" s="151">
        <f>User_Financial_Input!F11</f>
        <v>41906.600000000006</v>
      </c>
      <c r="G11" s="151">
        <f>User_Financial_Input!G11</f>
        <v>41999.200000000004</v>
      </c>
      <c r="H11" s="151">
        <f>User_Financial_Input!H11</f>
        <v>42091.8</v>
      </c>
      <c r="I11" s="151">
        <f>User_Financial_Input!I11</f>
        <v>42184.4</v>
      </c>
      <c r="J11" s="151">
        <f>User_Financial_Input!J11</f>
        <v>42277</v>
      </c>
      <c r="K11" s="150">
        <f>User_Financial_Input!K11</f>
        <v>40905</v>
      </c>
      <c r="L11" s="150">
        <f>User_Financial_Input!L11</f>
        <v>41271</v>
      </c>
      <c r="M11" s="150">
        <f>User_Financial_Input!M11</f>
        <v>41637</v>
      </c>
      <c r="N11" s="150">
        <f>User_Financial_Input!N11</f>
        <v>42003</v>
      </c>
      <c r="O11" s="151">
        <f>User_Financial_Input!O11</f>
        <v>42277</v>
      </c>
      <c r="R11" s="6" t="s">
        <v>936</v>
      </c>
    </row>
    <row r="12" spans="1:26" ht="12.75" customHeight="1" x14ac:dyDescent="0.2">
      <c r="B12" s="53"/>
      <c r="C12" s="53"/>
      <c r="D12" s="53"/>
      <c r="E12" s="53"/>
      <c r="F12" s="53"/>
      <c r="G12" s="53"/>
      <c r="H12" s="53"/>
      <c r="I12" s="53"/>
      <c r="J12" s="53"/>
      <c r="K12" s="53"/>
      <c r="L12" s="53"/>
      <c r="M12" s="53"/>
      <c r="N12" s="53"/>
      <c r="O12" s="53"/>
    </row>
    <row r="13" spans="1:26" ht="15" x14ac:dyDescent="0.25">
      <c r="A13" t="s">
        <v>695</v>
      </c>
      <c r="B13" s="13" t="s">
        <v>143</v>
      </c>
      <c r="C13" s="19" t="s">
        <v>45</v>
      </c>
      <c r="D13" s="53"/>
      <c r="E13" s="53"/>
      <c r="F13" s="154">
        <f t="shared" ref="F13:N13" si="0">SUM(F14:F16)</f>
        <v>0</v>
      </c>
      <c r="G13" s="154">
        <f t="shared" si="0"/>
        <v>0</v>
      </c>
      <c r="H13" s="154">
        <f t="shared" si="0"/>
        <v>0</v>
      </c>
      <c r="I13" s="154">
        <f t="shared" si="0"/>
        <v>0</v>
      </c>
      <c r="J13" s="154">
        <f t="shared" si="0"/>
        <v>0</v>
      </c>
      <c r="K13" s="154">
        <f t="shared" si="0"/>
        <v>0</v>
      </c>
      <c r="L13" s="154">
        <f t="shared" si="0"/>
        <v>0</v>
      </c>
      <c r="M13" s="154">
        <f t="shared" si="0"/>
        <v>0</v>
      </c>
      <c r="N13" s="154">
        <f t="shared" si="0"/>
        <v>0</v>
      </c>
      <c r="O13" s="316">
        <f>SUM(G13*Unit_Map!C$3,H13*Unit_Map!D$3,I13*Unit_Map!E$3,J13*Unit_Map!F$3)/Unit_Map!K$3</f>
        <v>0</v>
      </c>
      <c r="P13" s="15"/>
      <c r="Q13" s="15"/>
      <c r="R13" s="100" t="s">
        <v>870</v>
      </c>
      <c r="S13" s="15"/>
      <c r="T13" s="15"/>
      <c r="U13" s="15"/>
      <c r="V13" s="15"/>
      <c r="W13" s="15"/>
      <c r="X13" s="15"/>
      <c r="Y13" s="15"/>
      <c r="Z13" s="15"/>
    </row>
    <row r="14" spans="1:26" x14ac:dyDescent="0.2">
      <c r="B14" s="2" t="s">
        <v>144</v>
      </c>
      <c r="C14" s="21" t="s">
        <v>45</v>
      </c>
      <c r="D14" s="53"/>
      <c r="E14" s="53"/>
      <c r="F14" s="55">
        <f>User_Financial_Input!F14*(VLOOKUP(User_Financial_Input!$D$7,Unit_Map!$A$6:$C$8,3,0))/Unit_Map!B$3</f>
        <v>0</v>
      </c>
      <c r="G14" s="55">
        <f>User_Financial_Input!G14*(VLOOKUP(User_Financial_Input!$D$7,Unit_Map!$A$6:$C$8,3,0))/Unit_Map!C$3</f>
        <v>0</v>
      </c>
      <c r="H14" s="55">
        <f>User_Financial_Input!H14*(VLOOKUP(User_Financial_Input!$D$7,Unit_Map!$A$6:$C$8,3,0))/Unit_Map!D$3</f>
        <v>0</v>
      </c>
      <c r="I14" s="55">
        <f>User_Financial_Input!I14*(VLOOKUP(User_Financial_Input!$D$7,Unit_Map!$A$6:$C$8,3,0))/Unit_Map!E$3</f>
        <v>0</v>
      </c>
      <c r="J14" s="55">
        <f>User_Financial_Input!J14*(VLOOKUP(User_Financial_Input!$D$7,Unit_Map!$A$6:$C$8,3,0))/Unit_Map!F$3</f>
        <v>0</v>
      </c>
      <c r="K14" s="55">
        <f>User_Financial_Input!K14*(VLOOKUP(User_Financial_Input!$D$7,Unit_Map!$A$6:$C$8,3,0))/Unit_Map!G$3</f>
        <v>0</v>
      </c>
      <c r="L14" s="55">
        <f>User_Financial_Input!L14*(VLOOKUP(User_Financial_Input!$D$7,Unit_Map!$A$6:$C$8,3,0))/Unit_Map!H$3</f>
        <v>0</v>
      </c>
      <c r="M14" s="55">
        <f>User_Financial_Input!M14*(VLOOKUP(User_Financial_Input!$D$7,Unit_Map!$A$6:$C$8,3,0))/Unit_Map!I$3</f>
        <v>0</v>
      </c>
      <c r="N14" s="55">
        <f>User_Financial_Input!N14*(VLOOKUP(User_Financial_Input!$D$7,Unit_Map!$A$6:$C$8,3,0))/Unit_Map!J$3</f>
        <v>0</v>
      </c>
      <c r="O14" s="155">
        <f>SUM(G14*Unit_Map!C$3,H14*Unit_Map!D$3,I14*Unit_Map!E$3,J14*Unit_Map!F$3)/Unit_Map!K$3</f>
        <v>0</v>
      </c>
      <c r="P14" s="15"/>
      <c r="Q14" s="15"/>
      <c r="R14" s="24" t="s">
        <v>903</v>
      </c>
      <c r="S14" s="25"/>
      <c r="T14" s="15"/>
      <c r="U14" s="15"/>
      <c r="V14" s="15"/>
      <c r="W14" s="15"/>
      <c r="X14" s="15"/>
      <c r="Y14" s="15"/>
      <c r="Z14" s="15"/>
    </row>
    <row r="15" spans="1:26" x14ac:dyDescent="0.2">
      <c r="B15" s="2" t="s">
        <v>147</v>
      </c>
      <c r="C15" s="23" t="s">
        <v>175</v>
      </c>
      <c r="D15" s="53"/>
      <c r="E15" s="53"/>
      <c r="F15" s="55">
        <f>User_Financial_Input!F15*(VLOOKUP(User_Financial_Input!$D$7,Unit_Map!$A$6:$C$8,3,0))/Unit_Map!B$3</f>
        <v>0</v>
      </c>
      <c r="G15" s="55">
        <f>User_Financial_Input!G15*(VLOOKUP(User_Financial_Input!$D$7,Unit_Map!$A$6:$C$8,3,0))/Unit_Map!C$3</f>
        <v>0</v>
      </c>
      <c r="H15" s="55">
        <f>User_Financial_Input!H15*(VLOOKUP(User_Financial_Input!$D$7,Unit_Map!$A$6:$C$8,3,0))/Unit_Map!D$3</f>
        <v>0</v>
      </c>
      <c r="I15" s="55">
        <f>User_Financial_Input!I15*(VLOOKUP(User_Financial_Input!$D$7,Unit_Map!$A$6:$C$8,3,0))/Unit_Map!E$3</f>
        <v>0</v>
      </c>
      <c r="J15" s="55">
        <f>User_Financial_Input!J15*(VLOOKUP(User_Financial_Input!$D$7,Unit_Map!$A$6:$C$8,3,0))/Unit_Map!F$3</f>
        <v>0</v>
      </c>
      <c r="K15" s="55">
        <f>User_Financial_Input!K15*(VLOOKUP(User_Financial_Input!$D$7,Unit_Map!$A$6:$C$8,3,0))/Unit_Map!G$3</f>
        <v>0</v>
      </c>
      <c r="L15" s="55">
        <f>User_Financial_Input!L15*(VLOOKUP(User_Financial_Input!$D$7,Unit_Map!$A$6:$C$8,3,0))/Unit_Map!H$3</f>
        <v>0</v>
      </c>
      <c r="M15" s="55">
        <f>User_Financial_Input!M15*(VLOOKUP(User_Financial_Input!$D$7,Unit_Map!$A$6:$C$8,3,0))/Unit_Map!I$3</f>
        <v>0</v>
      </c>
      <c r="N15" s="55">
        <f>User_Financial_Input!N15*(VLOOKUP(User_Financial_Input!$D$7,Unit_Map!$A$6:$C$8,3,0))/Unit_Map!J$3</f>
        <v>0</v>
      </c>
      <c r="O15" s="155">
        <f>SUM(G15*Unit_Map!C$3,H15*Unit_Map!D$3,I15*Unit_Map!E$3,J15*Unit_Map!F$3)/Unit_Map!K$3</f>
        <v>0</v>
      </c>
      <c r="P15" s="15"/>
      <c r="Q15" s="15"/>
      <c r="R15" s="102" t="s">
        <v>919</v>
      </c>
      <c r="S15" s="25"/>
      <c r="T15" s="15"/>
      <c r="U15" s="15"/>
      <c r="V15" s="15"/>
      <c r="W15" s="15"/>
      <c r="X15" s="15"/>
      <c r="Y15" s="15"/>
      <c r="Z15" s="15"/>
    </row>
    <row r="16" spans="1:26" x14ac:dyDescent="0.2">
      <c r="B16" s="2" t="s">
        <v>148</v>
      </c>
      <c r="C16" s="21" t="s">
        <v>84</v>
      </c>
      <c r="D16" s="53"/>
      <c r="E16" s="53"/>
      <c r="F16" s="55">
        <f>User_Financial_Input!F16*(VLOOKUP(User_Financial_Input!$D$7,Unit_Map!$A$6:$C$8,3,0))/Unit_Map!B$3</f>
        <v>0</v>
      </c>
      <c r="G16" s="55">
        <f>User_Financial_Input!G16*(VLOOKUP(User_Financial_Input!$D$7,Unit_Map!$A$6:$C$8,3,0))/Unit_Map!C$3</f>
        <v>0</v>
      </c>
      <c r="H16" s="55">
        <f>User_Financial_Input!H16*(VLOOKUP(User_Financial_Input!$D$7,Unit_Map!$A$6:$C$8,3,0))/Unit_Map!D$3</f>
        <v>0</v>
      </c>
      <c r="I16" s="55">
        <f>User_Financial_Input!I16*(VLOOKUP(User_Financial_Input!$D$7,Unit_Map!$A$6:$C$8,3,0))/Unit_Map!E$3</f>
        <v>0</v>
      </c>
      <c r="J16" s="55">
        <f>User_Financial_Input!J16*(VLOOKUP(User_Financial_Input!$D$7,Unit_Map!$A$6:$C$8,3,0))/Unit_Map!F$3</f>
        <v>0</v>
      </c>
      <c r="K16" s="55">
        <f>User_Financial_Input!K16*(VLOOKUP(User_Financial_Input!$D$7,Unit_Map!$A$6:$C$8,3,0))/Unit_Map!G$3</f>
        <v>0</v>
      </c>
      <c r="L16" s="55">
        <f>User_Financial_Input!L16*(VLOOKUP(User_Financial_Input!$D$7,Unit_Map!$A$6:$C$8,3,0))/Unit_Map!H$3</f>
        <v>0</v>
      </c>
      <c r="M16" s="55">
        <f>User_Financial_Input!M16*(VLOOKUP(User_Financial_Input!$D$7,Unit_Map!$A$6:$C$8,3,0))/Unit_Map!I$3</f>
        <v>0</v>
      </c>
      <c r="N16" s="55">
        <f>User_Financial_Input!N16*(VLOOKUP(User_Financial_Input!$D$7,Unit_Map!$A$6:$C$8,3,0))/Unit_Map!J$3</f>
        <v>0</v>
      </c>
      <c r="O16" s="155">
        <f>SUM(G16*Unit_Map!C$3,H16*Unit_Map!D$3,I16*Unit_Map!E$3,J16*Unit_Map!F$3)/Unit_Map!K$3</f>
        <v>0</v>
      </c>
      <c r="P16" s="15"/>
      <c r="Q16" s="15"/>
      <c r="R16" s="24"/>
      <c r="S16" s="15"/>
      <c r="T16" s="15"/>
      <c r="U16" s="15"/>
      <c r="V16" s="15"/>
      <c r="W16" s="15"/>
      <c r="X16" s="15"/>
      <c r="Y16" s="15"/>
      <c r="Z16" s="15"/>
    </row>
    <row r="17" spans="1:26" x14ac:dyDescent="0.2">
      <c r="B17" s="53"/>
      <c r="C17" s="53"/>
      <c r="D17" s="53"/>
      <c r="E17" s="53"/>
      <c r="F17" s="53"/>
      <c r="G17" s="53"/>
      <c r="H17" s="53"/>
      <c r="I17" s="53"/>
      <c r="J17" s="53"/>
      <c r="K17" s="53"/>
      <c r="L17" s="53"/>
      <c r="M17" s="53"/>
      <c r="N17" s="53"/>
      <c r="O17" s="53"/>
      <c r="P17" s="15"/>
      <c r="Q17" s="15"/>
      <c r="R17" s="24" t="s">
        <v>904</v>
      </c>
      <c r="S17" s="15"/>
      <c r="T17" s="15"/>
      <c r="U17" s="15"/>
      <c r="V17" s="15"/>
      <c r="W17" s="15"/>
      <c r="X17" s="15"/>
      <c r="Y17" s="15"/>
      <c r="Z17" s="15"/>
    </row>
    <row r="18" spans="1:26" x14ac:dyDescent="0.2">
      <c r="B18" s="13" t="s">
        <v>154</v>
      </c>
      <c r="C18" s="19" t="s">
        <v>46</v>
      </c>
      <c r="D18" s="53"/>
      <c r="E18" s="53"/>
      <c r="F18" s="154">
        <f t="shared" ref="F18:N18" si="1">SUM(F19:F20)</f>
        <v>0</v>
      </c>
      <c r="G18" s="154">
        <f t="shared" si="1"/>
        <v>0</v>
      </c>
      <c r="H18" s="154">
        <f t="shared" si="1"/>
        <v>0</v>
      </c>
      <c r="I18" s="154">
        <f t="shared" si="1"/>
        <v>0</v>
      </c>
      <c r="J18" s="154">
        <f t="shared" si="1"/>
        <v>0</v>
      </c>
      <c r="K18" s="154">
        <f t="shared" si="1"/>
        <v>0</v>
      </c>
      <c r="L18" s="154">
        <f t="shared" si="1"/>
        <v>0</v>
      </c>
      <c r="M18" s="154">
        <f t="shared" si="1"/>
        <v>0</v>
      </c>
      <c r="N18" s="154">
        <f t="shared" si="1"/>
        <v>0</v>
      </c>
      <c r="O18" s="316">
        <f>SUM(G18*Unit_Map!C$3,H18*Unit_Map!D$3,I18*Unit_Map!E$3,J18*Unit_Map!F$3)/Unit_Map!K$3</f>
        <v>0</v>
      </c>
      <c r="P18" s="15"/>
      <c r="Q18" s="15"/>
      <c r="R18" s="24"/>
      <c r="S18" s="15"/>
      <c r="T18" s="15"/>
      <c r="U18" s="15"/>
      <c r="V18" s="15"/>
      <c r="W18" s="15"/>
      <c r="X18" s="15"/>
      <c r="Y18" s="15"/>
      <c r="Z18" s="15"/>
    </row>
    <row r="19" spans="1:26" x14ac:dyDescent="0.2">
      <c r="A19" s="6" t="s">
        <v>930</v>
      </c>
      <c r="B19" s="2" t="s">
        <v>155</v>
      </c>
      <c r="C19" s="21" t="s">
        <v>46</v>
      </c>
      <c r="D19" s="53"/>
      <c r="E19" s="53"/>
      <c r="F19" s="56">
        <f>User_Financial_Input!F19*(VLOOKUP(User_Financial_Input!$D$7,Unit_Map!$A$6:$C$8,3,0))/Unit_Map!B$3</f>
        <v>0</v>
      </c>
      <c r="G19" s="56">
        <f>User_Financial_Input!G19*(VLOOKUP(User_Financial_Input!$D$7,Unit_Map!$A$6:$C$8,3,0))/Unit_Map!C$3</f>
        <v>0</v>
      </c>
      <c r="H19" s="56">
        <f>User_Financial_Input!H19*(VLOOKUP(User_Financial_Input!$D$7,Unit_Map!$A$6:$C$8,3,0))/Unit_Map!D$3</f>
        <v>0</v>
      </c>
      <c r="I19" s="56">
        <f>User_Financial_Input!I19*(VLOOKUP(User_Financial_Input!$D$7,Unit_Map!$A$6:$C$8,3,0))/Unit_Map!E$3</f>
        <v>0</v>
      </c>
      <c r="J19" s="56">
        <f>User_Financial_Input!J19*(VLOOKUP(User_Financial_Input!$D$7,Unit_Map!$A$6:$C$8,3,0))/Unit_Map!F$3</f>
        <v>0</v>
      </c>
      <c r="K19" s="56">
        <f>User_Financial_Input!K19*(VLOOKUP(User_Financial_Input!$D$7,Unit_Map!$A$6:$C$8,3,0))/Unit_Map!G$3</f>
        <v>0</v>
      </c>
      <c r="L19" s="56">
        <f>User_Financial_Input!L19*(VLOOKUP(User_Financial_Input!$D$7,Unit_Map!$A$6:$C$8,3,0))/Unit_Map!H$3</f>
        <v>0</v>
      </c>
      <c r="M19" s="56">
        <f>User_Financial_Input!M19*(VLOOKUP(User_Financial_Input!$D$7,Unit_Map!$A$6:$C$8,3,0))/Unit_Map!I$3</f>
        <v>0</v>
      </c>
      <c r="N19" s="56">
        <f>User_Financial_Input!N19*(VLOOKUP(User_Financial_Input!$D$7,Unit_Map!$A$6:$C$8,3,0))/Unit_Map!J$3</f>
        <v>0</v>
      </c>
      <c r="O19" s="155">
        <f>SUM(G19*Unit_Map!C$3,H19*Unit_Map!D$3,I19*Unit_Map!E$3,J19*Unit_Map!F$3)/Unit_Map!K$3</f>
        <v>0</v>
      </c>
      <c r="P19" s="15"/>
      <c r="Q19" s="15"/>
      <c r="R19" s="143" t="s">
        <v>918</v>
      </c>
      <c r="S19" s="15"/>
      <c r="T19" s="15"/>
      <c r="U19" s="15"/>
      <c r="V19" s="15"/>
      <c r="W19" s="15"/>
      <c r="X19" s="15"/>
      <c r="Y19" s="15"/>
      <c r="Z19" s="15"/>
    </row>
    <row r="20" spans="1:26" x14ac:dyDescent="0.2">
      <c r="B20" s="2" t="s">
        <v>158</v>
      </c>
      <c r="C20" s="21" t="s">
        <v>84</v>
      </c>
      <c r="D20" s="53"/>
      <c r="E20" s="53"/>
      <c r="F20" s="55">
        <f>User_Financial_Input!F20*(VLOOKUP(User_Financial_Input!$D$7,Unit_Map!$A$6:$C$8,3,0))/Unit_Map!B$3</f>
        <v>0</v>
      </c>
      <c r="G20" s="55">
        <f>User_Financial_Input!G20*(VLOOKUP(User_Financial_Input!$D$7,Unit_Map!$A$6:$C$8,3,0))/Unit_Map!C$3</f>
        <v>0</v>
      </c>
      <c r="H20" s="55">
        <f>User_Financial_Input!H20*(VLOOKUP(User_Financial_Input!$D$7,Unit_Map!$A$6:$C$8,3,0))/Unit_Map!D$3</f>
        <v>0</v>
      </c>
      <c r="I20" s="55">
        <f>User_Financial_Input!I20*(VLOOKUP(User_Financial_Input!$D$7,Unit_Map!$A$6:$C$8,3,0))/Unit_Map!E$3</f>
        <v>0</v>
      </c>
      <c r="J20" s="55">
        <f>User_Financial_Input!J20*(VLOOKUP(User_Financial_Input!$D$7,Unit_Map!$A$6:$C$8,3,0))/Unit_Map!F$3</f>
        <v>0</v>
      </c>
      <c r="K20" s="55">
        <f>User_Financial_Input!K20*(VLOOKUP(User_Financial_Input!$D$7,Unit_Map!$A$6:$C$8,3,0))/Unit_Map!G$3</f>
        <v>0</v>
      </c>
      <c r="L20" s="55">
        <f>User_Financial_Input!L20*(VLOOKUP(User_Financial_Input!$D$7,Unit_Map!$A$6:$C$8,3,0))/Unit_Map!H$3</f>
        <v>0</v>
      </c>
      <c r="M20" s="55">
        <f>User_Financial_Input!M20*(VLOOKUP(User_Financial_Input!$D$7,Unit_Map!$A$6:$C$8,3,0))/Unit_Map!I$3</f>
        <v>0</v>
      </c>
      <c r="N20" s="55">
        <f>User_Financial_Input!N20*(VLOOKUP(User_Financial_Input!$D$7,Unit_Map!$A$6:$C$8,3,0))/Unit_Map!J$3</f>
        <v>0</v>
      </c>
      <c r="O20" s="155">
        <f>SUM(G20*Unit_Map!C$3,H20*Unit_Map!D$3,I20*Unit_Map!E$3,J20*Unit_Map!F$3)/Unit_Map!K$3</f>
        <v>0</v>
      </c>
      <c r="P20" s="15"/>
      <c r="Q20" s="15"/>
      <c r="S20" s="15"/>
      <c r="T20" s="15"/>
      <c r="U20" s="15"/>
      <c r="V20" s="15"/>
      <c r="W20" s="15"/>
      <c r="X20" s="15"/>
      <c r="Y20" s="15"/>
      <c r="Z20" s="15"/>
    </row>
    <row r="21" spans="1:26" x14ac:dyDescent="0.2">
      <c r="B21" s="53"/>
      <c r="C21" s="53"/>
      <c r="D21" s="53"/>
      <c r="E21" s="53"/>
      <c r="F21" s="53"/>
      <c r="G21" s="53"/>
      <c r="H21" s="53"/>
      <c r="I21" s="53"/>
      <c r="J21" s="53"/>
      <c r="K21" s="53"/>
      <c r="L21" s="53"/>
      <c r="M21" s="53"/>
      <c r="N21" s="53"/>
      <c r="O21" s="53"/>
      <c r="P21" s="15"/>
      <c r="Q21" s="15"/>
      <c r="R21" s="46" t="s">
        <v>876</v>
      </c>
      <c r="S21" s="15"/>
      <c r="T21" s="15"/>
      <c r="U21" s="15"/>
      <c r="V21" s="15"/>
      <c r="W21" s="15"/>
      <c r="X21" s="15"/>
      <c r="Y21" s="15"/>
      <c r="Z21" s="15"/>
    </row>
    <row r="22" spans="1:26" x14ac:dyDescent="0.2">
      <c r="B22" s="13" t="s">
        <v>161</v>
      </c>
      <c r="C22" s="22" t="s">
        <v>337</v>
      </c>
      <c r="D22" s="53"/>
      <c r="E22" s="53"/>
      <c r="F22" s="154">
        <f t="shared" ref="F22:N22" si="2">SUM(F13,F18)</f>
        <v>0</v>
      </c>
      <c r="G22" s="154">
        <f t="shared" si="2"/>
        <v>0</v>
      </c>
      <c r="H22" s="154">
        <f t="shared" si="2"/>
        <v>0</v>
      </c>
      <c r="I22" s="154">
        <f t="shared" si="2"/>
        <v>0</v>
      </c>
      <c r="J22" s="154">
        <f t="shared" si="2"/>
        <v>0</v>
      </c>
      <c r="K22" s="154">
        <f t="shared" si="2"/>
        <v>0</v>
      </c>
      <c r="L22" s="154">
        <f t="shared" si="2"/>
        <v>0</v>
      </c>
      <c r="M22" s="154">
        <f t="shared" si="2"/>
        <v>0</v>
      </c>
      <c r="N22" s="154">
        <f t="shared" si="2"/>
        <v>0</v>
      </c>
      <c r="O22" s="316">
        <f>SUM(G22*Unit_Map!C$3,H22*Unit_Map!D$3,I22*Unit_Map!E$3,J22*Unit_Map!F$3)/Unit_Map!K$3</f>
        <v>0</v>
      </c>
      <c r="P22" s="15"/>
      <c r="Q22" s="15"/>
      <c r="R22" s="24"/>
      <c r="S22" s="15"/>
      <c r="T22" s="15"/>
      <c r="U22" s="15"/>
      <c r="V22" s="15"/>
      <c r="W22" s="15"/>
      <c r="X22" s="15"/>
      <c r="Y22" s="15"/>
      <c r="Z22" s="15"/>
    </row>
    <row r="23" spans="1:26" x14ac:dyDescent="0.2">
      <c r="B23" s="53"/>
      <c r="C23" s="53"/>
      <c r="D23" s="53"/>
      <c r="E23" s="53"/>
      <c r="F23" s="53"/>
      <c r="G23" s="53"/>
      <c r="H23" s="53"/>
      <c r="I23" s="53"/>
      <c r="J23" s="53"/>
      <c r="K23" s="53"/>
      <c r="L23" s="53"/>
      <c r="M23" s="53"/>
      <c r="N23" s="53"/>
      <c r="O23" s="53"/>
      <c r="P23" s="15"/>
      <c r="Q23" s="15"/>
      <c r="R23" s="99" t="s">
        <v>877</v>
      </c>
      <c r="S23" s="15"/>
      <c r="T23" s="15"/>
      <c r="U23" s="15"/>
      <c r="V23" s="15"/>
      <c r="W23" s="15"/>
      <c r="X23" s="15"/>
      <c r="Y23" s="15"/>
      <c r="Z23" s="15"/>
    </row>
    <row r="24" spans="1:26" x14ac:dyDescent="0.2">
      <c r="B24" s="13" t="s">
        <v>166</v>
      </c>
      <c r="C24" s="19" t="s">
        <v>343</v>
      </c>
      <c r="D24" s="53"/>
      <c r="E24" s="53"/>
      <c r="F24" s="154">
        <f t="shared" ref="F24:N24" si="3">SUM(F25:F26)</f>
        <v>0</v>
      </c>
      <c r="G24" s="154">
        <f t="shared" si="3"/>
        <v>0</v>
      </c>
      <c r="H24" s="154">
        <f t="shared" si="3"/>
        <v>0</v>
      </c>
      <c r="I24" s="154">
        <f t="shared" si="3"/>
        <v>0</v>
      </c>
      <c r="J24" s="154">
        <f t="shared" si="3"/>
        <v>0</v>
      </c>
      <c r="K24" s="154">
        <f t="shared" si="3"/>
        <v>0</v>
      </c>
      <c r="L24" s="154">
        <f t="shared" si="3"/>
        <v>0</v>
      </c>
      <c r="M24" s="154">
        <f t="shared" si="3"/>
        <v>0</v>
      </c>
      <c r="N24" s="154">
        <f t="shared" si="3"/>
        <v>0</v>
      </c>
      <c r="O24" s="316">
        <f>SUM(G24*Unit_Map!C$3,H24*Unit_Map!D$3,I24*Unit_Map!E$3,J24*Unit_Map!F$3)/Unit_Map!K$3</f>
        <v>0</v>
      </c>
      <c r="P24" s="15"/>
      <c r="Q24" s="15"/>
      <c r="R24" s="6" t="s">
        <v>905</v>
      </c>
      <c r="S24" s="15"/>
      <c r="T24" s="15"/>
      <c r="U24" s="15"/>
      <c r="V24" s="15"/>
      <c r="W24" s="15"/>
      <c r="X24" s="15"/>
      <c r="Y24" s="15"/>
      <c r="Z24" s="15"/>
    </row>
    <row r="25" spans="1:26" x14ac:dyDescent="0.2">
      <c r="B25" s="2" t="s">
        <v>167</v>
      </c>
      <c r="C25" s="21" t="s">
        <v>50</v>
      </c>
      <c r="D25" s="53"/>
      <c r="E25" s="53"/>
      <c r="F25" s="55">
        <f>User_Financial_Input!F25*(VLOOKUP(User_Financial_Input!$D$7,Unit_Map!$A$6:$C$8,3,0))/Unit_Map!B$3</f>
        <v>0</v>
      </c>
      <c r="G25" s="55">
        <f>User_Financial_Input!G25*(VLOOKUP(User_Financial_Input!$D$7,Unit_Map!$A$6:$C$8,3,0))/Unit_Map!C$3</f>
        <v>0</v>
      </c>
      <c r="H25" s="55">
        <f>User_Financial_Input!H25*(VLOOKUP(User_Financial_Input!$D$7,Unit_Map!$A$6:$C$8,3,0))/Unit_Map!D$3</f>
        <v>0</v>
      </c>
      <c r="I25" s="55">
        <f>User_Financial_Input!I25*(VLOOKUP(User_Financial_Input!$D$7,Unit_Map!$A$6:$C$8,3,0))/Unit_Map!E$3</f>
        <v>0</v>
      </c>
      <c r="J25" s="55">
        <f>User_Financial_Input!J25*(VLOOKUP(User_Financial_Input!$D$7,Unit_Map!$A$6:$C$8,3,0))/Unit_Map!F$3</f>
        <v>0</v>
      </c>
      <c r="K25" s="55">
        <f>User_Financial_Input!K25*(VLOOKUP(User_Financial_Input!$D$7,Unit_Map!$A$6:$C$8,3,0))/Unit_Map!G$3</f>
        <v>0</v>
      </c>
      <c r="L25" s="55">
        <f>User_Financial_Input!L25*(VLOOKUP(User_Financial_Input!$D$7,Unit_Map!$A$6:$C$8,3,0))/Unit_Map!H$3</f>
        <v>0</v>
      </c>
      <c r="M25" s="55">
        <f>User_Financial_Input!M25*(VLOOKUP(User_Financial_Input!$D$7,Unit_Map!$A$6:$C$8,3,0))/Unit_Map!I$3</f>
        <v>0</v>
      </c>
      <c r="N25" s="55">
        <f>User_Financial_Input!N25*(VLOOKUP(User_Financial_Input!$D$7,Unit_Map!$A$6:$C$8,3,0))/Unit_Map!J$3</f>
        <v>0</v>
      </c>
      <c r="O25" s="155">
        <f>SUM(G25*Unit_Map!C$3,H25*Unit_Map!D$3,I25*Unit_Map!E$3,J25*Unit_Map!F$3)/Unit_Map!K$3</f>
        <v>0</v>
      </c>
      <c r="P25" s="15"/>
      <c r="Q25" s="15"/>
      <c r="R25" s="6" t="s">
        <v>906</v>
      </c>
      <c r="S25" s="15"/>
      <c r="T25" s="15"/>
      <c r="U25" s="15"/>
      <c r="V25" s="15"/>
      <c r="W25" s="15"/>
      <c r="X25" s="15"/>
      <c r="Y25" s="15"/>
      <c r="Z25" s="15"/>
    </row>
    <row r="26" spans="1:26" x14ac:dyDescent="0.2">
      <c r="B26" s="2" t="s">
        <v>168</v>
      </c>
      <c r="C26" s="21" t="s">
        <v>1319</v>
      </c>
      <c r="D26" s="53"/>
      <c r="E26" s="53"/>
      <c r="F26" s="55">
        <f>User_Financial_Input!F26*(VLOOKUP(User_Financial_Input!$D$7,Unit_Map!$A$6:$C$8,3,0))/Unit_Map!B$3</f>
        <v>0</v>
      </c>
      <c r="G26" s="55">
        <f>User_Financial_Input!G26*(VLOOKUP(User_Financial_Input!$D$7,Unit_Map!$A$6:$C$8,3,0))/Unit_Map!C$3</f>
        <v>0</v>
      </c>
      <c r="H26" s="55">
        <f>User_Financial_Input!H26*(VLOOKUP(User_Financial_Input!$D$7,Unit_Map!$A$6:$C$8,3,0))/Unit_Map!D$3</f>
        <v>0</v>
      </c>
      <c r="I26" s="55">
        <f>User_Financial_Input!I26*(VLOOKUP(User_Financial_Input!$D$7,Unit_Map!$A$6:$C$8,3,0))/Unit_Map!E$3</f>
        <v>0</v>
      </c>
      <c r="J26" s="55">
        <f>User_Financial_Input!J26*(VLOOKUP(User_Financial_Input!$D$7,Unit_Map!$A$6:$C$8,3,0))/Unit_Map!F$3</f>
        <v>0</v>
      </c>
      <c r="K26" s="55">
        <f>User_Financial_Input!K26*(VLOOKUP(User_Financial_Input!$D$7,Unit_Map!$A$6:$C$8,3,0))/Unit_Map!G$3</f>
        <v>0</v>
      </c>
      <c r="L26" s="55">
        <f>User_Financial_Input!L26*(VLOOKUP(User_Financial_Input!$D$7,Unit_Map!$A$6:$C$8,3,0))/Unit_Map!H$3</f>
        <v>0</v>
      </c>
      <c r="M26" s="55">
        <f>User_Financial_Input!M26*(VLOOKUP(User_Financial_Input!$D$7,Unit_Map!$A$6:$C$8,3,0))/Unit_Map!I$3</f>
        <v>0</v>
      </c>
      <c r="N26" s="55">
        <f>User_Financial_Input!N26*(VLOOKUP(User_Financial_Input!$D$7,Unit_Map!$A$6:$C$8,3,0))/Unit_Map!J$3</f>
        <v>0</v>
      </c>
      <c r="O26" s="155">
        <f>SUM(G26*Unit_Map!C$3,H26*Unit_Map!D$3,I26*Unit_Map!E$3,J26*Unit_Map!F$3)/Unit_Map!K$3</f>
        <v>0</v>
      </c>
      <c r="P26" s="15"/>
      <c r="Q26" s="15"/>
      <c r="R26" s="6" t="s">
        <v>907</v>
      </c>
      <c r="S26" s="15"/>
      <c r="T26" s="15"/>
      <c r="U26" s="15"/>
      <c r="V26" s="15"/>
      <c r="W26" s="15"/>
      <c r="X26" s="15"/>
      <c r="Y26" s="15"/>
      <c r="Z26" s="15"/>
    </row>
    <row r="27" spans="1:26" x14ac:dyDescent="0.2">
      <c r="B27" s="53"/>
      <c r="C27" s="53"/>
      <c r="D27" s="53"/>
      <c r="E27" s="53"/>
      <c r="F27" s="53"/>
      <c r="G27" s="53"/>
      <c r="H27" s="53"/>
      <c r="I27" s="53"/>
      <c r="J27" s="53"/>
      <c r="K27" s="53"/>
      <c r="L27" s="53"/>
      <c r="M27" s="53"/>
      <c r="N27" s="53"/>
      <c r="O27" s="53"/>
      <c r="P27" s="15"/>
      <c r="Q27" s="15"/>
      <c r="R27" s="6" t="s">
        <v>908</v>
      </c>
      <c r="S27" s="15"/>
      <c r="T27" s="15"/>
      <c r="U27" s="15"/>
      <c r="V27" s="15"/>
      <c r="W27" s="15"/>
      <c r="X27" s="15"/>
      <c r="Y27" s="15"/>
      <c r="Z27" s="15"/>
    </row>
    <row r="28" spans="1:26" x14ac:dyDescent="0.2">
      <c r="B28" s="13" t="s">
        <v>169</v>
      </c>
      <c r="C28" s="19" t="s">
        <v>47</v>
      </c>
      <c r="D28" s="53"/>
      <c r="E28" s="53"/>
      <c r="F28" s="154">
        <f t="shared" ref="F28:N28" si="4">SUM(F29:F31)</f>
        <v>0</v>
      </c>
      <c r="G28" s="154">
        <f t="shared" si="4"/>
        <v>0</v>
      </c>
      <c r="H28" s="154">
        <f t="shared" si="4"/>
        <v>0</v>
      </c>
      <c r="I28" s="154">
        <f t="shared" si="4"/>
        <v>0</v>
      </c>
      <c r="J28" s="154">
        <f t="shared" si="4"/>
        <v>0</v>
      </c>
      <c r="K28" s="154">
        <f t="shared" si="4"/>
        <v>0</v>
      </c>
      <c r="L28" s="154">
        <f t="shared" si="4"/>
        <v>0</v>
      </c>
      <c r="M28" s="154">
        <f t="shared" si="4"/>
        <v>0</v>
      </c>
      <c r="N28" s="154">
        <f t="shared" si="4"/>
        <v>0</v>
      </c>
      <c r="O28" s="316">
        <f>SUM(G28*Unit_Map!C$3,H28*Unit_Map!D$3,I28*Unit_Map!E$3,J28*Unit_Map!F$3)/Unit_Map!K$3</f>
        <v>0</v>
      </c>
      <c r="P28" s="15"/>
      <c r="Q28" s="15"/>
      <c r="R28" s="6" t="s">
        <v>909</v>
      </c>
      <c r="S28" s="15"/>
      <c r="T28" s="15"/>
      <c r="U28" s="15"/>
      <c r="V28" s="15"/>
      <c r="W28" s="15"/>
      <c r="X28" s="15"/>
      <c r="Y28" s="15"/>
      <c r="Z28" s="15"/>
    </row>
    <row r="29" spans="1:26" x14ac:dyDescent="0.2">
      <c r="A29" s="6" t="s">
        <v>930</v>
      </c>
      <c r="B29" s="2" t="s">
        <v>170</v>
      </c>
      <c r="C29" s="21" t="s">
        <v>86</v>
      </c>
      <c r="D29" s="53"/>
      <c r="E29" s="53"/>
      <c r="F29" s="56">
        <f>User_Financial_Input!F29*(VLOOKUP(User_Financial_Input!$D$7,Unit_Map!$A$6:$C$8,3,0))/Unit_Map!B$3</f>
        <v>0</v>
      </c>
      <c r="G29" s="56">
        <f>User_Financial_Input!G29*(VLOOKUP(User_Financial_Input!$D$7,Unit_Map!$A$6:$C$8,3,0))/Unit_Map!C$3</f>
        <v>0</v>
      </c>
      <c r="H29" s="56">
        <f>User_Financial_Input!H29*(VLOOKUP(User_Financial_Input!$D$7,Unit_Map!$A$6:$C$8,3,0))/Unit_Map!D$3</f>
        <v>0</v>
      </c>
      <c r="I29" s="56">
        <f>User_Financial_Input!I29*(VLOOKUP(User_Financial_Input!$D$7,Unit_Map!$A$6:$C$8,3,0))/Unit_Map!E$3</f>
        <v>0</v>
      </c>
      <c r="J29" s="56">
        <f>User_Financial_Input!J29*(VLOOKUP(User_Financial_Input!$D$7,Unit_Map!$A$6:$C$8,3,0))/Unit_Map!F$3</f>
        <v>0</v>
      </c>
      <c r="K29" s="56">
        <f>User_Financial_Input!K29*(VLOOKUP(User_Financial_Input!$D$7,Unit_Map!$A$6:$C$8,3,0))/Unit_Map!G$3</f>
        <v>0</v>
      </c>
      <c r="L29" s="56">
        <f>User_Financial_Input!L29*(VLOOKUP(User_Financial_Input!$D$7,Unit_Map!$A$6:$C$8,3,0))/Unit_Map!H$3</f>
        <v>0</v>
      </c>
      <c r="M29" s="56">
        <f>User_Financial_Input!M29*(VLOOKUP(User_Financial_Input!$D$7,Unit_Map!$A$6:$C$8,3,0))/Unit_Map!I$3</f>
        <v>0</v>
      </c>
      <c r="N29" s="56">
        <f>User_Financial_Input!N29*(VLOOKUP(User_Financial_Input!$D$7,Unit_Map!$A$6:$C$8,3,0))/Unit_Map!J$3</f>
        <v>0</v>
      </c>
      <c r="O29" s="155">
        <f>SUM(G29*Unit_Map!C$3,H29*Unit_Map!D$3,I29*Unit_Map!E$3,J29*Unit_Map!F$3)/Unit_Map!K$3</f>
        <v>0</v>
      </c>
      <c r="P29" s="15"/>
      <c r="Q29" s="15"/>
      <c r="R29" s="6" t="s">
        <v>910</v>
      </c>
      <c r="S29" s="15"/>
      <c r="T29" s="15"/>
      <c r="U29" s="15"/>
      <c r="V29" s="15"/>
      <c r="W29" s="15"/>
      <c r="X29" s="15"/>
      <c r="Y29" s="15"/>
      <c r="Z29" s="15"/>
    </row>
    <row r="30" spans="1:26" x14ac:dyDescent="0.2">
      <c r="A30" s="6" t="s">
        <v>930</v>
      </c>
      <c r="B30" s="2" t="s">
        <v>171</v>
      </c>
      <c r="C30" s="21" t="s">
        <v>48</v>
      </c>
      <c r="D30" s="53"/>
      <c r="E30" s="53"/>
      <c r="F30" s="56">
        <f>User_Financial_Input!F30*(VLOOKUP(User_Financial_Input!$D$7,Unit_Map!$A$6:$C$8,3,0))/Unit_Map!B$3</f>
        <v>0</v>
      </c>
      <c r="G30" s="56">
        <f>User_Financial_Input!G30*(VLOOKUP(User_Financial_Input!$D$7,Unit_Map!$A$6:$C$8,3,0))/Unit_Map!C$3</f>
        <v>0</v>
      </c>
      <c r="H30" s="56">
        <f>User_Financial_Input!H30*(VLOOKUP(User_Financial_Input!$D$7,Unit_Map!$A$6:$C$8,3,0))/Unit_Map!D$3</f>
        <v>0</v>
      </c>
      <c r="I30" s="56">
        <f>User_Financial_Input!I30*(VLOOKUP(User_Financial_Input!$D$7,Unit_Map!$A$6:$C$8,3,0))/Unit_Map!E$3</f>
        <v>0</v>
      </c>
      <c r="J30" s="56">
        <f>User_Financial_Input!J30*(VLOOKUP(User_Financial_Input!$D$7,Unit_Map!$A$6:$C$8,3,0))/Unit_Map!F$3</f>
        <v>0</v>
      </c>
      <c r="K30" s="56">
        <f>User_Financial_Input!K30*(VLOOKUP(User_Financial_Input!$D$7,Unit_Map!$A$6:$C$8,3,0))/Unit_Map!G$3</f>
        <v>0</v>
      </c>
      <c r="L30" s="56">
        <f>User_Financial_Input!L30*(VLOOKUP(User_Financial_Input!$D$7,Unit_Map!$A$6:$C$8,3,0))/Unit_Map!H$3</f>
        <v>0</v>
      </c>
      <c r="M30" s="56">
        <f>User_Financial_Input!M30*(VLOOKUP(User_Financial_Input!$D$7,Unit_Map!$A$6:$C$8,3,0))/Unit_Map!I$3</f>
        <v>0</v>
      </c>
      <c r="N30" s="56">
        <f>User_Financial_Input!N30*(VLOOKUP(User_Financial_Input!$D$7,Unit_Map!$A$6:$C$8,3,0))/Unit_Map!J$3</f>
        <v>0</v>
      </c>
      <c r="O30" s="155">
        <f>SUM(G30*Unit_Map!C$3,H30*Unit_Map!D$3,I30*Unit_Map!E$3,J30*Unit_Map!F$3)/Unit_Map!K$3</f>
        <v>0</v>
      </c>
      <c r="P30" s="15"/>
      <c r="Q30" s="15"/>
      <c r="R30" s="6" t="s">
        <v>911</v>
      </c>
      <c r="S30" s="15"/>
      <c r="T30" s="15"/>
      <c r="U30" s="15"/>
      <c r="V30" s="15"/>
      <c r="W30" s="15"/>
      <c r="X30" s="15"/>
      <c r="Y30" s="15"/>
      <c r="Z30" s="15"/>
    </row>
    <row r="31" spans="1:26" x14ac:dyDescent="0.2">
      <c r="A31" s="6" t="s">
        <v>930</v>
      </c>
      <c r="B31" s="2" t="s">
        <v>172</v>
      </c>
      <c r="C31" s="21" t="s">
        <v>49</v>
      </c>
      <c r="D31" s="53"/>
      <c r="E31" s="53"/>
      <c r="F31" s="56">
        <f>User_Financial_Input!F31*(VLOOKUP(User_Financial_Input!$D$7,Unit_Map!$A$6:$C$8,3,0))/Unit_Map!B$3</f>
        <v>0</v>
      </c>
      <c r="G31" s="56">
        <f>User_Financial_Input!G31*(VLOOKUP(User_Financial_Input!$D$7,Unit_Map!$A$6:$C$8,3,0))/Unit_Map!C$3</f>
        <v>0</v>
      </c>
      <c r="H31" s="56">
        <f>User_Financial_Input!H31*(VLOOKUP(User_Financial_Input!$D$7,Unit_Map!$A$6:$C$8,3,0))/Unit_Map!D$3</f>
        <v>0</v>
      </c>
      <c r="I31" s="56">
        <f>User_Financial_Input!I31*(VLOOKUP(User_Financial_Input!$D$7,Unit_Map!$A$6:$C$8,3,0))/Unit_Map!E$3</f>
        <v>0</v>
      </c>
      <c r="J31" s="56">
        <f>User_Financial_Input!J31*(VLOOKUP(User_Financial_Input!$D$7,Unit_Map!$A$6:$C$8,3,0))/Unit_Map!F$3</f>
        <v>0</v>
      </c>
      <c r="K31" s="56">
        <f>User_Financial_Input!K31*(VLOOKUP(User_Financial_Input!$D$7,Unit_Map!$A$6:$C$8,3,0))/Unit_Map!G$3</f>
        <v>0</v>
      </c>
      <c r="L31" s="56">
        <f>User_Financial_Input!L31*(VLOOKUP(User_Financial_Input!$D$7,Unit_Map!$A$6:$C$8,3,0))/Unit_Map!H$3</f>
        <v>0</v>
      </c>
      <c r="M31" s="56">
        <f>User_Financial_Input!M31*(VLOOKUP(User_Financial_Input!$D$7,Unit_Map!$A$6:$C$8,3,0))/Unit_Map!I$3</f>
        <v>0</v>
      </c>
      <c r="N31" s="56">
        <f>User_Financial_Input!N31*(VLOOKUP(User_Financial_Input!$D$7,Unit_Map!$A$6:$C$8,3,0))/Unit_Map!J$3</f>
        <v>0</v>
      </c>
      <c r="O31" s="155">
        <f>SUM(G31*Unit_Map!C$3,H31*Unit_Map!D$3,I31*Unit_Map!E$3,J31*Unit_Map!F$3)/Unit_Map!K$3</f>
        <v>0</v>
      </c>
      <c r="P31" s="15"/>
      <c r="Q31" s="15"/>
      <c r="R31" s="6" t="s">
        <v>912</v>
      </c>
      <c r="S31" s="15"/>
      <c r="T31" s="15"/>
      <c r="U31" s="15"/>
      <c r="V31" s="15"/>
      <c r="W31" s="15"/>
      <c r="X31" s="15"/>
      <c r="Y31" s="15"/>
      <c r="Z31" s="15"/>
    </row>
    <row r="32" spans="1:26" x14ac:dyDescent="0.2">
      <c r="B32" s="53"/>
      <c r="C32" s="53"/>
      <c r="D32" s="53"/>
      <c r="E32" s="53"/>
      <c r="F32" s="53"/>
      <c r="G32" s="53"/>
      <c r="H32" s="53"/>
      <c r="I32" s="53"/>
      <c r="J32" s="53"/>
      <c r="K32" s="53"/>
      <c r="L32" s="53"/>
      <c r="M32" s="53"/>
      <c r="N32" s="53"/>
      <c r="O32" s="53"/>
      <c r="P32" s="15"/>
      <c r="Q32" s="15"/>
      <c r="R32" s="6" t="s">
        <v>950</v>
      </c>
      <c r="S32" s="15"/>
      <c r="T32" s="15"/>
      <c r="U32" s="15"/>
      <c r="V32" s="15"/>
      <c r="W32" s="15"/>
      <c r="X32" s="15"/>
      <c r="Y32" s="15"/>
      <c r="Z32" s="15"/>
    </row>
    <row r="33" spans="1:26" x14ac:dyDescent="0.2">
      <c r="B33" s="13" t="s">
        <v>177</v>
      </c>
      <c r="C33" s="22" t="s">
        <v>338</v>
      </c>
      <c r="D33" s="53"/>
      <c r="E33" s="53"/>
      <c r="F33" s="154">
        <f t="shared" ref="F33:N33" si="5">SUM(F22,F24,F28)</f>
        <v>0</v>
      </c>
      <c r="G33" s="154">
        <f t="shared" si="5"/>
        <v>0</v>
      </c>
      <c r="H33" s="154">
        <f t="shared" si="5"/>
        <v>0</v>
      </c>
      <c r="I33" s="154">
        <f t="shared" si="5"/>
        <v>0</v>
      </c>
      <c r="J33" s="154">
        <f t="shared" si="5"/>
        <v>0</v>
      </c>
      <c r="K33" s="154">
        <f t="shared" si="5"/>
        <v>0</v>
      </c>
      <c r="L33" s="154">
        <f t="shared" si="5"/>
        <v>0</v>
      </c>
      <c r="M33" s="154">
        <f t="shared" si="5"/>
        <v>0</v>
      </c>
      <c r="N33" s="154">
        <f t="shared" si="5"/>
        <v>0</v>
      </c>
      <c r="O33" s="316">
        <f>SUM(G33*Unit_Map!C$3,H33*Unit_Map!D$3,I33*Unit_Map!E$3,J33*Unit_Map!F$3)/Unit_Map!K$3</f>
        <v>0</v>
      </c>
      <c r="P33" s="15"/>
      <c r="Q33" s="15"/>
      <c r="R33" s="24"/>
      <c r="S33" s="15"/>
      <c r="T33" s="15"/>
      <c r="U33" s="15"/>
      <c r="V33" s="15"/>
      <c r="W33" s="15"/>
      <c r="X33" s="15"/>
      <c r="Y33" s="15"/>
      <c r="Z33" s="15"/>
    </row>
    <row r="34" spans="1:26" x14ac:dyDescent="0.2">
      <c r="B34" s="53"/>
      <c r="C34" s="53"/>
      <c r="D34" s="53"/>
      <c r="E34" s="53"/>
      <c r="F34" s="53"/>
      <c r="G34" s="53"/>
      <c r="H34" s="53"/>
      <c r="I34" s="53"/>
      <c r="J34" s="53"/>
      <c r="K34" s="53"/>
      <c r="L34" s="53"/>
      <c r="M34" s="53"/>
      <c r="N34" s="53"/>
      <c r="O34" s="53"/>
      <c r="P34" s="15"/>
      <c r="Q34" s="15"/>
      <c r="R34" s="24"/>
      <c r="S34" s="15"/>
      <c r="T34" s="15"/>
      <c r="U34" s="15"/>
      <c r="V34" s="15"/>
      <c r="W34" s="15"/>
      <c r="X34" s="15"/>
      <c r="Y34" s="15"/>
      <c r="Z34" s="15"/>
    </row>
    <row r="35" spans="1:26" x14ac:dyDescent="0.2">
      <c r="B35" s="13" t="s">
        <v>178</v>
      </c>
      <c r="C35" s="19" t="s">
        <v>57</v>
      </c>
      <c r="D35" s="53"/>
      <c r="E35" s="53"/>
      <c r="F35" s="154">
        <f t="shared" ref="F35:N35" si="6">SUM(F36:F41)</f>
        <v>0</v>
      </c>
      <c r="G35" s="154">
        <f t="shared" si="6"/>
        <v>0</v>
      </c>
      <c r="H35" s="154">
        <f t="shared" si="6"/>
        <v>0</v>
      </c>
      <c r="I35" s="154">
        <f t="shared" si="6"/>
        <v>0</v>
      </c>
      <c r="J35" s="154">
        <f t="shared" si="6"/>
        <v>0</v>
      </c>
      <c r="K35" s="154">
        <f t="shared" si="6"/>
        <v>0</v>
      </c>
      <c r="L35" s="154">
        <f t="shared" si="6"/>
        <v>0</v>
      </c>
      <c r="M35" s="154">
        <f t="shared" si="6"/>
        <v>0</v>
      </c>
      <c r="N35" s="154">
        <f t="shared" si="6"/>
        <v>0</v>
      </c>
      <c r="O35" s="316">
        <f>SUM(G35*Unit_Map!C$3,H35*Unit_Map!D$3,I35*Unit_Map!E$3,J35*Unit_Map!F$3)/Unit_Map!K$3</f>
        <v>0</v>
      </c>
      <c r="P35" s="15"/>
      <c r="Q35" s="15"/>
      <c r="R35" s="24"/>
      <c r="S35" s="15"/>
      <c r="T35" s="15"/>
      <c r="U35" s="15"/>
      <c r="V35" s="15"/>
      <c r="W35" s="15"/>
      <c r="X35" s="15"/>
      <c r="Y35" s="15"/>
      <c r="Z35" s="15"/>
    </row>
    <row r="36" spans="1:26" x14ac:dyDescent="0.2">
      <c r="B36" s="2" t="s">
        <v>179</v>
      </c>
      <c r="C36" s="21" t="s">
        <v>52</v>
      </c>
      <c r="D36" s="53"/>
      <c r="E36" s="53"/>
      <c r="F36" s="55">
        <f>User_Financial_Input!F36*(VLOOKUP(User_Financial_Input!$D$7,Unit_Map!$A$6:$C$8,3,0))/Unit_Map!B$3</f>
        <v>0</v>
      </c>
      <c r="G36" s="55">
        <f>User_Financial_Input!G36*(VLOOKUP(User_Financial_Input!$D$7,Unit_Map!$A$6:$C$8,3,0))/Unit_Map!C$3</f>
        <v>0</v>
      </c>
      <c r="H36" s="55">
        <f>User_Financial_Input!H36*(VLOOKUP(User_Financial_Input!$D$7,Unit_Map!$A$6:$C$8,3,0))/Unit_Map!D$3</f>
        <v>0</v>
      </c>
      <c r="I36" s="55">
        <f>User_Financial_Input!I36*(VLOOKUP(User_Financial_Input!$D$7,Unit_Map!$A$6:$C$8,3,0))/Unit_Map!E$3</f>
        <v>0</v>
      </c>
      <c r="J36" s="55">
        <f>User_Financial_Input!J36*(VLOOKUP(User_Financial_Input!$D$7,Unit_Map!$A$6:$C$8,3,0))/Unit_Map!F$3</f>
        <v>0</v>
      </c>
      <c r="K36" s="55">
        <f>User_Financial_Input!K36*(VLOOKUP(User_Financial_Input!$D$7,Unit_Map!$A$6:$C$8,3,0))/Unit_Map!G$3</f>
        <v>0</v>
      </c>
      <c r="L36" s="55">
        <f>User_Financial_Input!L36*(VLOOKUP(User_Financial_Input!$D$7,Unit_Map!$A$6:$C$8,3,0))/Unit_Map!H$3</f>
        <v>0</v>
      </c>
      <c r="M36" s="55">
        <f>User_Financial_Input!M36*(VLOOKUP(User_Financial_Input!$D$7,Unit_Map!$A$6:$C$8,3,0))/Unit_Map!I$3</f>
        <v>0</v>
      </c>
      <c r="N36" s="55">
        <f>User_Financial_Input!N36*(VLOOKUP(User_Financial_Input!$D$7,Unit_Map!$A$6:$C$8,3,0))/Unit_Map!J$3</f>
        <v>0</v>
      </c>
      <c r="O36" s="155">
        <f>SUM(G36*Unit_Map!C$3,H36*Unit_Map!D$3,I36*Unit_Map!E$3,J36*Unit_Map!F$3)/Unit_Map!K$3</f>
        <v>0</v>
      </c>
      <c r="P36" s="15"/>
      <c r="Q36" s="15"/>
      <c r="R36" s="24"/>
      <c r="S36" s="15"/>
      <c r="T36" s="15"/>
      <c r="U36" s="15"/>
      <c r="V36" s="15"/>
      <c r="W36" s="15"/>
      <c r="X36" s="15"/>
      <c r="Y36" s="15"/>
      <c r="Z36" s="15"/>
    </row>
    <row r="37" spans="1:26" x14ac:dyDescent="0.2">
      <c r="A37" s="6" t="s">
        <v>930</v>
      </c>
      <c r="B37" s="2" t="s">
        <v>180</v>
      </c>
      <c r="C37" s="21" t="s">
        <v>53</v>
      </c>
      <c r="D37" s="53"/>
      <c r="E37" s="53"/>
      <c r="F37" s="56">
        <f>User_Financial_Input!F37*(VLOOKUP(User_Financial_Input!$D$7,Unit_Map!$A$6:$C$8,3,0))/Unit_Map!B$3</f>
        <v>0</v>
      </c>
      <c r="G37" s="56">
        <f>User_Financial_Input!G37*(VLOOKUP(User_Financial_Input!$D$7,Unit_Map!$A$6:$C$8,3,0))/Unit_Map!C$3</f>
        <v>0</v>
      </c>
      <c r="H37" s="56">
        <f>User_Financial_Input!H37*(VLOOKUP(User_Financial_Input!$D$7,Unit_Map!$A$6:$C$8,3,0))/Unit_Map!D$3</f>
        <v>0</v>
      </c>
      <c r="I37" s="56">
        <f>User_Financial_Input!I37*(VLOOKUP(User_Financial_Input!$D$7,Unit_Map!$A$6:$C$8,3,0))/Unit_Map!E$3</f>
        <v>0</v>
      </c>
      <c r="J37" s="56">
        <f>User_Financial_Input!J37*(VLOOKUP(User_Financial_Input!$D$7,Unit_Map!$A$6:$C$8,3,0))/Unit_Map!F$3</f>
        <v>0</v>
      </c>
      <c r="K37" s="56">
        <f>User_Financial_Input!K37*(VLOOKUP(User_Financial_Input!$D$7,Unit_Map!$A$6:$C$8,3,0))/Unit_Map!G$3</f>
        <v>0</v>
      </c>
      <c r="L37" s="56">
        <f>User_Financial_Input!L37*(VLOOKUP(User_Financial_Input!$D$7,Unit_Map!$A$6:$C$8,3,0))/Unit_Map!H$3</f>
        <v>0</v>
      </c>
      <c r="M37" s="56">
        <f>User_Financial_Input!M37*(VLOOKUP(User_Financial_Input!$D$7,Unit_Map!$A$6:$C$8,3,0))/Unit_Map!I$3</f>
        <v>0</v>
      </c>
      <c r="N37" s="56">
        <f>User_Financial_Input!N37*(VLOOKUP(User_Financial_Input!$D$7,Unit_Map!$A$6:$C$8,3,0))/Unit_Map!J$3</f>
        <v>0</v>
      </c>
      <c r="O37" s="155">
        <f>SUM(G37*Unit_Map!C$3,H37*Unit_Map!D$3,I37*Unit_Map!E$3,J37*Unit_Map!F$3)/Unit_Map!K$3</f>
        <v>0</v>
      </c>
      <c r="P37" s="15"/>
      <c r="Q37" s="15"/>
      <c r="R37" s="24"/>
      <c r="S37" s="15"/>
      <c r="T37" s="15"/>
      <c r="U37" s="15"/>
      <c r="V37" s="15"/>
      <c r="W37" s="15"/>
      <c r="X37" s="15"/>
      <c r="Y37" s="15"/>
      <c r="Z37" s="15"/>
    </row>
    <row r="38" spans="1:26" x14ac:dyDescent="0.2">
      <c r="B38" s="2" t="s">
        <v>181</v>
      </c>
      <c r="C38" s="21" t="s">
        <v>54</v>
      </c>
      <c r="D38" s="53"/>
      <c r="E38" s="53"/>
      <c r="F38" s="55">
        <f>User_Financial_Input!F38*(VLOOKUP(User_Financial_Input!$D$7,Unit_Map!$A$6:$C$8,3,0))/Unit_Map!B$3</f>
        <v>0</v>
      </c>
      <c r="G38" s="55">
        <f>User_Financial_Input!G38*(VLOOKUP(User_Financial_Input!$D$7,Unit_Map!$A$6:$C$8,3,0))/Unit_Map!C$3</f>
        <v>0</v>
      </c>
      <c r="H38" s="55">
        <f>User_Financial_Input!H38*(VLOOKUP(User_Financial_Input!$D$7,Unit_Map!$A$6:$C$8,3,0))/Unit_Map!D$3</f>
        <v>0</v>
      </c>
      <c r="I38" s="55">
        <f>User_Financial_Input!I38*(VLOOKUP(User_Financial_Input!$D$7,Unit_Map!$A$6:$C$8,3,0))/Unit_Map!E$3</f>
        <v>0</v>
      </c>
      <c r="J38" s="55">
        <f>User_Financial_Input!J38*(VLOOKUP(User_Financial_Input!$D$7,Unit_Map!$A$6:$C$8,3,0))/Unit_Map!F$3</f>
        <v>0</v>
      </c>
      <c r="K38" s="55">
        <f>User_Financial_Input!K38*(VLOOKUP(User_Financial_Input!$D$7,Unit_Map!$A$6:$C$8,3,0))/Unit_Map!G$3</f>
        <v>0</v>
      </c>
      <c r="L38" s="55">
        <f>User_Financial_Input!L38*(VLOOKUP(User_Financial_Input!$D$7,Unit_Map!$A$6:$C$8,3,0))/Unit_Map!H$3</f>
        <v>0</v>
      </c>
      <c r="M38" s="55">
        <f>User_Financial_Input!M38*(VLOOKUP(User_Financial_Input!$D$7,Unit_Map!$A$6:$C$8,3,0))/Unit_Map!I$3</f>
        <v>0</v>
      </c>
      <c r="N38" s="55">
        <f>User_Financial_Input!N38*(VLOOKUP(User_Financial_Input!$D$7,Unit_Map!$A$6:$C$8,3,0))/Unit_Map!J$3</f>
        <v>0</v>
      </c>
      <c r="O38" s="155">
        <f>SUM(G38*Unit_Map!C$3,H38*Unit_Map!D$3,I38*Unit_Map!E$3,J38*Unit_Map!F$3)/Unit_Map!K$3</f>
        <v>0</v>
      </c>
      <c r="P38" s="15"/>
      <c r="Q38" s="15"/>
      <c r="R38" s="24"/>
      <c r="S38" s="15"/>
      <c r="T38" s="15"/>
      <c r="U38" s="15"/>
      <c r="V38" s="15"/>
      <c r="W38" s="15"/>
      <c r="X38" s="15"/>
      <c r="Y38" s="15"/>
      <c r="Z38" s="15"/>
    </row>
    <row r="39" spans="1:26" x14ac:dyDescent="0.2">
      <c r="B39" s="2" t="s">
        <v>182</v>
      </c>
      <c r="C39" s="21" t="s">
        <v>55</v>
      </c>
      <c r="D39" s="53"/>
      <c r="E39" s="53"/>
      <c r="F39" s="55">
        <f>User_Financial_Input!F39*(VLOOKUP(User_Financial_Input!$D$7,Unit_Map!$A$6:$C$8,3,0))/Unit_Map!B$3</f>
        <v>0</v>
      </c>
      <c r="G39" s="55">
        <f>User_Financial_Input!G39*(VLOOKUP(User_Financial_Input!$D$7,Unit_Map!$A$6:$C$8,3,0))/Unit_Map!C$3</f>
        <v>0</v>
      </c>
      <c r="H39" s="55">
        <f>User_Financial_Input!H39*(VLOOKUP(User_Financial_Input!$D$7,Unit_Map!$A$6:$C$8,3,0))/Unit_Map!D$3</f>
        <v>0</v>
      </c>
      <c r="I39" s="55">
        <f>User_Financial_Input!I39*(VLOOKUP(User_Financial_Input!$D$7,Unit_Map!$A$6:$C$8,3,0))/Unit_Map!E$3</f>
        <v>0</v>
      </c>
      <c r="J39" s="55">
        <f>User_Financial_Input!J39*(VLOOKUP(User_Financial_Input!$D$7,Unit_Map!$A$6:$C$8,3,0))/Unit_Map!F$3</f>
        <v>0</v>
      </c>
      <c r="K39" s="55">
        <f>User_Financial_Input!K39*(VLOOKUP(User_Financial_Input!$D$7,Unit_Map!$A$6:$C$8,3,0))/Unit_Map!G$3</f>
        <v>0</v>
      </c>
      <c r="L39" s="55">
        <f>User_Financial_Input!L39*(VLOOKUP(User_Financial_Input!$D$7,Unit_Map!$A$6:$C$8,3,0))/Unit_Map!H$3</f>
        <v>0</v>
      </c>
      <c r="M39" s="55">
        <f>User_Financial_Input!M39*(VLOOKUP(User_Financial_Input!$D$7,Unit_Map!$A$6:$C$8,3,0))/Unit_Map!I$3</f>
        <v>0</v>
      </c>
      <c r="N39" s="55">
        <f>User_Financial_Input!N39*(VLOOKUP(User_Financial_Input!$D$7,Unit_Map!$A$6:$C$8,3,0))/Unit_Map!J$3</f>
        <v>0</v>
      </c>
      <c r="O39" s="155">
        <f>SUM(G39*Unit_Map!C$3,H39*Unit_Map!D$3,I39*Unit_Map!E$3,J39*Unit_Map!F$3)/Unit_Map!K$3</f>
        <v>0</v>
      </c>
      <c r="P39" s="15"/>
      <c r="Q39" s="15"/>
      <c r="R39" s="24"/>
      <c r="S39" s="15"/>
      <c r="T39" s="15"/>
      <c r="U39" s="15"/>
      <c r="V39" s="15"/>
      <c r="W39" s="15"/>
      <c r="X39" s="15"/>
      <c r="Y39" s="15"/>
      <c r="Z39" s="15"/>
    </row>
    <row r="40" spans="1:26" x14ac:dyDescent="0.2">
      <c r="B40" s="2" t="s">
        <v>183</v>
      </c>
      <c r="C40" s="21" t="s">
        <v>56</v>
      </c>
      <c r="D40" s="53"/>
      <c r="E40" s="53"/>
      <c r="F40" s="56">
        <f>User_Financial_Input!F40*(VLOOKUP(User_Financial_Input!$D$7,Unit_Map!$A$6:$C$8,3,0))/Unit_Map!B$3</f>
        <v>0</v>
      </c>
      <c r="G40" s="56">
        <f>User_Financial_Input!G40*(VLOOKUP(User_Financial_Input!$D$7,Unit_Map!$A$6:$C$8,3,0))/Unit_Map!C$3</f>
        <v>0</v>
      </c>
      <c r="H40" s="55">
        <f>User_Financial_Input!H40*(VLOOKUP(User_Financial_Input!$D$7,Unit_Map!$A$6:$C$8,3,0))/Unit_Map!D$3</f>
        <v>0</v>
      </c>
      <c r="I40" s="55">
        <f>User_Financial_Input!I40*(VLOOKUP(User_Financial_Input!$D$7,Unit_Map!$A$6:$C$8,3,0))/Unit_Map!E$3</f>
        <v>0</v>
      </c>
      <c r="J40" s="56">
        <f>User_Financial_Input!J40*(VLOOKUP(User_Financial_Input!$D$7,Unit_Map!$A$6:$C$8,3,0))/Unit_Map!F$3</f>
        <v>0</v>
      </c>
      <c r="K40" s="56">
        <f>User_Financial_Input!K40*(VLOOKUP(User_Financial_Input!$D$7,Unit_Map!$A$6:$C$8,3,0))/Unit_Map!G$3</f>
        <v>0</v>
      </c>
      <c r="L40" s="56">
        <f>User_Financial_Input!L40*(VLOOKUP(User_Financial_Input!$D$7,Unit_Map!$A$6:$C$8,3,0))/Unit_Map!H$3</f>
        <v>0</v>
      </c>
      <c r="M40" s="55">
        <f>User_Financial_Input!M40*(VLOOKUP(User_Financial_Input!$D$7,Unit_Map!$A$6:$C$8,3,0))/Unit_Map!I$3</f>
        <v>0</v>
      </c>
      <c r="N40" s="56">
        <f>User_Financial_Input!N40*(VLOOKUP(User_Financial_Input!$D$7,Unit_Map!$A$6:$C$8,3,0))/Unit_Map!J$3</f>
        <v>0</v>
      </c>
      <c r="O40" s="155">
        <f>SUM(G40*Unit_Map!C$3,H40*Unit_Map!D$3,I40*Unit_Map!E$3,J40*Unit_Map!F$3)/Unit_Map!K$3</f>
        <v>0</v>
      </c>
      <c r="P40" s="15"/>
      <c r="Q40" s="15"/>
      <c r="R40" s="24"/>
      <c r="S40" s="15"/>
      <c r="T40" s="15"/>
      <c r="U40" s="15"/>
      <c r="V40" s="15"/>
      <c r="W40" s="15"/>
      <c r="X40" s="15"/>
      <c r="Y40" s="15"/>
      <c r="Z40" s="15"/>
    </row>
    <row r="41" spans="1:26" x14ac:dyDescent="0.2">
      <c r="B41" s="2" t="s">
        <v>184</v>
      </c>
      <c r="C41" s="21" t="s">
        <v>51</v>
      </c>
      <c r="D41" s="53"/>
      <c r="E41" s="53"/>
      <c r="F41" s="56">
        <f>User_Financial_Input!F41*(VLOOKUP(User_Financial_Input!$D$7,Unit_Map!$A$6:$C$8,3,0))/Unit_Map!B$3</f>
        <v>0</v>
      </c>
      <c r="G41" s="56">
        <f>User_Financial_Input!G41*(VLOOKUP(User_Financial_Input!$D$7,Unit_Map!$A$6:$C$8,3,0))/Unit_Map!C$3</f>
        <v>0</v>
      </c>
      <c r="H41" s="55">
        <f>User_Financial_Input!H41*(VLOOKUP(User_Financial_Input!$D$7,Unit_Map!$A$6:$C$8,3,0))/Unit_Map!D$3</f>
        <v>0</v>
      </c>
      <c r="I41" s="56">
        <f>User_Financial_Input!I41*(VLOOKUP(User_Financial_Input!$D$7,Unit_Map!$A$6:$C$8,3,0))/Unit_Map!E$3</f>
        <v>0</v>
      </c>
      <c r="J41" s="56">
        <f>User_Financial_Input!J41*(VLOOKUP(User_Financial_Input!$D$7,Unit_Map!$A$6:$C$8,3,0))/Unit_Map!F$3</f>
        <v>0</v>
      </c>
      <c r="K41" s="55">
        <f>User_Financial_Input!K41*(VLOOKUP(User_Financial_Input!$D$7,Unit_Map!$A$6:$C$8,3,0))/Unit_Map!G$3</f>
        <v>0</v>
      </c>
      <c r="L41" s="56">
        <f>User_Financial_Input!L41*(VLOOKUP(User_Financial_Input!$D$7,Unit_Map!$A$6:$C$8,3,0))/Unit_Map!H$3</f>
        <v>0</v>
      </c>
      <c r="M41" s="55">
        <f>User_Financial_Input!M41*(VLOOKUP(User_Financial_Input!$D$7,Unit_Map!$A$6:$C$8,3,0))/Unit_Map!I$3</f>
        <v>0</v>
      </c>
      <c r="N41" s="55">
        <f>User_Financial_Input!N41*(VLOOKUP(User_Financial_Input!$D$7,Unit_Map!$A$6:$C$8,3,0))/Unit_Map!J$3</f>
        <v>0</v>
      </c>
      <c r="O41" s="155">
        <f>SUM(G41*Unit_Map!C$3,H41*Unit_Map!D$3,I41*Unit_Map!E$3,J41*Unit_Map!F$3)/Unit_Map!K$3</f>
        <v>0</v>
      </c>
      <c r="P41" s="15"/>
      <c r="Q41" s="15"/>
      <c r="R41" s="24"/>
      <c r="S41" s="15"/>
      <c r="T41" s="15"/>
      <c r="U41" s="15"/>
      <c r="V41" s="15"/>
      <c r="W41" s="15"/>
      <c r="X41" s="15"/>
      <c r="Y41" s="15"/>
      <c r="Z41" s="15"/>
    </row>
    <row r="42" spans="1:26" x14ac:dyDescent="0.2">
      <c r="B42" s="53"/>
      <c r="C42" s="53"/>
      <c r="D42" s="53"/>
      <c r="E42" s="53"/>
      <c r="F42" s="53"/>
      <c r="G42" s="53"/>
      <c r="H42" s="53"/>
      <c r="I42" s="53"/>
      <c r="J42" s="53"/>
      <c r="K42" s="53"/>
      <c r="L42" s="53"/>
      <c r="M42" s="53"/>
      <c r="N42" s="53"/>
      <c r="O42" s="53"/>
      <c r="P42" s="15"/>
      <c r="Q42" s="15"/>
      <c r="R42" s="24"/>
      <c r="S42" s="15"/>
      <c r="T42" s="15"/>
      <c r="U42" s="15"/>
      <c r="V42" s="15"/>
      <c r="W42" s="15"/>
      <c r="X42" s="15"/>
      <c r="Y42" s="15"/>
      <c r="Z42" s="15"/>
    </row>
    <row r="43" spans="1:26" x14ac:dyDescent="0.2">
      <c r="B43" s="13" t="s">
        <v>185</v>
      </c>
      <c r="C43" s="22" t="s">
        <v>339</v>
      </c>
      <c r="D43" s="53"/>
      <c r="E43" s="53"/>
      <c r="F43" s="154">
        <f t="shared" ref="F43:N43" si="7">SUM(F33,F35)</f>
        <v>0</v>
      </c>
      <c r="G43" s="154">
        <f t="shared" si="7"/>
        <v>0</v>
      </c>
      <c r="H43" s="154">
        <f t="shared" si="7"/>
        <v>0</v>
      </c>
      <c r="I43" s="154">
        <f t="shared" si="7"/>
        <v>0</v>
      </c>
      <c r="J43" s="154">
        <f t="shared" si="7"/>
        <v>0</v>
      </c>
      <c r="K43" s="154">
        <f t="shared" si="7"/>
        <v>0</v>
      </c>
      <c r="L43" s="154">
        <f t="shared" si="7"/>
        <v>0</v>
      </c>
      <c r="M43" s="154">
        <f t="shared" si="7"/>
        <v>0</v>
      </c>
      <c r="N43" s="154">
        <f t="shared" si="7"/>
        <v>0</v>
      </c>
      <c r="O43" s="316">
        <f>SUM(G43*Unit_Map!C$3,H43*Unit_Map!D$3,I43*Unit_Map!E$3,J43*Unit_Map!F$3)/Unit_Map!K$3</f>
        <v>0</v>
      </c>
      <c r="P43" s="15"/>
      <c r="Q43" s="15"/>
      <c r="R43" s="24"/>
      <c r="S43" s="15"/>
      <c r="T43" s="15"/>
      <c r="U43" s="15"/>
      <c r="V43" s="15"/>
      <c r="W43" s="15"/>
      <c r="X43" s="15"/>
      <c r="Y43" s="15"/>
      <c r="Z43" s="15"/>
    </row>
    <row r="44" spans="1:26" x14ac:dyDescent="0.2">
      <c r="B44" s="58"/>
      <c r="C44" s="53"/>
      <c r="D44" s="53"/>
      <c r="E44" s="53"/>
      <c r="F44" s="53"/>
      <c r="G44" s="53"/>
      <c r="H44" s="53"/>
      <c r="I44" s="53"/>
      <c r="J44" s="53"/>
      <c r="K44" s="53"/>
      <c r="L44" s="53"/>
      <c r="M44" s="53"/>
      <c r="N44" s="53"/>
      <c r="O44" s="53"/>
      <c r="P44" s="15"/>
      <c r="Q44" s="15"/>
      <c r="R44" s="24"/>
      <c r="S44" s="15"/>
      <c r="T44" s="15"/>
      <c r="U44" s="15"/>
      <c r="V44" s="15"/>
      <c r="W44" s="15"/>
      <c r="X44" s="15"/>
      <c r="Y44" s="15"/>
      <c r="Z44" s="15"/>
    </row>
    <row r="45" spans="1:26" x14ac:dyDescent="0.2">
      <c r="B45" s="13" t="s">
        <v>186</v>
      </c>
      <c r="C45" s="22" t="s">
        <v>58</v>
      </c>
      <c r="D45" s="53"/>
      <c r="E45" s="53"/>
      <c r="F45" s="56">
        <f>User_Financial_Input!F45*(VLOOKUP(User_Financial_Input!$D$7,Unit_Map!$A$6:$C$8,3,0))/Unit_Map!B$3</f>
        <v>0</v>
      </c>
      <c r="G45" s="56">
        <f>User_Financial_Input!G45*(VLOOKUP(User_Financial_Input!$D$7,Unit_Map!$A$6:$C$8,3,0))/Unit_Map!C$3</f>
        <v>0</v>
      </c>
      <c r="H45" s="56">
        <f>User_Financial_Input!H45*(VLOOKUP(User_Financial_Input!$D$7,Unit_Map!$A$6:$C$8,3,0))/Unit_Map!D$3</f>
        <v>0</v>
      </c>
      <c r="I45" s="56">
        <f>User_Financial_Input!I45*(VLOOKUP(User_Financial_Input!$D$7,Unit_Map!$A$6:$C$8,3,0))/Unit_Map!E$3</f>
        <v>0</v>
      </c>
      <c r="J45" s="56">
        <f>User_Financial_Input!J45*(VLOOKUP(User_Financial_Input!$D$7,Unit_Map!$A$6:$C$8,3,0))/Unit_Map!F$3</f>
        <v>0</v>
      </c>
      <c r="K45" s="56">
        <f>User_Financial_Input!K45*(VLOOKUP(User_Financial_Input!$D$7,Unit_Map!$A$6:$C$8,3,0))/Unit_Map!G$3</f>
        <v>0</v>
      </c>
      <c r="L45" s="56">
        <f>User_Financial_Input!L45*(VLOOKUP(User_Financial_Input!$D$7,Unit_Map!$A$6:$C$8,3,0))/Unit_Map!H$3</f>
        <v>0</v>
      </c>
      <c r="M45" s="56">
        <f>User_Financial_Input!M45*(VLOOKUP(User_Financial_Input!$D$7,Unit_Map!$A$6:$C$8,3,0))/Unit_Map!I$3</f>
        <v>0</v>
      </c>
      <c r="N45" s="56">
        <f>User_Financial_Input!N45*(VLOOKUP(User_Financial_Input!$D$7,Unit_Map!$A$6:$C$8,3,0))/Unit_Map!J$3</f>
        <v>0</v>
      </c>
      <c r="O45" s="155">
        <f>SUM(G45*Unit_Map!C$3,H45*Unit_Map!D$3,I45*Unit_Map!E$3,J45*Unit_Map!F$3)/Unit_Map!K$3</f>
        <v>0</v>
      </c>
      <c r="P45" s="15"/>
      <c r="Q45" s="15"/>
      <c r="R45" s="24"/>
      <c r="S45" s="15"/>
      <c r="T45" s="15"/>
      <c r="U45" s="15"/>
      <c r="V45" s="15"/>
      <c r="W45" s="15"/>
      <c r="X45" s="15"/>
      <c r="Y45" s="15"/>
      <c r="Z45" s="15"/>
    </row>
    <row r="46" spans="1:26" x14ac:dyDescent="0.2">
      <c r="B46" s="58"/>
      <c r="C46" s="53"/>
      <c r="D46" s="53"/>
      <c r="E46" s="53"/>
      <c r="F46" s="53"/>
      <c r="G46" s="53"/>
      <c r="H46" s="53"/>
      <c r="I46" s="53"/>
      <c r="J46" s="53"/>
      <c r="K46" s="53"/>
      <c r="L46" s="53"/>
      <c r="M46" s="53"/>
      <c r="N46" s="53"/>
      <c r="O46" s="53"/>
      <c r="P46" s="15"/>
      <c r="Q46" s="15"/>
      <c r="R46" s="24"/>
      <c r="S46" s="15"/>
      <c r="T46" s="15"/>
      <c r="U46" s="15"/>
      <c r="V46" s="15"/>
      <c r="W46" s="15"/>
      <c r="X46" s="15"/>
      <c r="Y46" s="15"/>
      <c r="Z46" s="15"/>
    </row>
    <row r="47" spans="1:26" x14ac:dyDescent="0.2">
      <c r="B47" s="13" t="s">
        <v>187</v>
      </c>
      <c r="C47" s="19" t="s">
        <v>340</v>
      </c>
      <c r="D47" s="53"/>
      <c r="E47" s="53"/>
      <c r="F47" s="154">
        <f t="shared" ref="F47:N47" si="8">SUM(F43,F45)</f>
        <v>0</v>
      </c>
      <c r="G47" s="154">
        <f t="shared" si="8"/>
        <v>0</v>
      </c>
      <c r="H47" s="154">
        <f t="shared" si="8"/>
        <v>0</v>
      </c>
      <c r="I47" s="154">
        <f t="shared" si="8"/>
        <v>0</v>
      </c>
      <c r="J47" s="154">
        <f t="shared" si="8"/>
        <v>0</v>
      </c>
      <c r="K47" s="154">
        <f t="shared" si="8"/>
        <v>0</v>
      </c>
      <c r="L47" s="154">
        <f t="shared" si="8"/>
        <v>0</v>
      </c>
      <c r="M47" s="154">
        <f t="shared" si="8"/>
        <v>0</v>
      </c>
      <c r="N47" s="154">
        <f t="shared" si="8"/>
        <v>0</v>
      </c>
      <c r="O47" s="316">
        <f>SUM(G47*Unit_Map!C$3,H47*Unit_Map!D$3,I47*Unit_Map!E$3,J47*Unit_Map!F$3)/Unit_Map!K$3</f>
        <v>0</v>
      </c>
      <c r="P47" s="15"/>
      <c r="Q47" s="15"/>
      <c r="R47" s="24"/>
      <c r="S47" s="15"/>
      <c r="T47" s="15"/>
      <c r="U47" s="15"/>
      <c r="V47" s="15"/>
      <c r="W47" s="15"/>
      <c r="X47" s="15"/>
      <c r="Y47" s="15"/>
      <c r="Z47" s="15"/>
    </row>
    <row r="48" spans="1:26" x14ac:dyDescent="0.2">
      <c r="B48" s="58"/>
      <c r="C48" s="53"/>
      <c r="D48" s="53"/>
      <c r="E48" s="53"/>
      <c r="F48" s="53"/>
      <c r="G48" s="53"/>
      <c r="H48" s="53"/>
      <c r="I48" s="53"/>
      <c r="J48" s="53"/>
      <c r="K48" s="53"/>
      <c r="L48" s="53"/>
      <c r="M48" s="53"/>
      <c r="N48" s="53"/>
      <c r="O48" s="53"/>
      <c r="P48" s="15"/>
      <c r="Q48" s="15"/>
      <c r="R48" s="24"/>
      <c r="S48" s="15"/>
      <c r="T48" s="15"/>
      <c r="U48" s="15"/>
      <c r="V48" s="15"/>
      <c r="W48" s="15"/>
      <c r="X48" s="15"/>
      <c r="Y48" s="15"/>
      <c r="Z48" s="15"/>
    </row>
    <row r="49" spans="1:26" x14ac:dyDescent="0.2">
      <c r="B49" s="13" t="s">
        <v>188</v>
      </c>
      <c r="C49" s="19" t="s">
        <v>341</v>
      </c>
      <c r="D49" s="53"/>
      <c r="E49" s="53"/>
      <c r="F49" s="55">
        <f>User_Financial_Input!F49*(VLOOKUP(User_Financial_Input!$D$7,Unit_Map!$A$6:$C$8,3,0))/Unit_Map!B$3</f>
        <v>0</v>
      </c>
      <c r="G49" s="55">
        <f>User_Financial_Input!G49*(VLOOKUP(User_Financial_Input!$D$7,Unit_Map!$A$6:$C$8,3,0))/Unit_Map!C$3</f>
        <v>0</v>
      </c>
      <c r="H49" s="55">
        <f>User_Financial_Input!H49*(VLOOKUP(User_Financial_Input!$D$7,Unit_Map!$A$6:$C$8,3,0))/Unit_Map!D$3</f>
        <v>0</v>
      </c>
      <c r="I49" s="55">
        <f>User_Financial_Input!I49*(VLOOKUP(User_Financial_Input!$D$7,Unit_Map!$A$6:$C$8,3,0))/Unit_Map!E$3</f>
        <v>0</v>
      </c>
      <c r="J49" s="55">
        <f>User_Financial_Input!J49*(VLOOKUP(User_Financial_Input!$D$7,Unit_Map!$A$6:$C$8,3,0))/Unit_Map!F$3</f>
        <v>0</v>
      </c>
      <c r="K49" s="55">
        <f>User_Financial_Input!K49*(VLOOKUP(User_Financial_Input!$D$7,Unit_Map!$A$6:$C$8,3,0))/Unit_Map!G$3</f>
        <v>0</v>
      </c>
      <c r="L49" s="55">
        <f>User_Financial_Input!L49*(VLOOKUP(User_Financial_Input!$D$7,Unit_Map!$A$6:$C$8,3,0))/Unit_Map!H$3</f>
        <v>0</v>
      </c>
      <c r="M49" s="55">
        <f>User_Financial_Input!M49*(VLOOKUP(User_Financial_Input!$D$7,Unit_Map!$A$6:$C$8,3,0))/Unit_Map!I$3</f>
        <v>0</v>
      </c>
      <c r="N49" s="55">
        <f>User_Financial_Input!N49*(VLOOKUP(User_Financial_Input!$D$7,Unit_Map!$A$6:$C$8,3,0))/Unit_Map!J$3</f>
        <v>0</v>
      </c>
      <c r="O49" s="155">
        <f>SUM(G49*Unit_Map!C$3,H49*Unit_Map!D$3,I49*Unit_Map!E$3,J49*Unit_Map!F$3)/Unit_Map!K$3</f>
        <v>0</v>
      </c>
      <c r="P49" s="15"/>
      <c r="Q49" s="15"/>
      <c r="R49" s="24"/>
      <c r="S49" s="15"/>
      <c r="T49" s="15"/>
      <c r="U49" s="15"/>
      <c r="V49" s="15"/>
      <c r="W49" s="15"/>
      <c r="X49" s="15"/>
      <c r="Y49" s="15"/>
      <c r="Z49" s="15"/>
    </row>
    <row r="50" spans="1:26" x14ac:dyDescent="0.2">
      <c r="B50" s="58"/>
      <c r="C50" s="53"/>
      <c r="D50" s="53"/>
      <c r="E50" s="53"/>
      <c r="F50" s="53"/>
      <c r="G50" s="53"/>
      <c r="H50" s="53"/>
      <c r="I50" s="53"/>
      <c r="J50" s="53"/>
      <c r="K50" s="53"/>
      <c r="L50" s="53"/>
      <c r="M50" s="53"/>
      <c r="N50" s="53"/>
      <c r="O50" s="53"/>
      <c r="P50" s="15"/>
      <c r="Q50" s="15"/>
      <c r="R50" s="24"/>
      <c r="S50" s="15"/>
      <c r="T50" s="15"/>
      <c r="U50" s="15"/>
      <c r="V50" s="15"/>
      <c r="W50" s="15"/>
      <c r="X50" s="15"/>
      <c r="Y50" s="15"/>
      <c r="Z50" s="15"/>
    </row>
    <row r="51" spans="1:26" x14ac:dyDescent="0.2">
      <c r="B51" s="13" t="s">
        <v>189</v>
      </c>
      <c r="C51" s="19" t="s">
        <v>342</v>
      </c>
      <c r="D51" s="53"/>
      <c r="E51" s="53"/>
      <c r="F51" s="154">
        <f t="shared" ref="F51:N51" si="9">SUM(F47,F49)</f>
        <v>0</v>
      </c>
      <c r="G51" s="154">
        <f t="shared" si="9"/>
        <v>0</v>
      </c>
      <c r="H51" s="154">
        <f t="shared" si="9"/>
        <v>0</v>
      </c>
      <c r="I51" s="154">
        <f t="shared" si="9"/>
        <v>0</v>
      </c>
      <c r="J51" s="154">
        <f t="shared" si="9"/>
        <v>0</v>
      </c>
      <c r="K51" s="154">
        <f t="shared" si="9"/>
        <v>0</v>
      </c>
      <c r="L51" s="154">
        <f t="shared" si="9"/>
        <v>0</v>
      </c>
      <c r="M51" s="154">
        <f t="shared" si="9"/>
        <v>0</v>
      </c>
      <c r="N51" s="154">
        <f t="shared" si="9"/>
        <v>0</v>
      </c>
      <c r="O51" s="316">
        <f>SUM(G51*Unit_Map!C$3,H51*Unit_Map!D$3,I51*Unit_Map!E$3,J51*Unit_Map!F$3)/Unit_Map!K$3</f>
        <v>0</v>
      </c>
      <c r="P51" s="15"/>
      <c r="Q51" s="15"/>
      <c r="R51" s="24"/>
      <c r="S51" s="15"/>
      <c r="T51" s="15"/>
      <c r="U51" s="15"/>
      <c r="V51" s="15"/>
      <c r="W51" s="15"/>
      <c r="X51" s="15"/>
      <c r="Y51" s="15"/>
      <c r="Z51" s="15"/>
    </row>
    <row r="52" spans="1:26" x14ac:dyDescent="0.2">
      <c r="B52" s="53"/>
      <c r="C52" s="20" t="s">
        <v>173</v>
      </c>
      <c r="D52" s="53"/>
      <c r="E52" s="53"/>
      <c r="F52" s="53"/>
      <c r="G52" s="53"/>
      <c r="H52" s="53"/>
      <c r="I52" s="53"/>
      <c r="J52" s="53"/>
      <c r="K52" s="53"/>
      <c r="L52" s="53"/>
      <c r="M52" s="53"/>
      <c r="N52" s="53"/>
      <c r="O52" s="53"/>
      <c r="P52" s="15"/>
      <c r="Q52" s="15"/>
      <c r="R52" s="24"/>
      <c r="S52" s="15"/>
      <c r="T52" s="15"/>
      <c r="U52" s="15"/>
      <c r="V52" s="15"/>
      <c r="W52" s="15"/>
      <c r="X52" s="15"/>
      <c r="Y52" s="15"/>
      <c r="Z52" s="15"/>
    </row>
    <row r="53" spans="1:26" x14ac:dyDescent="0.2">
      <c r="B53" s="2" t="s">
        <v>190</v>
      </c>
      <c r="C53" s="23" t="s">
        <v>29</v>
      </c>
      <c r="D53" s="53"/>
      <c r="E53" s="53"/>
      <c r="F53" s="55">
        <f>User_Financial_Input!F53*(VLOOKUP(User_Financial_Input!$D$7,Unit_Map!$A$6:$C$8,3,0))/Unit_Map!B$3</f>
        <v>0</v>
      </c>
      <c r="G53" s="55">
        <f>User_Financial_Input!G53*(VLOOKUP(User_Financial_Input!$D$7,Unit_Map!$A$6:$C$8,3,0))/Unit_Map!C$3</f>
        <v>0</v>
      </c>
      <c r="H53" s="55">
        <f>User_Financial_Input!H53*(VLOOKUP(User_Financial_Input!$D$7,Unit_Map!$A$6:$C$8,3,0))/Unit_Map!D$3</f>
        <v>0</v>
      </c>
      <c r="I53" s="55">
        <f>User_Financial_Input!I53*(VLOOKUP(User_Financial_Input!$D$7,Unit_Map!$A$6:$C$8,3,0))/Unit_Map!E$3</f>
        <v>0</v>
      </c>
      <c r="J53" s="55">
        <f>User_Financial_Input!J53*(VLOOKUP(User_Financial_Input!$D$7,Unit_Map!$A$6:$C$8,3,0))/Unit_Map!F$3</f>
        <v>0</v>
      </c>
      <c r="K53" s="55">
        <f>User_Financial_Input!K53*(VLOOKUP(User_Financial_Input!$D$7,Unit_Map!$A$6:$C$8,3,0))/Unit_Map!G$3</f>
        <v>0</v>
      </c>
      <c r="L53" s="55">
        <f>User_Financial_Input!L53*(VLOOKUP(User_Financial_Input!$D$7,Unit_Map!$A$6:$C$8,3,0))/Unit_Map!H$3</f>
        <v>0</v>
      </c>
      <c r="M53" s="55">
        <f>User_Financial_Input!M53*(VLOOKUP(User_Financial_Input!$D$7,Unit_Map!$A$6:$C$8,3,0))/Unit_Map!I$3</f>
        <v>0</v>
      </c>
      <c r="N53" s="55">
        <f>User_Financial_Input!N53*(VLOOKUP(User_Financial_Input!$D$7,Unit_Map!$A$6:$C$8,3,0))/Unit_Map!J$3</f>
        <v>0</v>
      </c>
      <c r="O53" s="155">
        <f>SUM(G53*Unit_Map!C$3,H53*Unit_Map!D$3,I53*Unit_Map!E$3,J53*Unit_Map!F$3)/Unit_Map!K$3</f>
        <v>0</v>
      </c>
      <c r="P53" s="15"/>
      <c r="Q53" s="15"/>
      <c r="R53" s="24"/>
      <c r="S53" s="15"/>
      <c r="T53" s="15"/>
      <c r="U53" s="15"/>
      <c r="V53" s="15"/>
      <c r="W53" s="15"/>
      <c r="X53" s="15"/>
      <c r="Y53" s="15"/>
      <c r="Z53" s="15"/>
    </row>
    <row r="54" spans="1:26" x14ac:dyDescent="0.2">
      <c r="B54" s="2" t="s">
        <v>191</v>
      </c>
      <c r="C54" s="20" t="s">
        <v>174</v>
      </c>
      <c r="D54" s="53"/>
      <c r="E54" s="53"/>
      <c r="F54" s="124">
        <f>F51-F53</f>
        <v>0</v>
      </c>
      <c r="G54" s="124">
        <f t="shared" ref="G54:O54" si="10">G51-G53</f>
        <v>0</v>
      </c>
      <c r="H54" s="124">
        <f t="shared" si="10"/>
        <v>0</v>
      </c>
      <c r="I54" s="124">
        <f t="shared" si="10"/>
        <v>0</v>
      </c>
      <c r="J54" s="124">
        <f>J51-J53</f>
        <v>0</v>
      </c>
      <c r="K54" s="124">
        <f t="shared" si="10"/>
        <v>0</v>
      </c>
      <c r="L54" s="124">
        <f t="shared" si="10"/>
        <v>0</v>
      </c>
      <c r="M54" s="124">
        <f t="shared" si="10"/>
        <v>0</v>
      </c>
      <c r="N54" s="124">
        <f t="shared" si="10"/>
        <v>0</v>
      </c>
      <c r="O54" s="124">
        <f t="shared" si="10"/>
        <v>0</v>
      </c>
      <c r="P54" s="15"/>
      <c r="Q54" s="15"/>
      <c r="R54" s="24"/>
      <c r="S54" s="15"/>
      <c r="T54" s="15"/>
      <c r="U54" s="15"/>
      <c r="V54" s="15"/>
      <c r="W54" s="15"/>
      <c r="X54" s="15"/>
      <c r="Y54" s="15"/>
      <c r="Z54" s="15"/>
    </row>
    <row r="55" spans="1:26" x14ac:dyDescent="0.2">
      <c r="B55" s="53"/>
      <c r="C55" s="53"/>
      <c r="D55" s="53"/>
      <c r="E55" s="53"/>
      <c r="F55" s="53"/>
      <c r="G55" s="53"/>
      <c r="H55" s="53"/>
      <c r="I55" s="53"/>
      <c r="J55" s="53"/>
      <c r="K55" s="53"/>
      <c r="L55" s="53"/>
      <c r="M55" s="53"/>
      <c r="N55" s="53"/>
      <c r="O55" s="53"/>
      <c r="P55" s="15"/>
      <c r="Q55" s="15"/>
      <c r="R55" s="24"/>
      <c r="S55" s="15"/>
      <c r="T55" s="15"/>
      <c r="U55" s="15"/>
      <c r="V55" s="15"/>
      <c r="W55" s="15"/>
      <c r="X55" s="15"/>
      <c r="Y55" s="15"/>
      <c r="Z55" s="15"/>
    </row>
    <row r="56" spans="1:26" x14ac:dyDescent="0.2">
      <c r="B56" s="13" t="s">
        <v>676</v>
      </c>
      <c r="C56" s="19" t="s">
        <v>677</v>
      </c>
      <c r="D56" s="53"/>
      <c r="E56" s="53"/>
      <c r="F56" s="53"/>
      <c r="G56" s="53"/>
      <c r="H56" s="53"/>
      <c r="I56" s="53"/>
      <c r="J56" s="53"/>
      <c r="K56" s="53"/>
      <c r="L56" s="53"/>
      <c r="M56" s="53"/>
      <c r="N56" s="53"/>
      <c r="O56" s="53"/>
      <c r="P56" s="15"/>
      <c r="Q56" s="15"/>
      <c r="R56" s="24"/>
      <c r="S56" s="15"/>
      <c r="T56" s="15"/>
      <c r="U56" s="15"/>
      <c r="V56" s="15"/>
      <c r="W56" s="15"/>
      <c r="X56" s="15"/>
      <c r="Y56" s="15"/>
      <c r="Z56" s="15"/>
    </row>
    <row r="57" spans="1:26" x14ac:dyDescent="0.2">
      <c r="B57" s="2" t="s">
        <v>390</v>
      </c>
      <c r="C57" s="23" t="s">
        <v>34</v>
      </c>
      <c r="D57" s="67"/>
      <c r="E57" s="53"/>
      <c r="F57" s="55">
        <f>User_Financial_Input!F57*(VLOOKUP(User_Financial_Input!$D$7,Unit_Map!$A$6:$C$8,3,0))/Unit_Map!B$3</f>
        <v>0</v>
      </c>
      <c r="G57" s="55">
        <f>User_Financial_Input!G57*(VLOOKUP(User_Financial_Input!$D$7,Unit_Map!$A$6:$C$8,3,0))/Unit_Map!C$3</f>
        <v>0</v>
      </c>
      <c r="H57" s="55">
        <f>User_Financial_Input!H57*(VLOOKUP(User_Financial_Input!$D$7,Unit_Map!$A$6:$C$8,3,0))/Unit_Map!D$3</f>
        <v>0</v>
      </c>
      <c r="I57" s="55">
        <f>User_Financial_Input!I57*(VLOOKUP(User_Financial_Input!$D$7,Unit_Map!$A$6:$C$8,3,0))/Unit_Map!E$3</f>
        <v>0</v>
      </c>
      <c r="J57" s="55">
        <f>User_Financial_Input!J57*(VLOOKUP(User_Financial_Input!$D$7,Unit_Map!$A$6:$C$8,3,0))/Unit_Map!F$3</f>
        <v>0</v>
      </c>
      <c r="K57" s="55">
        <f>User_Financial_Input!K57*(VLOOKUP(User_Financial_Input!$D$7,Unit_Map!$A$6:$C$8,3,0))/Unit_Map!G$3</f>
        <v>0</v>
      </c>
      <c r="L57" s="55">
        <f>User_Financial_Input!L57*(VLOOKUP(User_Financial_Input!$D$7,Unit_Map!$A$6:$C$8,3,0))/Unit_Map!H$3</f>
        <v>0</v>
      </c>
      <c r="M57" s="55">
        <f>User_Financial_Input!M57*(VLOOKUP(User_Financial_Input!$D$7,Unit_Map!$A$6:$C$8,3,0))/Unit_Map!I$3</f>
        <v>0</v>
      </c>
      <c r="N57" s="55">
        <f>User_Financial_Input!N57*(VLOOKUP(User_Financial_Input!$D$7,Unit_Map!$A$6:$C$8,3,0))/Unit_Map!J$3</f>
        <v>0</v>
      </c>
      <c r="O57" s="155">
        <f>SUM(G57*Unit_Map!C$3,H57*Unit_Map!D$3,I57*Unit_Map!E$3,J57*Unit_Map!F$3)/Unit_Map!K$3</f>
        <v>0</v>
      </c>
      <c r="P57" s="15"/>
      <c r="Q57" s="15"/>
      <c r="R57" s="24"/>
      <c r="S57" s="15"/>
      <c r="T57" s="15"/>
      <c r="U57" s="15"/>
      <c r="V57" s="15"/>
      <c r="W57" s="15"/>
      <c r="X57" s="15"/>
      <c r="Y57" s="15"/>
      <c r="Z57" s="15"/>
    </row>
    <row r="58" spans="1:26" x14ac:dyDescent="0.2">
      <c r="A58" s="6" t="s">
        <v>930</v>
      </c>
      <c r="B58" s="2" t="s">
        <v>391</v>
      </c>
      <c r="C58" s="23" t="s">
        <v>42</v>
      </c>
      <c r="D58" s="67"/>
      <c r="E58" s="53"/>
      <c r="F58" s="56">
        <f>User_Financial_Input!F58*(VLOOKUP(User_Financial_Input!$D$7,Unit_Map!$A$6:$C$8,3,0))/Unit_Map!B$3</f>
        <v>0</v>
      </c>
      <c r="G58" s="56">
        <f>User_Financial_Input!G58*(VLOOKUP(User_Financial_Input!$D$7,Unit_Map!$A$6:$C$8,3,0))/Unit_Map!C$3</f>
        <v>0</v>
      </c>
      <c r="H58" s="56">
        <f>User_Financial_Input!H58*(VLOOKUP(User_Financial_Input!$D$7,Unit_Map!$A$6:$C$8,3,0))/Unit_Map!D$3</f>
        <v>0</v>
      </c>
      <c r="I58" s="56">
        <f>User_Financial_Input!I58*(VLOOKUP(User_Financial_Input!$D$7,Unit_Map!$A$6:$C$8,3,0))/Unit_Map!E$3</f>
        <v>0</v>
      </c>
      <c r="J58" s="56">
        <f>User_Financial_Input!J58*(VLOOKUP(User_Financial_Input!$D$7,Unit_Map!$A$6:$C$8,3,0))/Unit_Map!F$3</f>
        <v>0</v>
      </c>
      <c r="K58" s="56">
        <f>User_Financial_Input!K58*(VLOOKUP(User_Financial_Input!$D$7,Unit_Map!$A$6:$C$8,3,0))/Unit_Map!G$3</f>
        <v>0</v>
      </c>
      <c r="L58" s="56">
        <f>User_Financial_Input!L58*(VLOOKUP(User_Financial_Input!$D$7,Unit_Map!$A$6:$C$8,3,0))/Unit_Map!H$3</f>
        <v>0</v>
      </c>
      <c r="M58" s="56">
        <f>User_Financial_Input!M58*(VLOOKUP(User_Financial_Input!$D$7,Unit_Map!$A$6:$C$8,3,0))/Unit_Map!I$3</f>
        <v>0</v>
      </c>
      <c r="N58" s="56">
        <f>User_Financial_Input!N58*(VLOOKUP(User_Financial_Input!$D$7,Unit_Map!$A$6:$C$8,3,0))/Unit_Map!J$3</f>
        <v>0</v>
      </c>
      <c r="O58" s="155">
        <f>SUM(G58*Unit_Map!C$3,H58*Unit_Map!D$3,I58*Unit_Map!E$3,J58*Unit_Map!F$3)/Unit_Map!K$3</f>
        <v>0</v>
      </c>
      <c r="P58" s="15"/>
      <c r="Q58" s="15"/>
      <c r="R58" s="24"/>
      <c r="S58" s="15"/>
      <c r="T58" s="15"/>
      <c r="U58" s="15"/>
      <c r="V58" s="15"/>
      <c r="W58" s="15"/>
      <c r="X58" s="15"/>
      <c r="Y58" s="15"/>
      <c r="Z58" s="15"/>
    </row>
    <row r="59" spans="1:26" x14ac:dyDescent="0.2">
      <c r="C59" s="24"/>
      <c r="D59" s="24"/>
      <c r="E59" s="24"/>
      <c r="F59" s="25"/>
      <c r="G59" s="25"/>
      <c r="H59" s="25"/>
      <c r="I59" s="25"/>
      <c r="J59" s="25"/>
      <c r="K59" s="25"/>
      <c r="L59" s="25"/>
      <c r="M59" s="25"/>
      <c r="N59" s="25"/>
      <c r="O59" s="25"/>
      <c r="P59" s="15"/>
      <c r="Q59" s="15"/>
      <c r="R59" s="24"/>
      <c r="S59" s="15"/>
      <c r="T59" s="15"/>
      <c r="U59" s="15"/>
      <c r="V59" s="15"/>
      <c r="W59" s="15"/>
      <c r="X59" s="15"/>
      <c r="Y59" s="15"/>
      <c r="Z59" s="15"/>
    </row>
    <row r="60" spans="1:26" x14ac:dyDescent="0.2">
      <c r="C60" s="24"/>
      <c r="D60" s="24"/>
      <c r="E60" s="24"/>
      <c r="F60" s="25"/>
      <c r="G60" s="25"/>
      <c r="H60" s="25"/>
      <c r="I60" s="25"/>
      <c r="J60" s="25"/>
      <c r="K60" s="25"/>
      <c r="L60" s="25"/>
      <c r="M60" s="25"/>
      <c r="N60" s="25"/>
      <c r="O60" s="25"/>
      <c r="P60" s="15"/>
      <c r="Q60" s="15"/>
      <c r="R60" s="15"/>
      <c r="S60" s="15"/>
      <c r="T60" s="15"/>
      <c r="U60" s="15"/>
      <c r="V60" s="15"/>
      <c r="W60" s="15"/>
      <c r="X60" s="15"/>
      <c r="Y60" s="15"/>
      <c r="Z60" s="15"/>
    </row>
    <row r="61" spans="1:26" ht="38.25" x14ac:dyDescent="0.2">
      <c r="B61" s="13" t="s">
        <v>142</v>
      </c>
      <c r="C61" s="19" t="s">
        <v>32</v>
      </c>
      <c r="D61" s="19"/>
      <c r="E61" s="146" t="s">
        <v>70</v>
      </c>
      <c r="F61" s="321" t="s">
        <v>63</v>
      </c>
      <c r="G61" s="322"/>
      <c r="H61" s="322"/>
      <c r="I61" s="323"/>
      <c r="J61" s="149" t="s">
        <v>829</v>
      </c>
      <c r="K61" s="149" t="s">
        <v>76</v>
      </c>
      <c r="L61" s="149" t="s">
        <v>75</v>
      </c>
      <c r="M61" s="149" t="s">
        <v>74</v>
      </c>
      <c r="N61" s="149" t="s">
        <v>73</v>
      </c>
      <c r="O61" s="149" t="s">
        <v>71</v>
      </c>
      <c r="P61" s="15"/>
      <c r="Q61" s="15"/>
      <c r="R61" s="15"/>
      <c r="S61" s="15"/>
      <c r="T61" s="15"/>
      <c r="U61" s="15"/>
      <c r="V61" s="15"/>
      <c r="W61" s="15"/>
      <c r="X61" s="15"/>
      <c r="Y61" s="15"/>
      <c r="Z61" s="15"/>
    </row>
    <row r="62" spans="1:26" x14ac:dyDescent="0.2">
      <c r="B62" s="13"/>
      <c r="C62" s="20"/>
      <c r="D62" s="20"/>
      <c r="E62" s="147" t="s">
        <v>87</v>
      </c>
      <c r="F62" s="151">
        <f t="shared" ref="F62:O62" si="11">F11</f>
        <v>41906.600000000006</v>
      </c>
      <c r="G62" s="151">
        <f t="shared" si="11"/>
        <v>41999.200000000004</v>
      </c>
      <c r="H62" s="151">
        <f t="shared" si="11"/>
        <v>42091.8</v>
      </c>
      <c r="I62" s="151">
        <f t="shared" si="11"/>
        <v>42184.4</v>
      </c>
      <c r="J62" s="151">
        <f t="shared" si="11"/>
        <v>42277</v>
      </c>
      <c r="K62" s="150">
        <f t="shared" si="11"/>
        <v>40905</v>
      </c>
      <c r="L62" s="150">
        <f t="shared" si="11"/>
        <v>41271</v>
      </c>
      <c r="M62" s="150">
        <f t="shared" si="11"/>
        <v>41637</v>
      </c>
      <c r="N62" s="150">
        <f t="shared" si="11"/>
        <v>42003</v>
      </c>
      <c r="O62" s="151">
        <f t="shared" si="11"/>
        <v>42277</v>
      </c>
      <c r="P62" s="15"/>
      <c r="Q62" s="15"/>
      <c r="R62" s="15"/>
      <c r="S62" s="15"/>
      <c r="T62" s="15"/>
      <c r="U62" s="15"/>
      <c r="V62" s="15"/>
      <c r="W62" s="15"/>
      <c r="X62" s="15"/>
      <c r="Y62" s="15"/>
      <c r="Z62" s="15"/>
    </row>
    <row r="63" spans="1:26" x14ac:dyDescent="0.2">
      <c r="B63" s="53"/>
      <c r="C63" s="53"/>
      <c r="D63" s="53"/>
      <c r="E63" s="53"/>
      <c r="F63" s="53"/>
      <c r="G63" s="53"/>
      <c r="H63" s="53"/>
      <c r="I63" s="53"/>
      <c r="J63" s="53"/>
      <c r="K63" s="53"/>
      <c r="L63" s="53"/>
      <c r="M63" s="53"/>
      <c r="N63" s="53"/>
      <c r="O63" s="53"/>
      <c r="P63" s="15"/>
      <c r="Q63" s="15"/>
      <c r="R63" s="15"/>
      <c r="S63" s="15"/>
      <c r="T63" s="15"/>
      <c r="U63" s="15"/>
      <c r="V63" s="15"/>
      <c r="W63" s="15"/>
      <c r="X63" s="15"/>
      <c r="Y63" s="15"/>
      <c r="Z63" s="15"/>
    </row>
    <row r="64" spans="1:26" x14ac:dyDescent="0.2">
      <c r="B64" s="13" t="s">
        <v>202</v>
      </c>
      <c r="C64" s="19" t="s">
        <v>0</v>
      </c>
      <c r="D64" s="53"/>
      <c r="E64" s="53"/>
      <c r="F64" s="154">
        <f>SUM(F65:F69)</f>
        <v>0</v>
      </c>
      <c r="G64" s="154">
        <f t="shared" ref="G64:N64" si="12">SUM(G65:G69)</f>
        <v>0</v>
      </c>
      <c r="H64" s="154">
        <f t="shared" si="12"/>
        <v>0</v>
      </c>
      <c r="I64" s="154">
        <f t="shared" si="12"/>
        <v>0</v>
      </c>
      <c r="J64" s="154">
        <f>SUM(J65:J69)</f>
        <v>0</v>
      </c>
      <c r="K64" s="154">
        <f t="shared" si="12"/>
        <v>0</v>
      </c>
      <c r="L64" s="154">
        <f t="shared" si="12"/>
        <v>0</v>
      </c>
      <c r="M64" s="154">
        <f t="shared" si="12"/>
        <v>0</v>
      </c>
      <c r="N64" s="154">
        <f t="shared" si="12"/>
        <v>0</v>
      </c>
      <c r="O64" s="314">
        <f>J64</f>
        <v>0</v>
      </c>
      <c r="P64" s="15"/>
      <c r="Q64" s="15"/>
      <c r="R64" s="15"/>
      <c r="S64" s="15"/>
      <c r="T64" s="15"/>
      <c r="U64" s="15"/>
      <c r="V64" s="15"/>
      <c r="W64" s="15"/>
      <c r="X64" s="15"/>
      <c r="Y64" s="15"/>
      <c r="Z64" s="15"/>
    </row>
    <row r="65" spans="2:26" x14ac:dyDescent="0.2">
      <c r="B65" s="2" t="s">
        <v>203</v>
      </c>
      <c r="C65" s="20" t="s">
        <v>3</v>
      </c>
      <c r="D65" s="53"/>
      <c r="E65" s="53"/>
      <c r="F65" s="55">
        <f>User_Financial_Input!F65*(VLOOKUP(User_Financial_Input!$D$7,Unit_Map!$A$6:$C$8,3,0))/Unit_Map!B$3</f>
        <v>0</v>
      </c>
      <c r="G65" s="55">
        <f>User_Financial_Input!G65*(VLOOKUP(User_Financial_Input!$D$7,Unit_Map!$A$6:$C$8,3,0))/Unit_Map!C$3</f>
        <v>0</v>
      </c>
      <c r="H65" s="55">
        <f>User_Financial_Input!H65*(VLOOKUP(User_Financial_Input!$D$7,Unit_Map!$A$6:$C$8,3,0))/Unit_Map!D$3</f>
        <v>0</v>
      </c>
      <c r="I65" s="55">
        <f>User_Financial_Input!I65*(VLOOKUP(User_Financial_Input!$D$7,Unit_Map!$A$6:$C$8,3,0))/Unit_Map!E$3</f>
        <v>0</v>
      </c>
      <c r="J65" s="55">
        <f>User_Financial_Input!J65*(VLOOKUP(User_Financial_Input!$D$7,Unit_Map!$A$6:$C$8,3,0))/Unit_Map!F$3</f>
        <v>0</v>
      </c>
      <c r="K65" s="55">
        <f>User_Financial_Input!K65*(VLOOKUP(User_Financial_Input!$D$7,Unit_Map!$A$6:$C$8,3,0))/Unit_Map!G$3</f>
        <v>0</v>
      </c>
      <c r="L65" s="55">
        <f>User_Financial_Input!L65*(VLOOKUP(User_Financial_Input!$D$7,Unit_Map!$A$6:$C$8,3,0))/Unit_Map!H$3</f>
        <v>0</v>
      </c>
      <c r="M65" s="55">
        <f>User_Financial_Input!M65*(VLOOKUP(User_Financial_Input!$D$7,Unit_Map!$A$6:$C$8,3,0))/Unit_Map!I$3</f>
        <v>0</v>
      </c>
      <c r="N65" s="55">
        <f>User_Financial_Input!N65*(VLOOKUP(User_Financial_Input!$D$7,Unit_Map!$A$6:$C$8,3,0))/Unit_Map!J$3</f>
        <v>0</v>
      </c>
      <c r="O65" s="59">
        <f>J65</f>
        <v>0</v>
      </c>
      <c r="P65" s="15"/>
      <c r="Q65" s="15"/>
      <c r="R65" s="46"/>
      <c r="S65" s="15"/>
      <c r="T65" s="15"/>
      <c r="U65" s="15"/>
      <c r="V65" s="15"/>
      <c r="W65" s="15"/>
      <c r="X65" s="15"/>
      <c r="Y65" s="15"/>
      <c r="Z65" s="15"/>
    </row>
    <row r="66" spans="2:26" x14ac:dyDescent="0.2">
      <c r="B66" s="2" t="s">
        <v>204</v>
      </c>
      <c r="C66" s="20" t="s">
        <v>2</v>
      </c>
      <c r="D66" s="53"/>
      <c r="E66" s="53"/>
      <c r="F66" s="55">
        <f>User_Financial_Input!F66*(VLOOKUP(User_Financial_Input!$D$7,Unit_Map!$A$6:$C$8,3,0))/Unit_Map!B$3</f>
        <v>0</v>
      </c>
      <c r="G66" s="55">
        <f>User_Financial_Input!G66*(VLOOKUP(User_Financial_Input!$D$7,Unit_Map!$A$6:$C$8,3,0))/Unit_Map!C$3</f>
        <v>0</v>
      </c>
      <c r="H66" s="55">
        <f>User_Financial_Input!H66*(VLOOKUP(User_Financial_Input!$D$7,Unit_Map!$A$6:$C$8,3,0))/Unit_Map!D$3</f>
        <v>0</v>
      </c>
      <c r="I66" s="55">
        <f>User_Financial_Input!I66*(VLOOKUP(User_Financial_Input!$D$7,Unit_Map!$A$6:$C$8,3,0))/Unit_Map!E$3</f>
        <v>0</v>
      </c>
      <c r="J66" s="55">
        <f>User_Financial_Input!J66*(VLOOKUP(User_Financial_Input!$D$7,Unit_Map!$A$6:$C$8,3,0))/Unit_Map!F$3</f>
        <v>0</v>
      </c>
      <c r="K66" s="55">
        <f>User_Financial_Input!K66*(VLOOKUP(User_Financial_Input!$D$7,Unit_Map!$A$6:$C$8,3,0))/Unit_Map!G$3</f>
        <v>0</v>
      </c>
      <c r="L66" s="55">
        <f>User_Financial_Input!L66*(VLOOKUP(User_Financial_Input!$D$7,Unit_Map!$A$6:$C$8,3,0))/Unit_Map!H$3</f>
        <v>0</v>
      </c>
      <c r="M66" s="55">
        <f>User_Financial_Input!M66*(VLOOKUP(User_Financial_Input!$D$7,Unit_Map!$A$6:$C$8,3,0))/Unit_Map!I$3</f>
        <v>0</v>
      </c>
      <c r="N66" s="55">
        <f>User_Financial_Input!N66*(VLOOKUP(User_Financial_Input!$D$7,Unit_Map!$A$6:$C$8,3,0))/Unit_Map!J$3</f>
        <v>0</v>
      </c>
      <c r="O66" s="59">
        <f>J66</f>
        <v>0</v>
      </c>
      <c r="P66" s="15"/>
      <c r="Q66" s="15"/>
      <c r="R66" s="15"/>
      <c r="S66" s="15"/>
      <c r="T66" s="15"/>
      <c r="U66" s="15"/>
      <c r="V66" s="15"/>
      <c r="W66" s="15"/>
      <c r="X66" s="15"/>
      <c r="Y66" s="15"/>
      <c r="Z66" s="15"/>
    </row>
    <row r="67" spans="2:26" x14ac:dyDescent="0.2">
      <c r="B67" s="2" t="s">
        <v>205</v>
      </c>
      <c r="C67" s="20" t="s">
        <v>5</v>
      </c>
      <c r="D67" s="53"/>
      <c r="E67" s="53"/>
      <c r="F67" s="55">
        <f>User_Financial_Input!F67*(VLOOKUP(User_Financial_Input!$D$7,Unit_Map!$A$6:$C$8,3,0))/Unit_Map!B$3</f>
        <v>0</v>
      </c>
      <c r="G67" s="55">
        <f>User_Financial_Input!G67*(VLOOKUP(User_Financial_Input!$D$7,Unit_Map!$A$6:$C$8,3,0))/Unit_Map!C$3</f>
        <v>0</v>
      </c>
      <c r="H67" s="55">
        <f>User_Financial_Input!H67*(VLOOKUP(User_Financial_Input!$D$7,Unit_Map!$A$6:$C$8,3,0))/Unit_Map!D$3</f>
        <v>0</v>
      </c>
      <c r="I67" s="55">
        <f>User_Financial_Input!I67*(VLOOKUP(User_Financial_Input!$D$7,Unit_Map!$A$6:$C$8,3,0))/Unit_Map!E$3</f>
        <v>0</v>
      </c>
      <c r="J67" s="55">
        <f>User_Financial_Input!J67*(VLOOKUP(User_Financial_Input!$D$7,Unit_Map!$A$6:$C$8,3,0))/Unit_Map!F$3</f>
        <v>0</v>
      </c>
      <c r="K67" s="55">
        <f>User_Financial_Input!K67*(VLOOKUP(User_Financial_Input!$D$7,Unit_Map!$A$6:$C$8,3,0))/Unit_Map!G$3</f>
        <v>0</v>
      </c>
      <c r="L67" s="55">
        <f>User_Financial_Input!L67*(VLOOKUP(User_Financial_Input!$D$7,Unit_Map!$A$6:$C$8,3,0))/Unit_Map!H$3</f>
        <v>0</v>
      </c>
      <c r="M67" s="55">
        <f>User_Financial_Input!M67*(VLOOKUP(User_Financial_Input!$D$7,Unit_Map!$A$6:$C$8,3,0))/Unit_Map!I$3</f>
        <v>0</v>
      </c>
      <c r="N67" s="55">
        <f>User_Financial_Input!N67*(VLOOKUP(User_Financial_Input!$D$7,Unit_Map!$A$6:$C$8,3,0))/Unit_Map!J$3</f>
        <v>0</v>
      </c>
      <c r="O67" s="59">
        <f>J67</f>
        <v>0</v>
      </c>
      <c r="P67" s="15"/>
      <c r="Q67" s="15"/>
      <c r="R67" s="15"/>
      <c r="S67" s="15"/>
      <c r="T67" s="15"/>
      <c r="U67" s="15"/>
      <c r="V67" s="15"/>
      <c r="W67" s="15"/>
      <c r="X67" s="15"/>
      <c r="Y67" s="15"/>
      <c r="Z67" s="15"/>
    </row>
    <row r="68" spans="2:26" x14ac:dyDescent="0.2">
      <c r="B68" s="2" t="s">
        <v>206</v>
      </c>
      <c r="C68" s="20" t="s">
        <v>1</v>
      </c>
      <c r="D68" s="53"/>
      <c r="E68" s="53"/>
      <c r="F68" s="55">
        <f>User_Financial_Input!F68*(VLOOKUP(User_Financial_Input!$D$7,Unit_Map!$A$6:$C$8,3,0))/Unit_Map!B$3</f>
        <v>0</v>
      </c>
      <c r="G68" s="55">
        <f>User_Financial_Input!G68*(VLOOKUP(User_Financial_Input!$D$7,Unit_Map!$A$6:$C$8,3,0))/Unit_Map!C$3</f>
        <v>0</v>
      </c>
      <c r="H68" s="55">
        <f>User_Financial_Input!H68*(VLOOKUP(User_Financial_Input!$D$7,Unit_Map!$A$6:$C$8,3,0))/Unit_Map!D$3</f>
        <v>0</v>
      </c>
      <c r="I68" s="55">
        <f>User_Financial_Input!I68*(VLOOKUP(User_Financial_Input!$D$7,Unit_Map!$A$6:$C$8,3,0))/Unit_Map!E$3</f>
        <v>0</v>
      </c>
      <c r="J68" s="55">
        <f>User_Financial_Input!J68*(VLOOKUP(User_Financial_Input!$D$7,Unit_Map!$A$6:$C$8,3,0))/Unit_Map!F$3</f>
        <v>0</v>
      </c>
      <c r="K68" s="55">
        <f>User_Financial_Input!K68*(VLOOKUP(User_Financial_Input!$D$7,Unit_Map!$A$6:$C$8,3,0))/Unit_Map!G$3</f>
        <v>0</v>
      </c>
      <c r="L68" s="55">
        <f>User_Financial_Input!L68*(VLOOKUP(User_Financial_Input!$D$7,Unit_Map!$A$6:$C$8,3,0))/Unit_Map!H$3</f>
        <v>0</v>
      </c>
      <c r="M68" s="55">
        <f>User_Financial_Input!M68*(VLOOKUP(User_Financial_Input!$D$7,Unit_Map!$A$6:$C$8,3,0))/Unit_Map!I$3</f>
        <v>0</v>
      </c>
      <c r="N68" s="55">
        <f>User_Financial_Input!N68*(VLOOKUP(User_Financial_Input!$D$7,Unit_Map!$A$6:$C$8,3,0))/Unit_Map!J$3</f>
        <v>0</v>
      </c>
      <c r="O68" s="59">
        <f>J68</f>
        <v>0</v>
      </c>
      <c r="P68" s="15"/>
      <c r="Q68" s="15"/>
      <c r="R68" s="15"/>
      <c r="S68" s="15"/>
      <c r="T68" s="15"/>
      <c r="U68" s="15"/>
      <c r="V68" s="15"/>
      <c r="W68" s="15"/>
      <c r="X68" s="15"/>
      <c r="Y68" s="15"/>
      <c r="Z68" s="15"/>
    </row>
    <row r="69" spans="2:26" x14ac:dyDescent="0.2">
      <c r="B69" s="2" t="s">
        <v>207</v>
      </c>
      <c r="C69" s="20" t="s">
        <v>4</v>
      </c>
      <c r="D69" s="53"/>
      <c r="E69" s="53"/>
      <c r="F69" s="154">
        <f t="shared" ref="F69:N69" si="13">SUM(F70:F76)</f>
        <v>0</v>
      </c>
      <c r="G69" s="154">
        <f t="shared" si="13"/>
        <v>0</v>
      </c>
      <c r="H69" s="154">
        <f t="shared" si="13"/>
        <v>0</v>
      </c>
      <c r="I69" s="154">
        <f t="shared" si="13"/>
        <v>0</v>
      </c>
      <c r="J69" s="154">
        <f>SUM(J70:J76)</f>
        <v>0</v>
      </c>
      <c r="K69" s="154">
        <f t="shared" si="13"/>
        <v>0</v>
      </c>
      <c r="L69" s="154">
        <f t="shared" si="13"/>
        <v>0</v>
      </c>
      <c r="M69" s="154">
        <f>SUM(M70:M76)</f>
        <v>0</v>
      </c>
      <c r="N69" s="154">
        <f t="shared" si="13"/>
        <v>0</v>
      </c>
      <c r="O69" s="314">
        <f t="shared" ref="O69:O76" si="14">J69</f>
        <v>0</v>
      </c>
      <c r="P69" s="15"/>
      <c r="Q69" s="15"/>
      <c r="R69" s="15"/>
      <c r="S69" s="15"/>
      <c r="T69" s="15"/>
      <c r="U69" s="15"/>
      <c r="V69" s="15"/>
      <c r="W69" s="15"/>
      <c r="X69" s="15"/>
      <c r="Y69" s="15"/>
      <c r="Z69" s="15"/>
    </row>
    <row r="70" spans="2:26" x14ac:dyDescent="0.2">
      <c r="B70" s="2" t="s">
        <v>208</v>
      </c>
      <c r="C70" s="21" t="s">
        <v>192</v>
      </c>
      <c r="D70" s="53"/>
      <c r="E70" s="53"/>
      <c r="F70" s="55">
        <f>User_Financial_Input!F70*(VLOOKUP(User_Financial_Input!$D$7,Unit_Map!$A$6:$C$8,3,0))/Unit_Map!B$3</f>
        <v>0</v>
      </c>
      <c r="G70" s="55">
        <f>User_Financial_Input!G70*(VLOOKUP(User_Financial_Input!$D$7,Unit_Map!$A$6:$C$8,3,0))/Unit_Map!C$3</f>
        <v>0</v>
      </c>
      <c r="H70" s="55">
        <f>User_Financial_Input!H70*(VLOOKUP(User_Financial_Input!$D$7,Unit_Map!$A$6:$C$8,3,0))/Unit_Map!D$3</f>
        <v>0</v>
      </c>
      <c r="I70" s="55">
        <f>User_Financial_Input!I70*(VLOOKUP(User_Financial_Input!$D$7,Unit_Map!$A$6:$C$8,3,0))/Unit_Map!E$3</f>
        <v>0</v>
      </c>
      <c r="J70" s="55">
        <f>User_Financial_Input!J70*(VLOOKUP(User_Financial_Input!$D$7,Unit_Map!$A$6:$C$8,3,0))/Unit_Map!F$3</f>
        <v>0</v>
      </c>
      <c r="K70" s="55">
        <f>User_Financial_Input!K70*(VLOOKUP(User_Financial_Input!$D$7,Unit_Map!$A$6:$C$8,3,0))/Unit_Map!G$3</f>
        <v>0</v>
      </c>
      <c r="L70" s="55">
        <f>User_Financial_Input!L70*(VLOOKUP(User_Financial_Input!$D$7,Unit_Map!$A$6:$C$8,3,0))/Unit_Map!H$3</f>
        <v>0</v>
      </c>
      <c r="M70" s="55">
        <f>User_Financial_Input!M70*(VLOOKUP(User_Financial_Input!$D$7,Unit_Map!$A$6:$C$8,3,0))/Unit_Map!I$3</f>
        <v>0</v>
      </c>
      <c r="N70" s="55">
        <f>User_Financial_Input!N70*(VLOOKUP(User_Financial_Input!$D$7,Unit_Map!$A$6:$C$8,3,0))/Unit_Map!J$3</f>
        <v>0</v>
      </c>
      <c r="O70" s="59">
        <f t="shared" si="14"/>
        <v>0</v>
      </c>
      <c r="P70" s="15"/>
      <c r="Q70" s="15"/>
      <c r="R70" s="15"/>
      <c r="S70" s="15"/>
      <c r="T70" s="15"/>
      <c r="U70" s="15"/>
      <c r="V70" s="15"/>
      <c r="W70" s="15"/>
      <c r="X70" s="15"/>
      <c r="Y70" s="15"/>
      <c r="Z70" s="15"/>
    </row>
    <row r="71" spans="2:26" x14ac:dyDescent="0.2">
      <c r="B71" s="2" t="s">
        <v>209</v>
      </c>
      <c r="C71" s="21" t="s">
        <v>6</v>
      </c>
      <c r="D71" s="53"/>
      <c r="E71" s="53"/>
      <c r="F71" s="55">
        <f>User_Financial_Input!F71*(VLOOKUP(User_Financial_Input!$D$7,Unit_Map!$A$6:$C$8,3,0))/Unit_Map!B$3</f>
        <v>0</v>
      </c>
      <c r="G71" s="55">
        <f>User_Financial_Input!G71*(VLOOKUP(User_Financial_Input!$D$7,Unit_Map!$A$6:$C$8,3,0))/Unit_Map!C$3</f>
        <v>0</v>
      </c>
      <c r="H71" s="55">
        <f>User_Financial_Input!H71*(VLOOKUP(User_Financial_Input!$D$7,Unit_Map!$A$6:$C$8,3,0))/Unit_Map!D$3</f>
        <v>0</v>
      </c>
      <c r="I71" s="55">
        <f>User_Financial_Input!I71*(VLOOKUP(User_Financial_Input!$D$7,Unit_Map!$A$6:$C$8,3,0))/Unit_Map!E$3</f>
        <v>0</v>
      </c>
      <c r="J71" s="55">
        <f>User_Financial_Input!J71*(VLOOKUP(User_Financial_Input!$D$7,Unit_Map!$A$6:$C$8,3,0))/Unit_Map!F$3</f>
        <v>0</v>
      </c>
      <c r="K71" s="55">
        <f>User_Financial_Input!K71*(VLOOKUP(User_Financial_Input!$D$7,Unit_Map!$A$6:$C$8,3,0))/Unit_Map!G$3</f>
        <v>0</v>
      </c>
      <c r="L71" s="55">
        <f>User_Financial_Input!L71*(VLOOKUP(User_Financial_Input!$D$7,Unit_Map!$A$6:$C$8,3,0))/Unit_Map!H$3</f>
        <v>0</v>
      </c>
      <c r="M71" s="55">
        <f>User_Financial_Input!M71*(VLOOKUP(User_Financial_Input!$D$7,Unit_Map!$A$6:$C$8,3,0))/Unit_Map!I$3</f>
        <v>0</v>
      </c>
      <c r="N71" s="55">
        <f>User_Financial_Input!N71*(VLOOKUP(User_Financial_Input!$D$7,Unit_Map!$A$6:$C$8,3,0))/Unit_Map!J$3</f>
        <v>0</v>
      </c>
      <c r="O71" s="59">
        <f t="shared" si="14"/>
        <v>0</v>
      </c>
      <c r="P71" s="15"/>
      <c r="Q71" s="15"/>
      <c r="R71" s="15"/>
      <c r="S71" s="15"/>
      <c r="T71" s="15"/>
      <c r="U71" s="15"/>
      <c r="V71" s="15"/>
      <c r="W71" s="15"/>
      <c r="X71" s="15"/>
      <c r="Y71" s="15"/>
      <c r="Z71" s="15"/>
    </row>
    <row r="72" spans="2:26" x14ac:dyDescent="0.2">
      <c r="B72" s="2" t="s">
        <v>210</v>
      </c>
      <c r="C72" s="21" t="s">
        <v>193</v>
      </c>
      <c r="D72" s="53"/>
      <c r="E72" s="53"/>
      <c r="F72" s="55">
        <f>User_Financial_Input!F72*(VLOOKUP(User_Financial_Input!$D$7,Unit_Map!$A$6:$C$8,3,0))/Unit_Map!B$3</f>
        <v>0</v>
      </c>
      <c r="G72" s="55">
        <f>User_Financial_Input!G72*(VLOOKUP(User_Financial_Input!$D$7,Unit_Map!$A$6:$C$8,3,0))/Unit_Map!C$3</f>
        <v>0</v>
      </c>
      <c r="H72" s="55">
        <f>User_Financial_Input!H72*(VLOOKUP(User_Financial_Input!$D$7,Unit_Map!$A$6:$C$8,3,0))/Unit_Map!D$3</f>
        <v>0</v>
      </c>
      <c r="I72" s="55">
        <f>User_Financial_Input!I72*(VLOOKUP(User_Financial_Input!$D$7,Unit_Map!$A$6:$C$8,3,0))/Unit_Map!E$3</f>
        <v>0</v>
      </c>
      <c r="J72" s="55">
        <f>User_Financial_Input!J72*(VLOOKUP(User_Financial_Input!$D$7,Unit_Map!$A$6:$C$8,3,0))/Unit_Map!F$3</f>
        <v>0</v>
      </c>
      <c r="K72" s="55">
        <f>User_Financial_Input!K72*(VLOOKUP(User_Financial_Input!$D$7,Unit_Map!$A$6:$C$8,3,0))/Unit_Map!G$3</f>
        <v>0</v>
      </c>
      <c r="L72" s="55">
        <f>User_Financial_Input!L72*(VLOOKUP(User_Financial_Input!$D$7,Unit_Map!$A$6:$C$8,3,0))/Unit_Map!H$3</f>
        <v>0</v>
      </c>
      <c r="M72" s="55">
        <f>User_Financial_Input!M72*(VLOOKUP(User_Financial_Input!$D$7,Unit_Map!$A$6:$C$8,3,0))/Unit_Map!I$3</f>
        <v>0</v>
      </c>
      <c r="N72" s="55">
        <f>User_Financial_Input!N72*(VLOOKUP(User_Financial_Input!$D$7,Unit_Map!$A$6:$C$8,3,0))/Unit_Map!J$3</f>
        <v>0</v>
      </c>
      <c r="O72" s="59">
        <f t="shared" si="14"/>
        <v>0</v>
      </c>
      <c r="P72" s="15"/>
      <c r="Q72" s="15"/>
      <c r="R72" s="15"/>
      <c r="S72" s="15"/>
      <c r="T72" s="15"/>
      <c r="U72" s="15"/>
      <c r="V72" s="15"/>
      <c r="W72" s="15"/>
      <c r="X72" s="15"/>
      <c r="Y72" s="15"/>
      <c r="Z72" s="15"/>
    </row>
    <row r="73" spans="2:26" x14ac:dyDescent="0.2">
      <c r="B73" s="2" t="s">
        <v>211</v>
      </c>
      <c r="C73" s="21" t="s">
        <v>344</v>
      </c>
      <c r="D73" s="53"/>
      <c r="E73" s="53"/>
      <c r="F73" s="55">
        <f>User_Financial_Input!F73*(VLOOKUP(User_Financial_Input!$D$7,Unit_Map!$A$6:$C$8,3,0))/Unit_Map!B$3</f>
        <v>0</v>
      </c>
      <c r="G73" s="55">
        <f>User_Financial_Input!G73*(VLOOKUP(User_Financial_Input!$D$7,Unit_Map!$A$6:$C$8,3,0))/Unit_Map!C$3</f>
        <v>0</v>
      </c>
      <c r="H73" s="55">
        <f>User_Financial_Input!H73*(VLOOKUP(User_Financial_Input!$D$7,Unit_Map!$A$6:$C$8,3,0))/Unit_Map!D$3</f>
        <v>0</v>
      </c>
      <c r="I73" s="55">
        <f>User_Financial_Input!I73*(VLOOKUP(User_Financial_Input!$D$7,Unit_Map!$A$6:$C$8,3,0))/Unit_Map!E$3</f>
        <v>0</v>
      </c>
      <c r="J73" s="55">
        <f>User_Financial_Input!J73*(VLOOKUP(User_Financial_Input!$D$7,Unit_Map!$A$6:$C$8,3,0))/Unit_Map!F$3</f>
        <v>0</v>
      </c>
      <c r="K73" s="55">
        <f>User_Financial_Input!K73*(VLOOKUP(User_Financial_Input!$D$7,Unit_Map!$A$6:$C$8,3,0))/Unit_Map!G$3</f>
        <v>0</v>
      </c>
      <c r="L73" s="55">
        <f>User_Financial_Input!L73*(VLOOKUP(User_Financial_Input!$D$7,Unit_Map!$A$6:$C$8,3,0))/Unit_Map!H$3</f>
        <v>0</v>
      </c>
      <c r="M73" s="55">
        <f>User_Financial_Input!M73*(VLOOKUP(User_Financial_Input!$D$7,Unit_Map!$A$6:$C$8,3,0))/Unit_Map!I$3</f>
        <v>0</v>
      </c>
      <c r="N73" s="55">
        <f>User_Financial_Input!N73*(VLOOKUP(User_Financial_Input!$D$7,Unit_Map!$A$6:$C$8,3,0))/Unit_Map!J$3</f>
        <v>0</v>
      </c>
      <c r="O73" s="59">
        <f t="shared" si="14"/>
        <v>0</v>
      </c>
      <c r="P73" s="15"/>
      <c r="Q73" s="15"/>
      <c r="R73" s="15"/>
      <c r="S73" s="15"/>
      <c r="T73" s="15"/>
      <c r="U73" s="15"/>
      <c r="V73" s="15"/>
      <c r="W73" s="15"/>
      <c r="X73" s="15"/>
      <c r="Y73" s="15"/>
      <c r="Z73" s="15"/>
    </row>
    <row r="74" spans="2:26" x14ac:dyDescent="0.2">
      <c r="B74" s="2" t="s">
        <v>212</v>
      </c>
      <c r="C74" s="21" t="s">
        <v>194</v>
      </c>
      <c r="D74" s="53"/>
      <c r="E74" s="53"/>
      <c r="F74" s="55">
        <f>User_Financial_Input!F74*(VLOOKUP(User_Financial_Input!$D$7,Unit_Map!$A$6:$C$8,3,0))/Unit_Map!B$3</f>
        <v>0</v>
      </c>
      <c r="G74" s="55">
        <f>User_Financial_Input!G74*(VLOOKUP(User_Financial_Input!$D$7,Unit_Map!$A$6:$C$8,3,0))/Unit_Map!C$3</f>
        <v>0</v>
      </c>
      <c r="H74" s="55">
        <f>User_Financial_Input!H74*(VLOOKUP(User_Financial_Input!$D$7,Unit_Map!$A$6:$C$8,3,0))/Unit_Map!D$3</f>
        <v>0</v>
      </c>
      <c r="I74" s="55">
        <f>User_Financial_Input!I74*(VLOOKUP(User_Financial_Input!$D$7,Unit_Map!$A$6:$C$8,3,0))/Unit_Map!E$3</f>
        <v>0</v>
      </c>
      <c r="J74" s="55">
        <f>User_Financial_Input!J74*(VLOOKUP(User_Financial_Input!$D$7,Unit_Map!$A$6:$C$8,3,0))/Unit_Map!F$3</f>
        <v>0</v>
      </c>
      <c r="K74" s="55">
        <f>User_Financial_Input!K74*(VLOOKUP(User_Financial_Input!$D$7,Unit_Map!$A$6:$C$8,3,0))/Unit_Map!G$3</f>
        <v>0</v>
      </c>
      <c r="L74" s="55">
        <f>User_Financial_Input!L74*(VLOOKUP(User_Financial_Input!$D$7,Unit_Map!$A$6:$C$8,3,0))/Unit_Map!H$3</f>
        <v>0</v>
      </c>
      <c r="M74" s="55">
        <f>User_Financial_Input!M74*(VLOOKUP(User_Financial_Input!$D$7,Unit_Map!$A$6:$C$8,3,0))/Unit_Map!I$3</f>
        <v>0</v>
      </c>
      <c r="N74" s="55">
        <f>User_Financial_Input!N74*(VLOOKUP(User_Financial_Input!$D$7,Unit_Map!$A$6:$C$8,3,0))/Unit_Map!J$3</f>
        <v>0</v>
      </c>
      <c r="O74" s="59">
        <f t="shared" si="14"/>
        <v>0</v>
      </c>
      <c r="P74" s="15"/>
      <c r="Q74" s="15"/>
      <c r="R74" s="15"/>
      <c r="S74" s="15"/>
      <c r="T74" s="15"/>
      <c r="U74" s="15"/>
      <c r="V74" s="15"/>
      <c r="W74" s="15"/>
      <c r="X74" s="15"/>
      <c r="Y74" s="15"/>
      <c r="Z74" s="15"/>
    </row>
    <row r="75" spans="2:26" x14ac:dyDescent="0.2">
      <c r="B75" s="2" t="s">
        <v>213</v>
      </c>
      <c r="C75" s="21" t="s">
        <v>195</v>
      </c>
      <c r="D75" s="53"/>
      <c r="E75" s="53"/>
      <c r="F75" s="55">
        <f>User_Financial_Input!F75*(VLOOKUP(User_Financial_Input!$D$7,Unit_Map!$A$6:$C$8,3,0))/Unit_Map!B$3</f>
        <v>0</v>
      </c>
      <c r="G75" s="55">
        <f>User_Financial_Input!G75*(VLOOKUP(User_Financial_Input!$D$7,Unit_Map!$A$6:$C$8,3,0))/Unit_Map!C$3</f>
        <v>0</v>
      </c>
      <c r="H75" s="55">
        <f>User_Financial_Input!H75*(VLOOKUP(User_Financial_Input!$D$7,Unit_Map!$A$6:$C$8,3,0))/Unit_Map!D$3</f>
        <v>0</v>
      </c>
      <c r="I75" s="55">
        <f>User_Financial_Input!I75*(VLOOKUP(User_Financial_Input!$D$7,Unit_Map!$A$6:$C$8,3,0))/Unit_Map!E$3</f>
        <v>0</v>
      </c>
      <c r="J75" s="55">
        <f>User_Financial_Input!J75*(VLOOKUP(User_Financial_Input!$D$7,Unit_Map!$A$6:$C$8,3,0))/Unit_Map!F$3</f>
        <v>0</v>
      </c>
      <c r="K75" s="55">
        <f>User_Financial_Input!K75*(VLOOKUP(User_Financial_Input!$D$7,Unit_Map!$A$6:$C$8,3,0))/Unit_Map!G$3</f>
        <v>0</v>
      </c>
      <c r="L75" s="55">
        <f>User_Financial_Input!L75*(VLOOKUP(User_Financial_Input!$D$7,Unit_Map!$A$6:$C$8,3,0))/Unit_Map!H$3</f>
        <v>0</v>
      </c>
      <c r="M75" s="55">
        <f>User_Financial_Input!M75*(VLOOKUP(User_Financial_Input!$D$7,Unit_Map!$A$6:$C$8,3,0))/Unit_Map!I$3</f>
        <v>0</v>
      </c>
      <c r="N75" s="55">
        <f>User_Financial_Input!N75*(VLOOKUP(User_Financial_Input!$D$7,Unit_Map!$A$6:$C$8,3,0))/Unit_Map!J$3</f>
        <v>0</v>
      </c>
      <c r="O75" s="59">
        <f t="shared" si="14"/>
        <v>0</v>
      </c>
      <c r="P75" s="15"/>
      <c r="Q75" s="15"/>
      <c r="R75" s="15"/>
      <c r="S75" s="15"/>
      <c r="T75" s="15"/>
      <c r="U75" s="15"/>
      <c r="V75" s="15"/>
      <c r="W75" s="15"/>
      <c r="X75" s="15"/>
      <c r="Y75" s="15"/>
      <c r="Z75" s="15"/>
    </row>
    <row r="76" spans="2:26" x14ac:dyDescent="0.2">
      <c r="B76" s="2" t="s">
        <v>214</v>
      </c>
      <c r="C76" s="21" t="s">
        <v>21</v>
      </c>
      <c r="D76" s="53"/>
      <c r="E76" s="53"/>
      <c r="F76" s="55">
        <f>User_Financial_Input!F76*(VLOOKUP(User_Financial_Input!$D$7,Unit_Map!$A$6:$C$8,3,0))/Unit_Map!B$3</f>
        <v>0</v>
      </c>
      <c r="G76" s="55">
        <f>User_Financial_Input!G76*(VLOOKUP(User_Financial_Input!$D$7,Unit_Map!$A$6:$C$8,3,0))/Unit_Map!C$3</f>
        <v>0</v>
      </c>
      <c r="H76" s="55">
        <f>User_Financial_Input!H76*(VLOOKUP(User_Financial_Input!$D$7,Unit_Map!$A$6:$C$8,3,0))/Unit_Map!D$3</f>
        <v>0</v>
      </c>
      <c r="I76" s="55">
        <f>User_Financial_Input!I76*(VLOOKUP(User_Financial_Input!$D$7,Unit_Map!$A$6:$C$8,3,0))/Unit_Map!E$3</f>
        <v>0</v>
      </c>
      <c r="J76" s="55">
        <f>User_Financial_Input!J76*(VLOOKUP(User_Financial_Input!$D$7,Unit_Map!$A$6:$C$8,3,0))/Unit_Map!F$3</f>
        <v>0</v>
      </c>
      <c r="K76" s="55">
        <f>User_Financial_Input!K76*(VLOOKUP(User_Financial_Input!$D$7,Unit_Map!$A$6:$C$8,3,0))/Unit_Map!G$3</f>
        <v>0</v>
      </c>
      <c r="L76" s="55">
        <f>User_Financial_Input!L76*(VLOOKUP(User_Financial_Input!$D$7,Unit_Map!$A$6:$C$8,3,0))/Unit_Map!H$3</f>
        <v>0</v>
      </c>
      <c r="M76" s="55">
        <f>User_Financial_Input!M76*(VLOOKUP(User_Financial_Input!$D$7,Unit_Map!$A$6:$C$8,3,0))/Unit_Map!I$3</f>
        <v>0</v>
      </c>
      <c r="N76" s="55">
        <f>User_Financial_Input!N76*(VLOOKUP(User_Financial_Input!$D$7,Unit_Map!$A$6:$C$8,3,0))/Unit_Map!J$3</f>
        <v>0</v>
      </c>
      <c r="O76" s="59">
        <f t="shared" si="14"/>
        <v>0</v>
      </c>
      <c r="P76" s="15"/>
      <c r="Q76" s="15"/>
      <c r="R76" s="15"/>
      <c r="S76" s="15"/>
      <c r="T76" s="15"/>
      <c r="U76" s="15"/>
      <c r="V76" s="15"/>
      <c r="W76" s="15"/>
      <c r="X76" s="15"/>
      <c r="Y76" s="15"/>
      <c r="Z76" s="15"/>
    </row>
    <row r="77" spans="2:26" x14ac:dyDescent="0.2">
      <c r="B77" s="53"/>
      <c r="C77" s="53"/>
      <c r="D77" s="53"/>
      <c r="E77" s="53"/>
      <c r="F77" s="53"/>
      <c r="G77" s="53"/>
      <c r="H77" s="53"/>
      <c r="I77" s="53"/>
      <c r="J77" s="53"/>
      <c r="K77" s="53"/>
      <c r="L77" s="53"/>
      <c r="M77" s="53"/>
      <c r="N77" s="53"/>
      <c r="O77" s="53"/>
      <c r="P77" s="15"/>
      <c r="Q77" s="15"/>
      <c r="R77" s="15"/>
      <c r="S77" s="15"/>
      <c r="T77" s="15"/>
      <c r="U77" s="15"/>
      <c r="V77" s="15"/>
      <c r="W77" s="15"/>
      <c r="X77" s="15"/>
      <c r="Y77" s="15"/>
      <c r="Z77" s="15"/>
    </row>
    <row r="78" spans="2:26" x14ac:dyDescent="0.2">
      <c r="B78" s="13" t="s">
        <v>215</v>
      </c>
      <c r="C78" s="19" t="s">
        <v>7</v>
      </c>
      <c r="D78" s="53"/>
      <c r="E78" s="53"/>
      <c r="F78" s="154">
        <f>SUM(F79:F85)</f>
        <v>0</v>
      </c>
      <c r="G78" s="154">
        <f t="shared" ref="G78:N78" si="15">SUM(G79:G85)</f>
        <v>0</v>
      </c>
      <c r="H78" s="154">
        <f t="shared" si="15"/>
        <v>0</v>
      </c>
      <c r="I78" s="154">
        <f t="shared" si="15"/>
        <v>0</v>
      </c>
      <c r="J78" s="154">
        <f>SUM(J79:J85)</f>
        <v>0</v>
      </c>
      <c r="K78" s="154">
        <f t="shared" si="15"/>
        <v>0</v>
      </c>
      <c r="L78" s="154">
        <f t="shared" si="15"/>
        <v>0</v>
      </c>
      <c r="M78" s="154">
        <f>SUM(M79:M85)</f>
        <v>0</v>
      </c>
      <c r="N78" s="154">
        <f t="shared" si="15"/>
        <v>0</v>
      </c>
      <c r="O78" s="314">
        <f t="shared" ref="O78:O84" si="16">J78</f>
        <v>0</v>
      </c>
      <c r="P78" s="15"/>
      <c r="Q78" s="15"/>
      <c r="R78" s="15"/>
      <c r="S78" s="15"/>
      <c r="T78" s="15"/>
      <c r="U78" s="15"/>
      <c r="V78" s="15"/>
      <c r="W78" s="15"/>
      <c r="X78" s="15"/>
      <c r="Y78" s="15"/>
      <c r="Z78" s="15"/>
    </row>
    <row r="79" spans="2:26" x14ac:dyDescent="0.2">
      <c r="B79" s="2" t="s">
        <v>216</v>
      </c>
      <c r="C79" s="23" t="s">
        <v>10</v>
      </c>
      <c r="D79" s="53"/>
      <c r="E79" s="53"/>
      <c r="F79" s="55">
        <f>User_Financial_Input!F79*(VLOOKUP(User_Financial_Input!$D$7,Unit_Map!$A$6:$C$8,3,0))/Unit_Map!B$3</f>
        <v>0</v>
      </c>
      <c r="G79" s="55">
        <f>User_Financial_Input!G79*(VLOOKUP(User_Financial_Input!$D$7,Unit_Map!$A$6:$C$8,3,0))/Unit_Map!C$3</f>
        <v>0</v>
      </c>
      <c r="H79" s="55">
        <f>User_Financial_Input!H79*(VLOOKUP(User_Financial_Input!$D$7,Unit_Map!$A$6:$C$8,3,0))/Unit_Map!D$3</f>
        <v>0</v>
      </c>
      <c r="I79" s="55">
        <f>User_Financial_Input!I79*(VLOOKUP(User_Financial_Input!$D$7,Unit_Map!$A$6:$C$8,3,0))/Unit_Map!E$3</f>
        <v>0</v>
      </c>
      <c r="J79" s="55">
        <f>User_Financial_Input!J79*(VLOOKUP(User_Financial_Input!$D$7,Unit_Map!$A$6:$C$8,3,0))/Unit_Map!F$3</f>
        <v>0</v>
      </c>
      <c r="K79" s="55">
        <f>User_Financial_Input!K79*(VLOOKUP(User_Financial_Input!$D$7,Unit_Map!$A$6:$C$8,3,0))/Unit_Map!G$3</f>
        <v>0</v>
      </c>
      <c r="L79" s="55">
        <f>User_Financial_Input!L79*(VLOOKUP(User_Financial_Input!$D$7,Unit_Map!$A$6:$C$8,3,0))/Unit_Map!H$3</f>
        <v>0</v>
      </c>
      <c r="M79" s="55">
        <f>User_Financial_Input!M79*(VLOOKUP(User_Financial_Input!$D$7,Unit_Map!$A$6:$C$8,3,0))/Unit_Map!I$3</f>
        <v>0</v>
      </c>
      <c r="N79" s="55">
        <f>User_Financial_Input!N79*(VLOOKUP(User_Financial_Input!$D$7,Unit_Map!$A$6:$C$8,3,0))/Unit_Map!J$3</f>
        <v>0</v>
      </c>
      <c r="O79" s="59">
        <f t="shared" si="16"/>
        <v>0</v>
      </c>
      <c r="P79" s="15"/>
      <c r="Q79" s="15"/>
      <c r="R79" s="15"/>
      <c r="S79" s="15"/>
      <c r="T79" s="15"/>
      <c r="U79" s="15"/>
      <c r="V79" s="15"/>
      <c r="W79" s="15"/>
      <c r="X79" s="15"/>
      <c r="Y79" s="15"/>
      <c r="Z79" s="15"/>
    </row>
    <row r="80" spans="2:26" x14ac:dyDescent="0.2">
      <c r="B80" s="2" t="s">
        <v>217</v>
      </c>
      <c r="C80" s="20" t="s">
        <v>9</v>
      </c>
      <c r="D80" s="53"/>
      <c r="E80" s="53"/>
      <c r="F80" s="55">
        <f>User_Financial_Input!F80*(VLOOKUP(User_Financial_Input!$D$7,Unit_Map!$A$6:$C$8,3,0))/Unit_Map!B$3</f>
        <v>0</v>
      </c>
      <c r="G80" s="55">
        <f>User_Financial_Input!G80*(VLOOKUP(User_Financial_Input!$D$7,Unit_Map!$A$6:$C$8,3,0))/Unit_Map!C$3</f>
        <v>0</v>
      </c>
      <c r="H80" s="55">
        <f>User_Financial_Input!H80*(VLOOKUP(User_Financial_Input!$D$7,Unit_Map!$A$6:$C$8,3,0))/Unit_Map!D$3</f>
        <v>0</v>
      </c>
      <c r="I80" s="55">
        <f>User_Financial_Input!I80*(VLOOKUP(User_Financial_Input!$D$7,Unit_Map!$A$6:$C$8,3,0))/Unit_Map!E$3</f>
        <v>0</v>
      </c>
      <c r="J80" s="55">
        <f>User_Financial_Input!J80*(VLOOKUP(User_Financial_Input!$D$7,Unit_Map!$A$6:$C$8,3,0))/Unit_Map!F$3</f>
        <v>0</v>
      </c>
      <c r="K80" s="55">
        <f>User_Financial_Input!K80*(VLOOKUP(User_Financial_Input!$D$7,Unit_Map!$A$6:$C$8,3,0))/Unit_Map!G$3</f>
        <v>0</v>
      </c>
      <c r="L80" s="55">
        <f>User_Financial_Input!L80*(VLOOKUP(User_Financial_Input!$D$7,Unit_Map!$A$6:$C$8,3,0))/Unit_Map!H$3</f>
        <v>0</v>
      </c>
      <c r="M80" s="55">
        <f>User_Financial_Input!M80*(VLOOKUP(User_Financial_Input!$D$7,Unit_Map!$A$6:$C$8,3,0))/Unit_Map!I$3</f>
        <v>0</v>
      </c>
      <c r="N80" s="55">
        <f>User_Financial_Input!N80*(VLOOKUP(User_Financial_Input!$D$7,Unit_Map!$A$6:$C$8,3,0))/Unit_Map!J$3</f>
        <v>0</v>
      </c>
      <c r="O80" s="59">
        <f t="shared" si="16"/>
        <v>0</v>
      </c>
      <c r="P80" s="15"/>
      <c r="Q80" s="15"/>
      <c r="R80" s="15"/>
      <c r="S80" s="15"/>
      <c r="T80" s="15"/>
      <c r="U80" s="15"/>
      <c r="V80" s="15"/>
      <c r="W80" s="15"/>
      <c r="X80" s="15"/>
      <c r="Y80" s="15"/>
      <c r="Z80" s="15"/>
    </row>
    <row r="81" spans="2:26" x14ac:dyDescent="0.2">
      <c r="B81" s="2" t="s">
        <v>218</v>
      </c>
      <c r="C81" s="23" t="s">
        <v>15</v>
      </c>
      <c r="D81" s="248"/>
      <c r="E81" s="53"/>
      <c r="F81" s="55">
        <f>User_Financial_Input!F81*(VLOOKUP(User_Financial_Input!$D$7,Unit_Map!$A$6:$C$8,3,0))/Unit_Map!B$3</f>
        <v>0</v>
      </c>
      <c r="G81" s="55">
        <f>User_Financial_Input!G81*(VLOOKUP(User_Financial_Input!$D$7,Unit_Map!$A$6:$C$8,3,0))/Unit_Map!C$3</f>
        <v>0</v>
      </c>
      <c r="H81" s="55">
        <f>User_Financial_Input!H81*(VLOOKUP(User_Financial_Input!$D$7,Unit_Map!$A$6:$C$8,3,0))/Unit_Map!D$3</f>
        <v>0</v>
      </c>
      <c r="I81" s="55">
        <f>User_Financial_Input!I81*(VLOOKUP(User_Financial_Input!$D$7,Unit_Map!$A$6:$C$8,3,0))/Unit_Map!E$3</f>
        <v>0</v>
      </c>
      <c r="J81" s="55">
        <f>User_Financial_Input!J81*(VLOOKUP(User_Financial_Input!$D$7,Unit_Map!$A$6:$C$8,3,0))/Unit_Map!F$3</f>
        <v>0</v>
      </c>
      <c r="K81" s="55">
        <f>User_Financial_Input!K81*(VLOOKUP(User_Financial_Input!$D$7,Unit_Map!$A$6:$C$8,3,0))/Unit_Map!G$3</f>
        <v>0</v>
      </c>
      <c r="L81" s="55">
        <f>User_Financial_Input!L81*(VLOOKUP(User_Financial_Input!$D$7,Unit_Map!$A$6:$C$8,3,0))/Unit_Map!H$3</f>
        <v>0</v>
      </c>
      <c r="M81" s="55">
        <f>User_Financial_Input!M81*(VLOOKUP(User_Financial_Input!$D$7,Unit_Map!$A$6:$C$8,3,0))/Unit_Map!I$3</f>
        <v>0</v>
      </c>
      <c r="N81" s="55">
        <f>User_Financial_Input!N81*(VLOOKUP(User_Financial_Input!$D$7,Unit_Map!$A$6:$C$8,3,0))/Unit_Map!J$3</f>
        <v>0</v>
      </c>
      <c r="O81" s="59">
        <f t="shared" si="16"/>
        <v>0</v>
      </c>
      <c r="P81" s="15"/>
      <c r="Q81" s="15"/>
      <c r="R81" s="15"/>
      <c r="S81" s="15"/>
      <c r="T81" s="15"/>
      <c r="U81" s="15"/>
      <c r="V81" s="15"/>
      <c r="W81" s="15"/>
      <c r="X81" s="15"/>
      <c r="Y81" s="15"/>
      <c r="Z81" s="15"/>
    </row>
    <row r="82" spans="2:26" x14ac:dyDescent="0.2">
      <c r="B82" s="2" t="s">
        <v>219</v>
      </c>
      <c r="C82" s="23" t="s">
        <v>197</v>
      </c>
      <c r="D82" s="53"/>
      <c r="E82" s="248"/>
      <c r="F82" s="55">
        <f>User_Financial_Input!F82*(VLOOKUP(User_Financial_Input!$D$7,Unit_Map!$A$6:$C$8,3,0))/Unit_Map!B$3</f>
        <v>0</v>
      </c>
      <c r="G82" s="55">
        <f>User_Financial_Input!G82*(VLOOKUP(User_Financial_Input!$D$7,Unit_Map!$A$6:$C$8,3,0))/Unit_Map!C$3</f>
        <v>0</v>
      </c>
      <c r="H82" s="55">
        <f>User_Financial_Input!H82*(VLOOKUP(User_Financial_Input!$D$7,Unit_Map!$A$6:$C$8,3,0))/Unit_Map!D$3</f>
        <v>0</v>
      </c>
      <c r="I82" s="55">
        <f>User_Financial_Input!I82*(VLOOKUP(User_Financial_Input!$D$7,Unit_Map!$A$6:$C$8,3,0))/Unit_Map!E$3</f>
        <v>0</v>
      </c>
      <c r="J82" s="55">
        <f>User_Financial_Input!J82*(VLOOKUP(User_Financial_Input!$D$7,Unit_Map!$A$6:$C$8,3,0))/Unit_Map!F$3</f>
        <v>0</v>
      </c>
      <c r="K82" s="55">
        <f>User_Financial_Input!K82*(VLOOKUP(User_Financial_Input!$D$7,Unit_Map!$A$6:$C$8,3,0))/Unit_Map!G$3</f>
        <v>0</v>
      </c>
      <c r="L82" s="55">
        <f>User_Financial_Input!L82*(VLOOKUP(User_Financial_Input!$D$7,Unit_Map!$A$6:$C$8,3,0))/Unit_Map!H$3</f>
        <v>0</v>
      </c>
      <c r="M82" s="55">
        <f>User_Financial_Input!M82*(VLOOKUP(User_Financial_Input!$D$7,Unit_Map!$A$6:$C$8,3,0))/Unit_Map!I$3</f>
        <v>0</v>
      </c>
      <c r="N82" s="55">
        <f>User_Financial_Input!N82*(VLOOKUP(User_Financial_Input!$D$7,Unit_Map!$A$6:$C$8,3,0))/Unit_Map!J$3</f>
        <v>0</v>
      </c>
      <c r="O82" s="59">
        <f t="shared" si="16"/>
        <v>0</v>
      </c>
      <c r="P82" s="15"/>
      <c r="Q82" s="15"/>
      <c r="R82" s="15"/>
      <c r="S82" s="15"/>
      <c r="T82" s="15"/>
      <c r="U82" s="15"/>
      <c r="V82" s="15"/>
      <c r="W82" s="15"/>
      <c r="X82" s="15"/>
      <c r="Y82" s="15"/>
      <c r="Z82" s="15"/>
    </row>
    <row r="83" spans="2:26" x14ac:dyDescent="0.2">
      <c r="B83" s="2" t="s">
        <v>220</v>
      </c>
      <c r="C83" s="23" t="s">
        <v>8</v>
      </c>
      <c r="D83" s="53"/>
      <c r="E83" s="53"/>
      <c r="F83" s="55">
        <f>User_Financial_Input!F83*(VLOOKUP(User_Financial_Input!$D$7,Unit_Map!$A$6:$C$8,3,0))/Unit_Map!B$3</f>
        <v>0</v>
      </c>
      <c r="G83" s="55">
        <f>User_Financial_Input!G83*(VLOOKUP(User_Financial_Input!$D$7,Unit_Map!$A$6:$C$8,3,0))/Unit_Map!C$3</f>
        <v>0</v>
      </c>
      <c r="H83" s="55">
        <f>User_Financial_Input!H83*(VLOOKUP(User_Financial_Input!$D$7,Unit_Map!$A$6:$C$8,3,0))/Unit_Map!D$3</f>
        <v>0</v>
      </c>
      <c r="I83" s="55">
        <f>User_Financial_Input!I83*(VLOOKUP(User_Financial_Input!$D$7,Unit_Map!$A$6:$C$8,3,0))/Unit_Map!E$3</f>
        <v>0</v>
      </c>
      <c r="J83" s="55">
        <f>User_Financial_Input!J83*(VLOOKUP(User_Financial_Input!$D$7,Unit_Map!$A$6:$C$8,3,0))/Unit_Map!F$3</f>
        <v>0</v>
      </c>
      <c r="K83" s="55">
        <f>User_Financial_Input!K83*(VLOOKUP(User_Financial_Input!$D$7,Unit_Map!$A$6:$C$8,3,0))/Unit_Map!G$3</f>
        <v>0</v>
      </c>
      <c r="L83" s="55">
        <f>User_Financial_Input!L83*(VLOOKUP(User_Financial_Input!$D$7,Unit_Map!$A$6:$C$8,3,0))/Unit_Map!H$3</f>
        <v>0</v>
      </c>
      <c r="M83" s="55">
        <f>User_Financial_Input!M83*(VLOOKUP(User_Financial_Input!$D$7,Unit_Map!$A$6:$C$8,3,0))/Unit_Map!I$3</f>
        <v>0</v>
      </c>
      <c r="N83" s="55">
        <f>User_Financial_Input!N83*(VLOOKUP(User_Financial_Input!$D$7,Unit_Map!$A$6:$C$8,3,0))/Unit_Map!J$3</f>
        <v>0</v>
      </c>
      <c r="O83" s="59">
        <f t="shared" si="16"/>
        <v>0</v>
      </c>
      <c r="P83" s="15"/>
      <c r="Q83" s="15"/>
      <c r="R83" s="15"/>
      <c r="S83" s="15"/>
      <c r="T83" s="15"/>
      <c r="U83" s="15"/>
      <c r="V83" s="15"/>
      <c r="W83" s="15"/>
      <c r="X83" s="15"/>
      <c r="Y83" s="15"/>
      <c r="Z83" s="15"/>
    </row>
    <row r="84" spans="2:26" x14ac:dyDescent="0.2">
      <c r="B84" s="2" t="s">
        <v>221</v>
      </c>
      <c r="C84" s="20" t="s">
        <v>196</v>
      </c>
      <c r="D84" s="53"/>
      <c r="E84" s="53"/>
      <c r="F84" s="55">
        <f>User_Financial_Input!F84*(VLOOKUP(User_Financial_Input!$D$7,Unit_Map!$A$6:$C$8,3,0))/Unit_Map!B$3</f>
        <v>0</v>
      </c>
      <c r="G84" s="55">
        <f>User_Financial_Input!G84*(VLOOKUP(User_Financial_Input!$D$7,Unit_Map!$A$6:$C$8,3,0))/Unit_Map!C$3</f>
        <v>0</v>
      </c>
      <c r="H84" s="55">
        <f>User_Financial_Input!H84*(VLOOKUP(User_Financial_Input!$D$7,Unit_Map!$A$6:$C$8,3,0))/Unit_Map!D$3</f>
        <v>0</v>
      </c>
      <c r="I84" s="55">
        <f>User_Financial_Input!I84*(VLOOKUP(User_Financial_Input!$D$7,Unit_Map!$A$6:$C$8,3,0))/Unit_Map!E$3</f>
        <v>0</v>
      </c>
      <c r="J84" s="55">
        <f>User_Financial_Input!J84*(VLOOKUP(User_Financial_Input!$D$7,Unit_Map!$A$6:$C$8,3,0))/Unit_Map!F$3</f>
        <v>0</v>
      </c>
      <c r="K84" s="55">
        <f>User_Financial_Input!K84*(VLOOKUP(User_Financial_Input!$D$7,Unit_Map!$A$6:$C$8,3,0))/Unit_Map!G$3</f>
        <v>0</v>
      </c>
      <c r="L84" s="55">
        <f>User_Financial_Input!L84*(VLOOKUP(User_Financial_Input!$D$7,Unit_Map!$A$6:$C$8,3,0))/Unit_Map!H$3</f>
        <v>0</v>
      </c>
      <c r="M84" s="55">
        <f>User_Financial_Input!M84*(VLOOKUP(User_Financial_Input!$D$7,Unit_Map!$A$6:$C$8,3,0))/Unit_Map!I$3</f>
        <v>0</v>
      </c>
      <c r="N84" s="55">
        <f>User_Financial_Input!N84*(VLOOKUP(User_Financial_Input!$D$7,Unit_Map!$A$6:$C$8,3,0))/Unit_Map!J$3</f>
        <v>0</v>
      </c>
      <c r="O84" s="59">
        <f t="shared" si="16"/>
        <v>0</v>
      </c>
      <c r="P84" s="15"/>
      <c r="Q84" s="15"/>
      <c r="R84" s="15"/>
      <c r="S84" s="15"/>
      <c r="T84" s="15"/>
      <c r="U84" s="15"/>
      <c r="V84" s="15"/>
      <c r="W84" s="15"/>
      <c r="X84" s="15"/>
      <c r="Y84" s="15"/>
      <c r="Z84" s="15"/>
    </row>
    <row r="85" spans="2:26" x14ac:dyDescent="0.2">
      <c r="B85" s="2" t="s">
        <v>222</v>
      </c>
      <c r="C85" s="20" t="s">
        <v>11</v>
      </c>
      <c r="D85" s="53"/>
      <c r="E85" s="53"/>
      <c r="F85" s="154">
        <f>SUM(F86:F91)</f>
        <v>0</v>
      </c>
      <c r="G85" s="154">
        <f t="shared" ref="G85:N85" si="17">SUM(G86:G91)</f>
        <v>0</v>
      </c>
      <c r="H85" s="154">
        <f t="shared" si="17"/>
        <v>0</v>
      </c>
      <c r="I85" s="154">
        <f t="shared" si="17"/>
        <v>0</v>
      </c>
      <c r="J85" s="154">
        <f>SUM(J86:J91)</f>
        <v>0</v>
      </c>
      <c r="K85" s="154">
        <f t="shared" si="17"/>
        <v>0</v>
      </c>
      <c r="L85" s="154">
        <f t="shared" si="17"/>
        <v>0</v>
      </c>
      <c r="M85" s="154">
        <f>SUM(M86:M91)</f>
        <v>0</v>
      </c>
      <c r="N85" s="154">
        <f t="shared" si="17"/>
        <v>0</v>
      </c>
      <c r="O85" s="314">
        <f t="shared" ref="O85:O93" si="18">J85</f>
        <v>0</v>
      </c>
      <c r="P85" s="15"/>
      <c r="Q85" s="15"/>
      <c r="R85" s="15"/>
      <c r="S85" s="15"/>
      <c r="T85" s="15"/>
      <c r="U85" s="15"/>
      <c r="V85" s="15"/>
      <c r="W85" s="15"/>
      <c r="X85" s="15"/>
      <c r="Y85" s="15"/>
      <c r="Z85" s="15"/>
    </row>
    <row r="86" spans="2:26" x14ac:dyDescent="0.2">
      <c r="B86" s="2" t="s">
        <v>223</v>
      </c>
      <c r="C86" s="21" t="s">
        <v>198</v>
      </c>
      <c r="D86" s="53"/>
      <c r="E86" s="53"/>
      <c r="F86" s="55">
        <f>User_Financial_Input!F86*(VLOOKUP(User_Financial_Input!$D$7,Unit_Map!$A$6:$C$8,3,0))/Unit_Map!B$3</f>
        <v>0</v>
      </c>
      <c r="G86" s="55">
        <f>User_Financial_Input!G86*(VLOOKUP(User_Financial_Input!$D$7,Unit_Map!$A$6:$C$8,3,0))/Unit_Map!C$3</f>
        <v>0</v>
      </c>
      <c r="H86" s="55">
        <f>User_Financial_Input!H86*(VLOOKUP(User_Financial_Input!$D$7,Unit_Map!$A$6:$C$8,3,0))/Unit_Map!D$3</f>
        <v>0</v>
      </c>
      <c r="I86" s="55">
        <f>User_Financial_Input!I86*(VLOOKUP(User_Financial_Input!$D$7,Unit_Map!$A$6:$C$8,3,0))/Unit_Map!E$3</f>
        <v>0</v>
      </c>
      <c r="J86" s="55">
        <f>User_Financial_Input!J86*(VLOOKUP(User_Financial_Input!$D$7,Unit_Map!$A$6:$C$8,3,0))/Unit_Map!F$3</f>
        <v>0</v>
      </c>
      <c r="K86" s="55">
        <f>User_Financial_Input!K86*(VLOOKUP(User_Financial_Input!$D$7,Unit_Map!$A$6:$C$8,3,0))/Unit_Map!G$3</f>
        <v>0</v>
      </c>
      <c r="L86" s="55">
        <f>User_Financial_Input!L86*(VLOOKUP(User_Financial_Input!$D$7,Unit_Map!$A$6:$C$8,3,0))/Unit_Map!H$3</f>
        <v>0</v>
      </c>
      <c r="M86" s="55">
        <f>User_Financial_Input!M86*(VLOOKUP(User_Financial_Input!$D$7,Unit_Map!$A$6:$C$8,3,0))/Unit_Map!I$3</f>
        <v>0</v>
      </c>
      <c r="N86" s="55">
        <f>User_Financial_Input!N86*(VLOOKUP(User_Financial_Input!$D$7,Unit_Map!$A$6:$C$8,3,0))/Unit_Map!J$3</f>
        <v>0</v>
      </c>
      <c r="O86" s="59">
        <f t="shared" si="18"/>
        <v>0</v>
      </c>
      <c r="P86" s="15"/>
      <c r="Q86" s="15"/>
      <c r="R86" s="15"/>
      <c r="S86" s="15"/>
      <c r="T86" s="15"/>
      <c r="U86" s="15"/>
      <c r="V86" s="15"/>
      <c r="W86" s="15"/>
      <c r="X86" s="15"/>
      <c r="Y86" s="15"/>
      <c r="Z86" s="15"/>
    </row>
    <row r="87" spans="2:26" x14ac:dyDescent="0.2">
      <c r="B87" s="2" t="s">
        <v>224</v>
      </c>
      <c r="C87" s="21" t="s">
        <v>199</v>
      </c>
      <c r="D87" s="53"/>
      <c r="E87" s="53"/>
      <c r="F87" s="55">
        <f>User_Financial_Input!F87*(VLOOKUP(User_Financial_Input!$D$7,Unit_Map!$A$6:$C$8,3,0))/Unit_Map!B$3</f>
        <v>0</v>
      </c>
      <c r="G87" s="55">
        <f>User_Financial_Input!G87*(VLOOKUP(User_Financial_Input!$D$7,Unit_Map!$A$6:$C$8,3,0))/Unit_Map!C$3</f>
        <v>0</v>
      </c>
      <c r="H87" s="55">
        <f>User_Financial_Input!H87*(VLOOKUP(User_Financial_Input!$D$7,Unit_Map!$A$6:$C$8,3,0))/Unit_Map!D$3</f>
        <v>0</v>
      </c>
      <c r="I87" s="55">
        <f>User_Financial_Input!I87*(VLOOKUP(User_Financial_Input!$D$7,Unit_Map!$A$6:$C$8,3,0))/Unit_Map!E$3</f>
        <v>0</v>
      </c>
      <c r="J87" s="55">
        <f>User_Financial_Input!J87*(VLOOKUP(User_Financial_Input!$D$7,Unit_Map!$A$6:$C$8,3,0))/Unit_Map!F$3</f>
        <v>0</v>
      </c>
      <c r="K87" s="55">
        <f>User_Financial_Input!K87*(VLOOKUP(User_Financial_Input!$D$7,Unit_Map!$A$6:$C$8,3,0))/Unit_Map!G$3</f>
        <v>0</v>
      </c>
      <c r="L87" s="55">
        <f>User_Financial_Input!L87*(VLOOKUP(User_Financial_Input!$D$7,Unit_Map!$A$6:$C$8,3,0))/Unit_Map!H$3</f>
        <v>0</v>
      </c>
      <c r="M87" s="55">
        <f>User_Financial_Input!M87*(VLOOKUP(User_Financial_Input!$D$7,Unit_Map!$A$6:$C$8,3,0))/Unit_Map!I$3</f>
        <v>0</v>
      </c>
      <c r="N87" s="55">
        <f>User_Financial_Input!N87*(VLOOKUP(User_Financial_Input!$D$7,Unit_Map!$A$6:$C$8,3,0))/Unit_Map!J$3</f>
        <v>0</v>
      </c>
      <c r="O87" s="59">
        <f t="shared" si="18"/>
        <v>0</v>
      </c>
      <c r="P87" s="15"/>
      <c r="Q87" s="15"/>
      <c r="R87" s="15"/>
      <c r="S87" s="15"/>
      <c r="T87" s="15"/>
      <c r="U87" s="15"/>
      <c r="V87" s="15"/>
      <c r="W87" s="15"/>
      <c r="X87" s="15"/>
      <c r="Y87" s="15"/>
      <c r="Z87" s="15"/>
    </row>
    <row r="88" spans="2:26" x14ac:dyDescent="0.2">
      <c r="B88" s="2" t="s">
        <v>225</v>
      </c>
      <c r="C88" s="21" t="s">
        <v>200</v>
      </c>
      <c r="D88" s="53"/>
      <c r="E88" s="53"/>
      <c r="F88" s="55">
        <f>User_Financial_Input!F88*(VLOOKUP(User_Financial_Input!$D$7,Unit_Map!$A$6:$C$8,3,0))/Unit_Map!B$3</f>
        <v>0</v>
      </c>
      <c r="G88" s="55">
        <f>User_Financial_Input!G88*(VLOOKUP(User_Financial_Input!$D$7,Unit_Map!$A$6:$C$8,3,0))/Unit_Map!C$3</f>
        <v>0</v>
      </c>
      <c r="H88" s="55">
        <f>User_Financial_Input!H88*(VLOOKUP(User_Financial_Input!$D$7,Unit_Map!$A$6:$C$8,3,0))/Unit_Map!D$3</f>
        <v>0</v>
      </c>
      <c r="I88" s="55">
        <f>User_Financial_Input!I88*(VLOOKUP(User_Financial_Input!$D$7,Unit_Map!$A$6:$C$8,3,0))/Unit_Map!E$3</f>
        <v>0</v>
      </c>
      <c r="J88" s="55">
        <f>User_Financial_Input!J88*(VLOOKUP(User_Financial_Input!$D$7,Unit_Map!$A$6:$C$8,3,0))/Unit_Map!F$3</f>
        <v>0</v>
      </c>
      <c r="K88" s="55">
        <f>User_Financial_Input!K88*(VLOOKUP(User_Financial_Input!$D$7,Unit_Map!$A$6:$C$8,3,0))/Unit_Map!G$3</f>
        <v>0</v>
      </c>
      <c r="L88" s="55">
        <f>User_Financial_Input!L88*(VLOOKUP(User_Financial_Input!$D$7,Unit_Map!$A$6:$C$8,3,0))/Unit_Map!H$3</f>
        <v>0</v>
      </c>
      <c r="M88" s="55">
        <f>User_Financial_Input!M88*(VLOOKUP(User_Financial_Input!$D$7,Unit_Map!$A$6:$C$8,3,0))/Unit_Map!I$3</f>
        <v>0</v>
      </c>
      <c r="N88" s="55">
        <f>User_Financial_Input!N88*(VLOOKUP(User_Financial_Input!$D$7,Unit_Map!$A$6:$C$8,3,0))/Unit_Map!J$3</f>
        <v>0</v>
      </c>
      <c r="O88" s="59">
        <f t="shared" si="18"/>
        <v>0</v>
      </c>
      <c r="P88" s="15"/>
      <c r="Q88" s="15"/>
      <c r="R88" s="15"/>
      <c r="S88" s="15"/>
      <c r="T88" s="15"/>
      <c r="U88" s="15"/>
      <c r="V88" s="15"/>
      <c r="W88" s="15"/>
      <c r="X88" s="15"/>
      <c r="Y88" s="15"/>
      <c r="Z88" s="15"/>
    </row>
    <row r="89" spans="2:26" x14ac:dyDescent="0.2">
      <c r="B89" s="2" t="s">
        <v>226</v>
      </c>
      <c r="C89" s="21" t="s">
        <v>345</v>
      </c>
      <c r="D89" s="53"/>
      <c r="E89" s="53"/>
      <c r="F89" s="55">
        <f>User_Financial_Input!F89*(VLOOKUP(User_Financial_Input!$D$7,Unit_Map!$A$6:$C$8,3,0))/Unit_Map!B$3</f>
        <v>0</v>
      </c>
      <c r="G89" s="55">
        <f>User_Financial_Input!G89*(VLOOKUP(User_Financial_Input!$D$7,Unit_Map!$A$6:$C$8,3,0))/Unit_Map!C$3</f>
        <v>0</v>
      </c>
      <c r="H89" s="55">
        <f>User_Financial_Input!H89*(VLOOKUP(User_Financial_Input!$D$7,Unit_Map!$A$6:$C$8,3,0))/Unit_Map!D$3</f>
        <v>0</v>
      </c>
      <c r="I89" s="55">
        <f>User_Financial_Input!I89*(VLOOKUP(User_Financial_Input!$D$7,Unit_Map!$A$6:$C$8,3,0))/Unit_Map!E$3</f>
        <v>0</v>
      </c>
      <c r="J89" s="55">
        <f>User_Financial_Input!J89*(VLOOKUP(User_Financial_Input!$D$7,Unit_Map!$A$6:$C$8,3,0))/Unit_Map!F$3</f>
        <v>0</v>
      </c>
      <c r="K89" s="55">
        <f>User_Financial_Input!K89*(VLOOKUP(User_Financial_Input!$D$7,Unit_Map!$A$6:$C$8,3,0))/Unit_Map!G$3</f>
        <v>0</v>
      </c>
      <c r="L89" s="55">
        <f>User_Financial_Input!L89*(VLOOKUP(User_Financial_Input!$D$7,Unit_Map!$A$6:$C$8,3,0))/Unit_Map!H$3</f>
        <v>0</v>
      </c>
      <c r="M89" s="55">
        <f>User_Financial_Input!M89*(VLOOKUP(User_Financial_Input!$D$7,Unit_Map!$A$6:$C$8,3,0))/Unit_Map!I$3</f>
        <v>0</v>
      </c>
      <c r="N89" s="55">
        <f>User_Financial_Input!N89*(VLOOKUP(User_Financial_Input!$D$7,Unit_Map!$A$6:$C$8,3,0))/Unit_Map!J$3</f>
        <v>0</v>
      </c>
      <c r="O89" s="59">
        <f t="shared" si="18"/>
        <v>0</v>
      </c>
      <c r="P89" s="15"/>
      <c r="Q89" s="15"/>
      <c r="R89" s="15"/>
      <c r="S89" s="15"/>
      <c r="T89" s="15"/>
      <c r="U89" s="15"/>
      <c r="V89" s="15"/>
      <c r="W89" s="15"/>
      <c r="X89" s="15"/>
      <c r="Y89" s="15"/>
      <c r="Z89" s="15"/>
    </row>
    <row r="90" spans="2:26" x14ac:dyDescent="0.2">
      <c r="B90" s="2" t="s">
        <v>227</v>
      </c>
      <c r="C90" s="21" t="s">
        <v>201</v>
      </c>
      <c r="D90" s="53"/>
      <c r="E90" s="53"/>
      <c r="F90" s="55">
        <f>User_Financial_Input!F90*(VLOOKUP(User_Financial_Input!$D$7,Unit_Map!$A$6:$C$8,3,0))/Unit_Map!B$3</f>
        <v>0</v>
      </c>
      <c r="G90" s="55">
        <f>User_Financial_Input!G90*(VLOOKUP(User_Financial_Input!$D$7,Unit_Map!$A$6:$C$8,3,0))/Unit_Map!C$3</f>
        <v>0</v>
      </c>
      <c r="H90" s="55">
        <f>User_Financial_Input!H90*(VLOOKUP(User_Financial_Input!$D$7,Unit_Map!$A$6:$C$8,3,0))/Unit_Map!D$3</f>
        <v>0</v>
      </c>
      <c r="I90" s="55">
        <f>User_Financial_Input!I90*(VLOOKUP(User_Financial_Input!$D$7,Unit_Map!$A$6:$C$8,3,0))/Unit_Map!E$3</f>
        <v>0</v>
      </c>
      <c r="J90" s="55">
        <f>User_Financial_Input!J90*(VLOOKUP(User_Financial_Input!$D$7,Unit_Map!$A$6:$C$8,3,0))/Unit_Map!F$3</f>
        <v>0</v>
      </c>
      <c r="K90" s="55">
        <f>User_Financial_Input!K90*(VLOOKUP(User_Financial_Input!$D$7,Unit_Map!$A$6:$C$8,3,0))/Unit_Map!G$3</f>
        <v>0</v>
      </c>
      <c r="L90" s="55">
        <f>User_Financial_Input!L90*(VLOOKUP(User_Financial_Input!$D$7,Unit_Map!$A$6:$C$8,3,0))/Unit_Map!H$3</f>
        <v>0</v>
      </c>
      <c r="M90" s="55">
        <f>User_Financial_Input!M90*(VLOOKUP(User_Financial_Input!$D$7,Unit_Map!$A$6:$C$8,3,0))/Unit_Map!I$3</f>
        <v>0</v>
      </c>
      <c r="N90" s="55">
        <f>User_Financial_Input!N90*(VLOOKUP(User_Financial_Input!$D$7,Unit_Map!$A$6:$C$8,3,0))/Unit_Map!J$3</f>
        <v>0</v>
      </c>
      <c r="O90" s="59">
        <f t="shared" si="18"/>
        <v>0</v>
      </c>
      <c r="P90" s="15"/>
      <c r="Q90" s="15"/>
      <c r="R90" s="15"/>
      <c r="S90" s="15"/>
      <c r="T90" s="15"/>
      <c r="U90" s="15"/>
      <c r="V90" s="15"/>
      <c r="W90" s="15"/>
      <c r="X90" s="15"/>
      <c r="Y90" s="15"/>
      <c r="Z90" s="15"/>
    </row>
    <row r="91" spans="2:26" x14ac:dyDescent="0.2">
      <c r="B91" s="2" t="s">
        <v>228</v>
      </c>
      <c r="C91" s="21" t="s">
        <v>19</v>
      </c>
      <c r="D91" s="53"/>
      <c r="E91" s="53"/>
      <c r="F91" s="55">
        <f>User_Financial_Input!F91*(VLOOKUP(User_Financial_Input!$D$7,Unit_Map!$A$6:$C$8,3,0))/Unit_Map!B$3</f>
        <v>0</v>
      </c>
      <c r="G91" s="55">
        <f>User_Financial_Input!G91*(VLOOKUP(User_Financial_Input!$D$7,Unit_Map!$A$6:$C$8,3,0))/Unit_Map!C$3</f>
        <v>0</v>
      </c>
      <c r="H91" s="55">
        <f>User_Financial_Input!H91*(VLOOKUP(User_Financial_Input!$D$7,Unit_Map!$A$6:$C$8,3,0))/Unit_Map!D$3</f>
        <v>0</v>
      </c>
      <c r="I91" s="55">
        <f>User_Financial_Input!I91*(VLOOKUP(User_Financial_Input!$D$7,Unit_Map!$A$6:$C$8,3,0))/Unit_Map!E$3</f>
        <v>0</v>
      </c>
      <c r="J91" s="55">
        <f>User_Financial_Input!J91*(VLOOKUP(User_Financial_Input!$D$7,Unit_Map!$A$6:$C$8,3,0))/Unit_Map!F$3</f>
        <v>0</v>
      </c>
      <c r="K91" s="55">
        <f>User_Financial_Input!K91*(VLOOKUP(User_Financial_Input!$D$7,Unit_Map!$A$6:$C$8,3,0))/Unit_Map!G$3</f>
        <v>0</v>
      </c>
      <c r="L91" s="55">
        <f>User_Financial_Input!L91*(VLOOKUP(User_Financial_Input!$D$7,Unit_Map!$A$6:$C$8,3,0))/Unit_Map!H$3</f>
        <v>0</v>
      </c>
      <c r="M91" s="55">
        <f>User_Financial_Input!M91*(VLOOKUP(User_Financial_Input!$D$7,Unit_Map!$A$6:$C$8,3,0))/Unit_Map!I$3</f>
        <v>0</v>
      </c>
      <c r="N91" s="55">
        <f>User_Financial_Input!N91*(VLOOKUP(User_Financial_Input!$D$7,Unit_Map!$A$6:$C$8,3,0))/Unit_Map!J$3</f>
        <v>0</v>
      </c>
      <c r="O91" s="59">
        <f t="shared" si="18"/>
        <v>0</v>
      </c>
      <c r="P91" s="15"/>
      <c r="Q91" s="15"/>
      <c r="R91" s="15"/>
      <c r="S91" s="15"/>
      <c r="T91" s="15"/>
      <c r="U91" s="15"/>
      <c r="V91" s="15"/>
      <c r="W91" s="15"/>
      <c r="X91" s="15"/>
      <c r="Y91" s="15"/>
      <c r="Z91" s="15"/>
    </row>
    <row r="92" spans="2:26" x14ac:dyDescent="0.2">
      <c r="B92" s="53"/>
      <c r="C92" s="53"/>
      <c r="D92" s="53"/>
      <c r="E92" s="53"/>
      <c r="F92" s="53"/>
      <c r="G92" s="53"/>
      <c r="H92" s="53"/>
      <c r="I92" s="53"/>
      <c r="J92" s="53"/>
      <c r="K92" s="53"/>
      <c r="L92" s="53"/>
      <c r="M92" s="53"/>
      <c r="N92" s="53"/>
      <c r="O92" s="53"/>
      <c r="P92" s="15"/>
      <c r="Q92" s="15"/>
      <c r="R92" s="15"/>
      <c r="S92" s="15"/>
      <c r="T92" s="15"/>
      <c r="U92" s="15"/>
      <c r="V92" s="15"/>
      <c r="W92" s="15"/>
      <c r="X92" s="15"/>
      <c r="Y92" s="15"/>
      <c r="Z92" s="15"/>
    </row>
    <row r="93" spans="2:26" x14ac:dyDescent="0.2">
      <c r="B93" s="13" t="s">
        <v>229</v>
      </c>
      <c r="C93" s="19" t="s">
        <v>12</v>
      </c>
      <c r="D93" s="53"/>
      <c r="E93" s="53"/>
      <c r="F93" s="154">
        <f t="shared" ref="F93:N93" si="19">SUM(F64,F78)</f>
        <v>0</v>
      </c>
      <c r="G93" s="154">
        <f t="shared" si="19"/>
        <v>0</v>
      </c>
      <c r="H93" s="154">
        <f t="shared" si="19"/>
        <v>0</v>
      </c>
      <c r="I93" s="154">
        <f t="shared" si="19"/>
        <v>0</v>
      </c>
      <c r="J93" s="154">
        <f>SUM(J64,J78)</f>
        <v>0</v>
      </c>
      <c r="K93" s="154">
        <f t="shared" si="19"/>
        <v>0</v>
      </c>
      <c r="L93" s="154">
        <f t="shared" si="19"/>
        <v>0</v>
      </c>
      <c r="M93" s="154">
        <f>SUM(M64,M78)</f>
        <v>0</v>
      </c>
      <c r="N93" s="154">
        <f t="shared" si="19"/>
        <v>0</v>
      </c>
      <c r="O93" s="314">
        <f t="shared" si="18"/>
        <v>0</v>
      </c>
      <c r="P93" s="15"/>
      <c r="Q93" s="15"/>
      <c r="R93" s="15"/>
      <c r="S93" s="15"/>
      <c r="T93" s="15"/>
      <c r="U93" s="15"/>
      <c r="V93" s="15"/>
      <c r="W93" s="15"/>
      <c r="X93" s="15"/>
      <c r="Y93" s="15"/>
      <c r="Z93" s="15"/>
    </row>
    <row r="94" spans="2:26" x14ac:dyDescent="0.2">
      <c r="B94" s="53"/>
      <c r="C94" s="53"/>
      <c r="D94" s="53"/>
      <c r="E94" s="53"/>
      <c r="F94" s="53"/>
      <c r="G94" s="53"/>
      <c r="H94" s="53"/>
      <c r="I94" s="53"/>
      <c r="J94" s="53"/>
      <c r="K94" s="53"/>
      <c r="L94" s="53"/>
      <c r="M94" s="53"/>
      <c r="N94" s="53"/>
      <c r="O94" s="53"/>
      <c r="P94" s="15"/>
      <c r="Q94" s="15"/>
      <c r="R94" s="15"/>
      <c r="S94" s="15"/>
      <c r="T94" s="15"/>
      <c r="U94" s="15"/>
      <c r="V94" s="15"/>
      <c r="W94" s="15"/>
      <c r="X94" s="15"/>
      <c r="Y94" s="15"/>
      <c r="Z94" s="15"/>
    </row>
    <row r="95" spans="2:26" x14ac:dyDescent="0.2">
      <c r="B95" s="16" t="s">
        <v>230</v>
      </c>
      <c r="C95" s="19" t="s">
        <v>231</v>
      </c>
      <c r="D95" s="53"/>
      <c r="E95" s="53"/>
      <c r="F95" s="154">
        <f>SUM(F96:F99)</f>
        <v>0</v>
      </c>
      <c r="G95" s="154">
        <f t="shared" ref="G95:N95" si="20">SUM(G96:G99)</f>
        <v>0</v>
      </c>
      <c r="H95" s="154">
        <f t="shared" si="20"/>
        <v>0</v>
      </c>
      <c r="I95" s="154">
        <f t="shared" si="20"/>
        <v>0</v>
      </c>
      <c r="J95" s="154">
        <f>SUM(J96:J99)</f>
        <v>0</v>
      </c>
      <c r="K95" s="154">
        <f t="shared" si="20"/>
        <v>0</v>
      </c>
      <c r="L95" s="154">
        <f t="shared" si="20"/>
        <v>0</v>
      </c>
      <c r="M95" s="154">
        <f>SUM(M96:M99)</f>
        <v>0</v>
      </c>
      <c r="N95" s="154">
        <f t="shared" si="20"/>
        <v>0</v>
      </c>
      <c r="O95" s="314">
        <f>J95</f>
        <v>0</v>
      </c>
      <c r="P95" s="15"/>
      <c r="Q95" s="15"/>
      <c r="R95" s="15"/>
      <c r="S95" s="15"/>
      <c r="T95" s="15"/>
      <c r="U95" s="15"/>
      <c r="V95" s="15"/>
      <c r="W95" s="15"/>
      <c r="X95" s="15"/>
      <c r="Y95" s="15"/>
      <c r="Z95" s="15"/>
    </row>
    <row r="96" spans="2:26" x14ac:dyDescent="0.2">
      <c r="B96" s="2" t="s">
        <v>232</v>
      </c>
      <c r="C96" s="20" t="s">
        <v>13</v>
      </c>
      <c r="D96" s="53"/>
      <c r="E96" s="53"/>
      <c r="F96" s="55">
        <f>User_Financial_Input!F96*(VLOOKUP(User_Financial_Input!$D$7,Unit_Map!$A$6:$C$8,3,0))/Unit_Map!B$3</f>
        <v>0</v>
      </c>
      <c r="G96" s="55">
        <f>User_Financial_Input!G96*(VLOOKUP(User_Financial_Input!$D$7,Unit_Map!$A$6:$C$8,3,0))/Unit_Map!C$3</f>
        <v>0</v>
      </c>
      <c r="H96" s="55">
        <f>User_Financial_Input!H96*(VLOOKUP(User_Financial_Input!$D$7,Unit_Map!$A$6:$C$8,3,0))/Unit_Map!D$3</f>
        <v>0</v>
      </c>
      <c r="I96" s="55">
        <f>User_Financial_Input!I96*(VLOOKUP(User_Financial_Input!$D$7,Unit_Map!$A$6:$C$8,3,0))/Unit_Map!E$3</f>
        <v>0</v>
      </c>
      <c r="J96" s="55">
        <f>User_Financial_Input!J96*(VLOOKUP(User_Financial_Input!$D$7,Unit_Map!$A$6:$C$8,3,0))/Unit_Map!F$3</f>
        <v>0</v>
      </c>
      <c r="K96" s="55">
        <f>User_Financial_Input!K96*(VLOOKUP(User_Financial_Input!$D$7,Unit_Map!$A$6:$C$8,3,0))/Unit_Map!G$3</f>
        <v>0</v>
      </c>
      <c r="L96" s="55">
        <f>User_Financial_Input!L96*(VLOOKUP(User_Financial_Input!$D$7,Unit_Map!$A$6:$C$8,3,0))/Unit_Map!H$3</f>
        <v>0</v>
      </c>
      <c r="M96" s="55">
        <f>User_Financial_Input!M96*(VLOOKUP(User_Financial_Input!$D$7,Unit_Map!$A$6:$C$8,3,0))/Unit_Map!I$3</f>
        <v>0</v>
      </c>
      <c r="N96" s="55">
        <f>User_Financial_Input!N96*(VLOOKUP(User_Financial_Input!$D$7,Unit_Map!$A$6:$C$8,3,0))/Unit_Map!J$3</f>
        <v>0</v>
      </c>
      <c r="O96" s="59">
        <f>J96</f>
        <v>0</v>
      </c>
      <c r="P96" s="15"/>
      <c r="Q96" s="15"/>
      <c r="R96" s="15"/>
      <c r="S96" s="15"/>
      <c r="T96" s="15"/>
      <c r="U96" s="15"/>
      <c r="V96" s="15"/>
      <c r="W96" s="15"/>
      <c r="X96" s="15"/>
      <c r="Y96" s="15"/>
      <c r="Z96" s="15"/>
    </row>
    <row r="97" spans="2:26" x14ac:dyDescent="0.2">
      <c r="B97" s="2" t="s">
        <v>233</v>
      </c>
      <c r="C97" s="20" t="s">
        <v>14</v>
      </c>
      <c r="D97" s="53"/>
      <c r="E97" s="53"/>
      <c r="F97" s="55">
        <f>User_Financial_Input!F97*(VLOOKUP(User_Financial_Input!$D$7,Unit_Map!$A$6:$C$8,3,0))/Unit_Map!B$3</f>
        <v>0</v>
      </c>
      <c r="G97" s="55">
        <f>User_Financial_Input!G97*(VLOOKUP(User_Financial_Input!$D$7,Unit_Map!$A$6:$C$8,3,0))/Unit_Map!C$3</f>
        <v>0</v>
      </c>
      <c r="H97" s="55">
        <f>User_Financial_Input!H97*(VLOOKUP(User_Financial_Input!$D$7,Unit_Map!$A$6:$C$8,3,0))/Unit_Map!D$3</f>
        <v>0</v>
      </c>
      <c r="I97" s="55">
        <f>User_Financial_Input!I97*(VLOOKUP(User_Financial_Input!$D$7,Unit_Map!$A$6:$C$8,3,0))/Unit_Map!E$3</f>
        <v>0</v>
      </c>
      <c r="J97" s="55">
        <f>User_Financial_Input!J97*(VLOOKUP(User_Financial_Input!$D$7,Unit_Map!$A$6:$C$8,3,0))/Unit_Map!F$3</f>
        <v>0</v>
      </c>
      <c r="K97" s="55">
        <f>User_Financial_Input!K97*(VLOOKUP(User_Financial_Input!$D$7,Unit_Map!$A$6:$C$8,3,0))/Unit_Map!G$3</f>
        <v>0</v>
      </c>
      <c r="L97" s="55">
        <f>User_Financial_Input!L97*(VLOOKUP(User_Financial_Input!$D$7,Unit_Map!$A$6:$C$8,3,0))/Unit_Map!H$3</f>
        <v>0</v>
      </c>
      <c r="M97" s="55">
        <f>User_Financial_Input!M97*(VLOOKUP(User_Financial_Input!$D$7,Unit_Map!$A$6:$C$8,3,0))/Unit_Map!I$3</f>
        <v>0</v>
      </c>
      <c r="N97" s="55">
        <f>User_Financial_Input!N97*(VLOOKUP(User_Financial_Input!$D$7,Unit_Map!$A$6:$C$8,3,0))/Unit_Map!J$3</f>
        <v>0</v>
      </c>
      <c r="O97" s="59">
        <f>J97</f>
        <v>0</v>
      </c>
      <c r="P97" s="15"/>
      <c r="Q97" s="15"/>
      <c r="R97" s="15"/>
      <c r="S97" s="15"/>
      <c r="T97" s="15"/>
      <c r="U97" s="15"/>
      <c r="V97" s="15"/>
      <c r="W97" s="15"/>
      <c r="X97" s="15"/>
      <c r="Y97" s="15"/>
      <c r="Z97" s="15"/>
    </row>
    <row r="98" spans="2:26" x14ac:dyDescent="0.2">
      <c r="B98" s="2" t="s">
        <v>234</v>
      </c>
      <c r="C98" s="20" t="s">
        <v>235</v>
      </c>
      <c r="D98" s="53"/>
      <c r="E98" s="53"/>
      <c r="F98" s="55">
        <f>User_Financial_Input!F98*(VLOOKUP(User_Financial_Input!$D$7,Unit_Map!$A$6:$C$8,3,0))/Unit_Map!B$3</f>
        <v>0</v>
      </c>
      <c r="G98" s="55">
        <f>User_Financial_Input!G98*(VLOOKUP(User_Financial_Input!$D$7,Unit_Map!$A$6:$C$8,3,0))/Unit_Map!C$3</f>
        <v>0</v>
      </c>
      <c r="H98" s="55">
        <f>User_Financial_Input!H98*(VLOOKUP(User_Financial_Input!$D$7,Unit_Map!$A$6:$C$8,3,0))/Unit_Map!D$3</f>
        <v>0</v>
      </c>
      <c r="I98" s="55">
        <f>User_Financial_Input!I98*(VLOOKUP(User_Financial_Input!$D$7,Unit_Map!$A$6:$C$8,3,0))/Unit_Map!E$3</f>
        <v>0</v>
      </c>
      <c r="J98" s="55">
        <f>User_Financial_Input!J98*(VLOOKUP(User_Financial_Input!$D$7,Unit_Map!$A$6:$C$8,3,0))/Unit_Map!F$3</f>
        <v>0</v>
      </c>
      <c r="K98" s="55">
        <f>User_Financial_Input!K98*(VLOOKUP(User_Financial_Input!$D$7,Unit_Map!$A$6:$C$8,3,0))/Unit_Map!G$3</f>
        <v>0</v>
      </c>
      <c r="L98" s="55">
        <f>User_Financial_Input!L98*(VLOOKUP(User_Financial_Input!$D$7,Unit_Map!$A$6:$C$8,3,0))/Unit_Map!H$3</f>
        <v>0</v>
      </c>
      <c r="M98" s="55">
        <f>User_Financial_Input!M98*(VLOOKUP(User_Financial_Input!$D$7,Unit_Map!$A$6:$C$8,3,0))/Unit_Map!I$3</f>
        <v>0</v>
      </c>
      <c r="N98" s="55">
        <f>User_Financial_Input!N98*(VLOOKUP(User_Financial_Input!$D$7,Unit_Map!$A$6:$C$8,3,0))/Unit_Map!J$3</f>
        <v>0</v>
      </c>
      <c r="O98" s="59">
        <f>J98</f>
        <v>0</v>
      </c>
      <c r="P98" s="15"/>
      <c r="Q98" s="15"/>
      <c r="R98" s="15"/>
      <c r="S98" s="15"/>
      <c r="T98" s="15"/>
      <c r="U98" s="15"/>
      <c r="V98" s="15"/>
      <c r="W98" s="15"/>
      <c r="X98" s="15"/>
      <c r="Y98" s="15"/>
      <c r="Z98" s="15"/>
    </row>
    <row r="99" spans="2:26" x14ac:dyDescent="0.2">
      <c r="B99" s="2" t="s">
        <v>236</v>
      </c>
      <c r="C99" s="20" t="s">
        <v>16</v>
      </c>
      <c r="D99" s="53"/>
      <c r="E99" s="53"/>
      <c r="F99" s="154">
        <f t="shared" ref="F99:N99" si="21">SUM(F100:F105)</f>
        <v>0</v>
      </c>
      <c r="G99" s="154">
        <f t="shared" si="21"/>
        <v>0</v>
      </c>
      <c r="H99" s="154">
        <f t="shared" si="21"/>
        <v>0</v>
      </c>
      <c r="I99" s="154">
        <f t="shared" si="21"/>
        <v>0</v>
      </c>
      <c r="J99" s="154">
        <f t="shared" si="21"/>
        <v>0</v>
      </c>
      <c r="K99" s="154">
        <f t="shared" si="21"/>
        <v>0</v>
      </c>
      <c r="L99" s="154">
        <f t="shared" si="21"/>
        <v>0</v>
      </c>
      <c r="M99" s="154">
        <f t="shared" si="21"/>
        <v>0</v>
      </c>
      <c r="N99" s="154">
        <f t="shared" si="21"/>
        <v>0</v>
      </c>
      <c r="O99" s="314">
        <f t="shared" ref="O99:O105" si="22">J99</f>
        <v>0</v>
      </c>
      <c r="P99" s="15"/>
      <c r="Q99" s="15"/>
      <c r="R99" s="15"/>
      <c r="S99" s="15"/>
      <c r="T99" s="15"/>
      <c r="U99" s="15"/>
      <c r="V99" s="15"/>
      <c r="W99" s="15"/>
      <c r="X99" s="15"/>
      <c r="Y99" s="15"/>
      <c r="Z99" s="15"/>
    </row>
    <row r="100" spans="2:26" x14ac:dyDescent="0.2">
      <c r="B100" s="2" t="s">
        <v>237</v>
      </c>
      <c r="C100" s="21" t="s">
        <v>17</v>
      </c>
      <c r="D100" s="53"/>
      <c r="E100" s="53"/>
      <c r="F100" s="55">
        <f>User_Financial_Input!F100*(VLOOKUP(User_Financial_Input!$D$7,Unit_Map!$A$6:$C$8,3,0))/Unit_Map!B$3</f>
        <v>0</v>
      </c>
      <c r="G100" s="55">
        <f>User_Financial_Input!G100*(VLOOKUP(User_Financial_Input!$D$7,Unit_Map!$A$6:$C$8,3,0))/Unit_Map!C$3</f>
        <v>0</v>
      </c>
      <c r="H100" s="55">
        <f>User_Financial_Input!H100*(VLOOKUP(User_Financial_Input!$D$7,Unit_Map!$A$6:$C$8,3,0))/Unit_Map!D$3</f>
        <v>0</v>
      </c>
      <c r="I100" s="55">
        <f>User_Financial_Input!I100*(VLOOKUP(User_Financial_Input!$D$7,Unit_Map!$A$6:$C$8,3,0))/Unit_Map!E$3</f>
        <v>0</v>
      </c>
      <c r="J100" s="55">
        <f>User_Financial_Input!J100*(VLOOKUP(User_Financial_Input!$D$7,Unit_Map!$A$6:$C$8,3,0))/Unit_Map!F$3</f>
        <v>0</v>
      </c>
      <c r="K100" s="55">
        <f>User_Financial_Input!K100*(VLOOKUP(User_Financial_Input!$D$7,Unit_Map!$A$6:$C$8,3,0))/Unit_Map!G$3</f>
        <v>0</v>
      </c>
      <c r="L100" s="55">
        <f>User_Financial_Input!L100*(VLOOKUP(User_Financial_Input!$D$7,Unit_Map!$A$6:$C$8,3,0))/Unit_Map!H$3</f>
        <v>0</v>
      </c>
      <c r="M100" s="55">
        <f>User_Financial_Input!M100*(VLOOKUP(User_Financial_Input!$D$7,Unit_Map!$A$6:$C$8,3,0))/Unit_Map!I$3</f>
        <v>0</v>
      </c>
      <c r="N100" s="55">
        <f>User_Financial_Input!N100*(VLOOKUP(User_Financial_Input!$D$7,Unit_Map!$A$6:$C$8,3,0))/Unit_Map!J$3</f>
        <v>0</v>
      </c>
      <c r="O100" s="59">
        <f t="shared" si="22"/>
        <v>0</v>
      </c>
      <c r="P100" s="15"/>
      <c r="Q100" s="15"/>
      <c r="R100" s="15"/>
      <c r="S100" s="15"/>
      <c r="T100" s="15"/>
      <c r="U100" s="15"/>
      <c r="V100" s="15"/>
      <c r="W100" s="15"/>
      <c r="X100" s="15"/>
      <c r="Y100" s="15"/>
      <c r="Z100" s="15"/>
    </row>
    <row r="101" spans="2:26" x14ac:dyDescent="0.2">
      <c r="B101" s="2" t="s">
        <v>238</v>
      </c>
      <c r="C101" s="21" t="s">
        <v>239</v>
      </c>
      <c r="D101" s="53"/>
      <c r="E101" s="53"/>
      <c r="F101" s="55">
        <f>User_Financial_Input!F101*(VLOOKUP(User_Financial_Input!$D$7,Unit_Map!$A$6:$C$8,3,0))/Unit_Map!B$3</f>
        <v>0</v>
      </c>
      <c r="G101" s="55">
        <f>User_Financial_Input!G101*(VLOOKUP(User_Financial_Input!$D$7,Unit_Map!$A$6:$C$8,3,0))/Unit_Map!C$3</f>
        <v>0</v>
      </c>
      <c r="H101" s="55">
        <f>User_Financial_Input!H101*(VLOOKUP(User_Financial_Input!$D$7,Unit_Map!$A$6:$C$8,3,0))/Unit_Map!D$3</f>
        <v>0</v>
      </c>
      <c r="I101" s="55">
        <f>User_Financial_Input!I101*(VLOOKUP(User_Financial_Input!$D$7,Unit_Map!$A$6:$C$8,3,0))/Unit_Map!E$3</f>
        <v>0</v>
      </c>
      <c r="J101" s="55">
        <f>User_Financial_Input!J101*(VLOOKUP(User_Financial_Input!$D$7,Unit_Map!$A$6:$C$8,3,0))/Unit_Map!F$3</f>
        <v>0</v>
      </c>
      <c r="K101" s="55">
        <f>User_Financial_Input!K101*(VLOOKUP(User_Financial_Input!$D$7,Unit_Map!$A$6:$C$8,3,0))/Unit_Map!G$3</f>
        <v>0</v>
      </c>
      <c r="L101" s="55">
        <f>User_Financial_Input!L101*(VLOOKUP(User_Financial_Input!$D$7,Unit_Map!$A$6:$C$8,3,0))/Unit_Map!H$3</f>
        <v>0</v>
      </c>
      <c r="M101" s="55">
        <f>User_Financial_Input!M101*(VLOOKUP(User_Financial_Input!$D$7,Unit_Map!$A$6:$C$8,3,0))/Unit_Map!I$3</f>
        <v>0</v>
      </c>
      <c r="N101" s="55">
        <f>User_Financial_Input!N101*(VLOOKUP(User_Financial_Input!$D$7,Unit_Map!$A$6:$C$8,3,0))/Unit_Map!J$3</f>
        <v>0</v>
      </c>
      <c r="O101" s="59">
        <f t="shared" si="22"/>
        <v>0</v>
      </c>
      <c r="P101" s="15"/>
      <c r="Q101" s="15"/>
      <c r="R101" s="15"/>
      <c r="S101" s="15"/>
      <c r="T101" s="15"/>
      <c r="U101" s="15"/>
      <c r="V101" s="15"/>
      <c r="W101" s="15"/>
      <c r="X101" s="15"/>
      <c r="Y101" s="15"/>
      <c r="Z101" s="15"/>
    </row>
    <row r="102" spans="2:26" x14ac:dyDescent="0.2">
      <c r="B102" s="2" t="s">
        <v>240</v>
      </c>
      <c r="C102" s="21" t="s">
        <v>241</v>
      </c>
      <c r="D102" s="53"/>
      <c r="E102" s="53"/>
      <c r="F102" s="55">
        <f>User_Financial_Input!F102*(VLOOKUP(User_Financial_Input!$D$7,Unit_Map!$A$6:$C$8,3,0))/Unit_Map!B$3</f>
        <v>0</v>
      </c>
      <c r="G102" s="55">
        <f>User_Financial_Input!G102*(VLOOKUP(User_Financial_Input!$D$7,Unit_Map!$A$6:$C$8,3,0))/Unit_Map!C$3</f>
        <v>0</v>
      </c>
      <c r="H102" s="55">
        <f>User_Financial_Input!H102*(VLOOKUP(User_Financial_Input!$D$7,Unit_Map!$A$6:$C$8,3,0))/Unit_Map!D$3</f>
        <v>0</v>
      </c>
      <c r="I102" s="55">
        <f>User_Financial_Input!I102*(VLOOKUP(User_Financial_Input!$D$7,Unit_Map!$A$6:$C$8,3,0))/Unit_Map!E$3</f>
        <v>0</v>
      </c>
      <c r="J102" s="55">
        <f>User_Financial_Input!J102*(VLOOKUP(User_Financial_Input!$D$7,Unit_Map!$A$6:$C$8,3,0))/Unit_Map!F$3</f>
        <v>0</v>
      </c>
      <c r="K102" s="55">
        <f>User_Financial_Input!K102*(VLOOKUP(User_Financial_Input!$D$7,Unit_Map!$A$6:$C$8,3,0))/Unit_Map!G$3</f>
        <v>0</v>
      </c>
      <c r="L102" s="55">
        <f>User_Financial_Input!L102*(VLOOKUP(User_Financial_Input!$D$7,Unit_Map!$A$6:$C$8,3,0))/Unit_Map!H$3</f>
        <v>0</v>
      </c>
      <c r="M102" s="55">
        <f>User_Financial_Input!M102*(VLOOKUP(User_Financial_Input!$D$7,Unit_Map!$A$6:$C$8,3,0))/Unit_Map!I$3</f>
        <v>0</v>
      </c>
      <c r="N102" s="55">
        <f>User_Financial_Input!N102*(VLOOKUP(User_Financial_Input!$D$7,Unit_Map!$A$6:$C$8,3,0))/Unit_Map!J$3</f>
        <v>0</v>
      </c>
      <c r="O102" s="59">
        <f t="shared" si="22"/>
        <v>0</v>
      </c>
      <c r="P102" s="15"/>
      <c r="Q102" s="15"/>
      <c r="R102" s="15"/>
      <c r="S102" s="15"/>
      <c r="T102" s="15"/>
      <c r="U102" s="15"/>
      <c r="V102" s="15"/>
      <c r="W102" s="15"/>
      <c r="X102" s="15"/>
      <c r="Y102" s="15"/>
      <c r="Z102" s="15"/>
    </row>
    <row r="103" spans="2:26" x14ac:dyDescent="0.2">
      <c r="B103" s="2" t="s">
        <v>242</v>
      </c>
      <c r="C103" s="21" t="s">
        <v>840</v>
      </c>
      <c r="D103" s="53"/>
      <c r="E103" s="53"/>
      <c r="F103" s="55">
        <f>User_Financial_Input!F103*(VLOOKUP(User_Financial_Input!$D$7,Unit_Map!$A$6:$C$8,3,0))/Unit_Map!B$3</f>
        <v>0</v>
      </c>
      <c r="G103" s="55">
        <f>User_Financial_Input!G103*(VLOOKUP(User_Financial_Input!$D$7,Unit_Map!$A$6:$C$8,3,0))/Unit_Map!C$3</f>
        <v>0</v>
      </c>
      <c r="H103" s="55">
        <f>User_Financial_Input!H103*(VLOOKUP(User_Financial_Input!$D$7,Unit_Map!$A$6:$C$8,3,0))/Unit_Map!D$3</f>
        <v>0</v>
      </c>
      <c r="I103" s="55">
        <f>User_Financial_Input!I103*(VLOOKUP(User_Financial_Input!$D$7,Unit_Map!$A$6:$C$8,3,0))/Unit_Map!E$3</f>
        <v>0</v>
      </c>
      <c r="J103" s="55">
        <f>User_Financial_Input!J103*(VLOOKUP(User_Financial_Input!$D$7,Unit_Map!$A$6:$C$8,3,0))/Unit_Map!F$3</f>
        <v>0</v>
      </c>
      <c r="K103" s="55">
        <f>User_Financial_Input!K103*(VLOOKUP(User_Financial_Input!$D$7,Unit_Map!$A$6:$C$8,3,0))/Unit_Map!G$3</f>
        <v>0</v>
      </c>
      <c r="L103" s="55">
        <f>User_Financial_Input!L103*(VLOOKUP(User_Financial_Input!$D$7,Unit_Map!$A$6:$C$8,3,0))/Unit_Map!H$3</f>
        <v>0</v>
      </c>
      <c r="M103" s="55">
        <f>User_Financial_Input!M103*(VLOOKUP(User_Financial_Input!$D$7,Unit_Map!$A$6:$C$8,3,0))/Unit_Map!I$3</f>
        <v>0</v>
      </c>
      <c r="N103" s="55">
        <f>User_Financial_Input!N103*(VLOOKUP(User_Financial_Input!$D$7,Unit_Map!$A$6:$C$8,3,0))/Unit_Map!J$3</f>
        <v>0</v>
      </c>
      <c r="O103" s="59">
        <f t="shared" si="22"/>
        <v>0</v>
      </c>
      <c r="P103" s="15"/>
      <c r="Q103" s="15"/>
      <c r="R103" s="15"/>
      <c r="S103" s="15"/>
      <c r="T103" s="15"/>
      <c r="U103" s="15"/>
      <c r="V103" s="15"/>
      <c r="W103" s="15"/>
      <c r="X103" s="15"/>
      <c r="Y103" s="15"/>
      <c r="Z103" s="15"/>
    </row>
    <row r="104" spans="2:26" x14ac:dyDescent="0.2">
      <c r="B104" s="2" t="s">
        <v>243</v>
      </c>
      <c r="C104" s="21" t="s">
        <v>244</v>
      </c>
      <c r="D104" s="53"/>
      <c r="E104" s="53"/>
      <c r="F104" s="55">
        <f>User_Financial_Input!F104*(VLOOKUP(User_Financial_Input!$D$7,Unit_Map!$A$6:$C$8,3,0))/Unit_Map!B$3</f>
        <v>0</v>
      </c>
      <c r="G104" s="55">
        <f>User_Financial_Input!G104*(VLOOKUP(User_Financial_Input!$D$7,Unit_Map!$A$6:$C$8,3,0))/Unit_Map!C$3</f>
        <v>0</v>
      </c>
      <c r="H104" s="55">
        <f>User_Financial_Input!H104*(VLOOKUP(User_Financial_Input!$D$7,Unit_Map!$A$6:$C$8,3,0))/Unit_Map!D$3</f>
        <v>0</v>
      </c>
      <c r="I104" s="55">
        <f>User_Financial_Input!I104*(VLOOKUP(User_Financial_Input!$D$7,Unit_Map!$A$6:$C$8,3,0))/Unit_Map!E$3</f>
        <v>0</v>
      </c>
      <c r="J104" s="55">
        <f>User_Financial_Input!J104*(VLOOKUP(User_Financial_Input!$D$7,Unit_Map!$A$6:$C$8,3,0))/Unit_Map!F$3</f>
        <v>0</v>
      </c>
      <c r="K104" s="55">
        <f>User_Financial_Input!K104*(VLOOKUP(User_Financial_Input!$D$7,Unit_Map!$A$6:$C$8,3,0))/Unit_Map!G$3</f>
        <v>0</v>
      </c>
      <c r="L104" s="55">
        <f>User_Financial_Input!L104*(VLOOKUP(User_Financial_Input!$D$7,Unit_Map!$A$6:$C$8,3,0))/Unit_Map!H$3</f>
        <v>0</v>
      </c>
      <c r="M104" s="55">
        <f>User_Financial_Input!M104*(VLOOKUP(User_Financial_Input!$D$7,Unit_Map!$A$6:$C$8,3,0))/Unit_Map!I$3</f>
        <v>0</v>
      </c>
      <c r="N104" s="55">
        <f>User_Financial_Input!N104*(VLOOKUP(User_Financial_Input!$D$7,Unit_Map!$A$6:$C$8,3,0))/Unit_Map!J$3</f>
        <v>0</v>
      </c>
      <c r="O104" s="59">
        <f t="shared" si="22"/>
        <v>0</v>
      </c>
      <c r="P104" s="15"/>
      <c r="Q104" s="15"/>
      <c r="R104" s="15"/>
      <c r="S104" s="15"/>
      <c r="T104" s="15"/>
      <c r="U104" s="15"/>
      <c r="V104" s="15"/>
      <c r="W104" s="15"/>
      <c r="X104" s="15"/>
      <c r="Y104" s="15"/>
      <c r="Z104" s="15"/>
    </row>
    <row r="105" spans="2:26" x14ac:dyDescent="0.2">
      <c r="B105" s="2" t="s">
        <v>245</v>
      </c>
      <c r="C105" s="21" t="s">
        <v>20</v>
      </c>
      <c r="D105" s="53"/>
      <c r="E105" s="53"/>
      <c r="F105" s="55">
        <f>User_Financial_Input!F105*(VLOOKUP(User_Financial_Input!$D$7,Unit_Map!$A$6:$C$8,3,0))/Unit_Map!B$3</f>
        <v>0</v>
      </c>
      <c r="G105" s="55">
        <f>User_Financial_Input!G105*(VLOOKUP(User_Financial_Input!$D$7,Unit_Map!$A$6:$C$8,3,0))/Unit_Map!C$3</f>
        <v>0</v>
      </c>
      <c r="H105" s="55">
        <f>User_Financial_Input!H105*(VLOOKUP(User_Financial_Input!$D$7,Unit_Map!$A$6:$C$8,3,0))/Unit_Map!D$3</f>
        <v>0</v>
      </c>
      <c r="I105" s="55">
        <f>User_Financial_Input!I105*(VLOOKUP(User_Financial_Input!$D$7,Unit_Map!$A$6:$C$8,3,0))/Unit_Map!E$3</f>
        <v>0</v>
      </c>
      <c r="J105" s="55">
        <f>User_Financial_Input!J105*(VLOOKUP(User_Financial_Input!$D$7,Unit_Map!$A$6:$C$8,3,0))/Unit_Map!F$3</f>
        <v>0</v>
      </c>
      <c r="K105" s="55">
        <f>User_Financial_Input!K105*(VLOOKUP(User_Financial_Input!$D$7,Unit_Map!$A$6:$C$8,3,0))/Unit_Map!G$3</f>
        <v>0</v>
      </c>
      <c r="L105" s="55">
        <f>User_Financial_Input!L105*(VLOOKUP(User_Financial_Input!$D$7,Unit_Map!$A$6:$C$8,3,0))/Unit_Map!H$3</f>
        <v>0</v>
      </c>
      <c r="M105" s="55">
        <f>User_Financial_Input!M105*(VLOOKUP(User_Financial_Input!$D$7,Unit_Map!$A$6:$C$8,3,0))/Unit_Map!I$3</f>
        <v>0</v>
      </c>
      <c r="N105" s="55">
        <f>User_Financial_Input!N105*(VLOOKUP(User_Financial_Input!$D$7,Unit_Map!$A$6:$C$8,3,0))/Unit_Map!J$3</f>
        <v>0</v>
      </c>
      <c r="O105" s="59">
        <f t="shared" si="22"/>
        <v>0</v>
      </c>
      <c r="P105" s="15"/>
      <c r="Q105" s="15"/>
      <c r="R105" s="15"/>
      <c r="S105" s="15"/>
      <c r="T105" s="15"/>
      <c r="U105" s="15"/>
      <c r="V105" s="15"/>
      <c r="W105" s="15"/>
      <c r="X105" s="15"/>
      <c r="Y105" s="15"/>
      <c r="Z105" s="15"/>
    </row>
    <row r="106" spans="2:26" x14ac:dyDescent="0.2">
      <c r="B106" s="53"/>
      <c r="C106" s="53"/>
      <c r="D106" s="53"/>
      <c r="E106" s="53"/>
      <c r="F106" s="53"/>
      <c r="G106" s="53"/>
      <c r="H106" s="53"/>
      <c r="I106" s="53"/>
      <c r="J106" s="53"/>
      <c r="K106" s="53"/>
      <c r="L106" s="53"/>
      <c r="M106" s="53"/>
      <c r="N106" s="53"/>
      <c r="O106" s="53"/>
      <c r="P106" s="15"/>
      <c r="Q106" s="15"/>
      <c r="R106" s="15"/>
      <c r="S106" s="15"/>
      <c r="T106" s="15"/>
      <c r="U106" s="15"/>
      <c r="V106" s="15"/>
      <c r="W106" s="15"/>
      <c r="X106" s="15"/>
      <c r="Y106" s="15"/>
      <c r="Z106" s="15"/>
    </row>
    <row r="107" spans="2:26" x14ac:dyDescent="0.2">
      <c r="B107" s="13" t="s">
        <v>246</v>
      </c>
      <c r="C107" s="19" t="s">
        <v>18</v>
      </c>
      <c r="D107" s="53"/>
      <c r="E107" s="53"/>
      <c r="F107" s="154">
        <f>SUM(F108:F110)</f>
        <v>0</v>
      </c>
      <c r="G107" s="154">
        <f t="shared" ref="G107:N107" si="23">SUM(G108:G110)</f>
        <v>0</v>
      </c>
      <c r="H107" s="154">
        <f t="shared" si="23"/>
        <v>0</v>
      </c>
      <c r="I107" s="154">
        <f t="shared" si="23"/>
        <v>0</v>
      </c>
      <c r="J107" s="154">
        <f>SUM(J108:J110)</f>
        <v>0</v>
      </c>
      <c r="K107" s="154">
        <f t="shared" si="23"/>
        <v>0</v>
      </c>
      <c r="L107" s="154">
        <f t="shared" si="23"/>
        <v>0</v>
      </c>
      <c r="M107" s="154">
        <f>SUM(M108:M110)</f>
        <v>0</v>
      </c>
      <c r="N107" s="154">
        <f t="shared" si="23"/>
        <v>0</v>
      </c>
      <c r="O107" s="314">
        <f>J107</f>
        <v>0</v>
      </c>
      <c r="P107" s="15"/>
      <c r="Q107" s="15"/>
      <c r="R107" s="15"/>
      <c r="S107" s="15"/>
      <c r="T107" s="15"/>
      <c r="U107" s="15"/>
      <c r="V107" s="15"/>
      <c r="W107" s="15"/>
      <c r="X107" s="15"/>
      <c r="Y107" s="15"/>
      <c r="Z107" s="15"/>
    </row>
    <row r="108" spans="2:26" x14ac:dyDescent="0.2">
      <c r="B108" s="2" t="s">
        <v>247</v>
      </c>
      <c r="C108" s="20" t="s">
        <v>22</v>
      </c>
      <c r="D108" s="53"/>
      <c r="E108" s="53"/>
      <c r="F108" s="55">
        <f>User_Financial_Input!F108*(VLOOKUP(User_Financial_Input!$D$7,Unit_Map!$A$6:$C$8,3,0))/Unit_Map!B$3</f>
        <v>0</v>
      </c>
      <c r="G108" s="55">
        <f>User_Financial_Input!G108*(VLOOKUP(User_Financial_Input!$D$7,Unit_Map!$A$6:$C$8,3,0))/Unit_Map!C$3</f>
        <v>0</v>
      </c>
      <c r="H108" s="55">
        <f>User_Financial_Input!H108*(VLOOKUP(User_Financial_Input!$D$7,Unit_Map!$A$6:$C$8,3,0))/Unit_Map!D$3</f>
        <v>0</v>
      </c>
      <c r="I108" s="55">
        <f>User_Financial_Input!I108*(VLOOKUP(User_Financial_Input!$D$7,Unit_Map!$A$6:$C$8,3,0))/Unit_Map!E$3</f>
        <v>0</v>
      </c>
      <c r="J108" s="55">
        <f>User_Financial_Input!J108*(VLOOKUP(User_Financial_Input!$D$7,Unit_Map!$A$6:$C$8,3,0))/Unit_Map!F$3</f>
        <v>0</v>
      </c>
      <c r="K108" s="55">
        <f>User_Financial_Input!K108*(VLOOKUP(User_Financial_Input!$D$7,Unit_Map!$A$6:$C$8,3,0))/Unit_Map!G$3</f>
        <v>0</v>
      </c>
      <c r="L108" s="55">
        <f>User_Financial_Input!L108*(VLOOKUP(User_Financial_Input!$D$7,Unit_Map!$A$6:$C$8,3,0))/Unit_Map!H$3</f>
        <v>0</v>
      </c>
      <c r="M108" s="55">
        <f>User_Financial_Input!M108*(VLOOKUP(User_Financial_Input!$D$7,Unit_Map!$A$6:$C$8,3,0))/Unit_Map!I$3</f>
        <v>0</v>
      </c>
      <c r="N108" s="55">
        <f>User_Financial_Input!N108*(VLOOKUP(User_Financial_Input!$D$7,Unit_Map!$A$6:$C$8,3,0))/Unit_Map!J$3</f>
        <v>0</v>
      </c>
      <c r="O108" s="59">
        <f>J108</f>
        <v>0</v>
      </c>
      <c r="P108" s="15"/>
      <c r="Q108" s="15"/>
      <c r="R108" s="15"/>
      <c r="S108" s="15"/>
      <c r="T108" s="15"/>
      <c r="U108" s="15"/>
      <c r="V108" s="15"/>
      <c r="W108" s="15"/>
      <c r="X108" s="15"/>
      <c r="Y108" s="15"/>
      <c r="Z108" s="15"/>
    </row>
    <row r="109" spans="2:26" x14ac:dyDescent="0.2">
      <c r="B109" s="2" t="s">
        <v>248</v>
      </c>
      <c r="C109" s="20" t="s">
        <v>249</v>
      </c>
      <c r="D109" s="53"/>
      <c r="E109" s="53"/>
      <c r="F109" s="55">
        <f>User_Financial_Input!F109*(VLOOKUP(User_Financial_Input!$D$7,Unit_Map!$A$6:$C$8,3,0))/Unit_Map!B$3</f>
        <v>0</v>
      </c>
      <c r="G109" s="55">
        <f>User_Financial_Input!G109*(VLOOKUP(User_Financial_Input!$D$7,Unit_Map!$A$6:$C$8,3,0))/Unit_Map!C$3</f>
        <v>0</v>
      </c>
      <c r="H109" s="55">
        <f>User_Financial_Input!H109*(VLOOKUP(User_Financial_Input!$D$7,Unit_Map!$A$6:$C$8,3,0))/Unit_Map!D$3</f>
        <v>0</v>
      </c>
      <c r="I109" s="55">
        <f>User_Financial_Input!I109*(VLOOKUP(User_Financial_Input!$D$7,Unit_Map!$A$6:$C$8,3,0))/Unit_Map!E$3</f>
        <v>0</v>
      </c>
      <c r="J109" s="55">
        <f>User_Financial_Input!J109*(VLOOKUP(User_Financial_Input!$D$7,Unit_Map!$A$6:$C$8,3,0))/Unit_Map!F$3</f>
        <v>0</v>
      </c>
      <c r="K109" s="55">
        <f>User_Financial_Input!K109*(VLOOKUP(User_Financial_Input!$D$7,Unit_Map!$A$6:$C$8,3,0))/Unit_Map!G$3</f>
        <v>0</v>
      </c>
      <c r="L109" s="55">
        <f>User_Financial_Input!L109*(VLOOKUP(User_Financial_Input!$D$7,Unit_Map!$A$6:$C$8,3,0))/Unit_Map!H$3</f>
        <v>0</v>
      </c>
      <c r="M109" s="55">
        <f>User_Financial_Input!M109*(VLOOKUP(User_Financial_Input!$D$7,Unit_Map!$A$6:$C$8,3,0))/Unit_Map!I$3</f>
        <v>0</v>
      </c>
      <c r="N109" s="55">
        <f>User_Financial_Input!N109*(VLOOKUP(User_Financial_Input!$D$7,Unit_Map!$A$6:$C$8,3,0))/Unit_Map!J$3</f>
        <v>0</v>
      </c>
      <c r="O109" s="59">
        <f>J109</f>
        <v>0</v>
      </c>
      <c r="P109" s="15"/>
      <c r="Q109" s="15"/>
      <c r="R109" s="15"/>
      <c r="S109" s="15"/>
      <c r="T109" s="15"/>
      <c r="U109" s="15"/>
      <c r="V109" s="15"/>
      <c r="W109" s="15"/>
      <c r="X109" s="15"/>
      <c r="Y109" s="15"/>
      <c r="Z109" s="15"/>
    </row>
    <row r="110" spans="2:26" x14ac:dyDescent="0.2">
      <c r="B110" s="2" t="s">
        <v>250</v>
      </c>
      <c r="C110" s="20" t="s">
        <v>23</v>
      </c>
      <c r="D110" s="53"/>
      <c r="E110" s="53"/>
      <c r="F110" s="154">
        <f t="shared" ref="F110:N110" si="24">SUM(F111:F116)</f>
        <v>0</v>
      </c>
      <c r="G110" s="154">
        <f t="shared" si="24"/>
        <v>0</v>
      </c>
      <c r="H110" s="154">
        <f t="shared" si="24"/>
        <v>0</v>
      </c>
      <c r="I110" s="154">
        <f t="shared" si="24"/>
        <v>0</v>
      </c>
      <c r="J110" s="154">
        <f t="shared" si="24"/>
        <v>0</v>
      </c>
      <c r="K110" s="154">
        <f t="shared" si="24"/>
        <v>0</v>
      </c>
      <c r="L110" s="154">
        <f t="shared" si="24"/>
        <v>0</v>
      </c>
      <c r="M110" s="154">
        <f t="shared" si="24"/>
        <v>0</v>
      </c>
      <c r="N110" s="154">
        <f t="shared" si="24"/>
        <v>0</v>
      </c>
      <c r="O110" s="314">
        <f t="shared" ref="O110:O118" si="25">J110</f>
        <v>0</v>
      </c>
      <c r="P110" s="15"/>
      <c r="Q110" s="15"/>
      <c r="R110" s="15"/>
      <c r="S110" s="15"/>
      <c r="T110" s="15"/>
      <c r="U110" s="15"/>
      <c r="V110" s="15"/>
      <c r="W110" s="15"/>
      <c r="X110" s="15"/>
      <c r="Y110" s="15"/>
      <c r="Z110" s="15"/>
    </row>
    <row r="111" spans="2:26" x14ac:dyDescent="0.2">
      <c r="B111" s="2" t="s">
        <v>251</v>
      </c>
      <c r="C111" s="21" t="s">
        <v>24</v>
      </c>
      <c r="D111" s="53"/>
      <c r="E111" s="53"/>
      <c r="F111" s="55">
        <f>User_Financial_Input!F111*(VLOOKUP(User_Financial_Input!$D$7,Unit_Map!$A$6:$C$8,3,0))/Unit_Map!B$3</f>
        <v>0</v>
      </c>
      <c r="G111" s="55">
        <f>User_Financial_Input!G111*(VLOOKUP(User_Financial_Input!$D$7,Unit_Map!$A$6:$C$8,3,0))/Unit_Map!C$3</f>
        <v>0</v>
      </c>
      <c r="H111" s="55">
        <f>User_Financial_Input!H111*(VLOOKUP(User_Financial_Input!$D$7,Unit_Map!$A$6:$C$8,3,0))/Unit_Map!D$3</f>
        <v>0</v>
      </c>
      <c r="I111" s="55">
        <f>User_Financial_Input!I111*(VLOOKUP(User_Financial_Input!$D$7,Unit_Map!$A$6:$C$8,3,0))/Unit_Map!E$3</f>
        <v>0</v>
      </c>
      <c r="J111" s="55">
        <f>User_Financial_Input!J111*(VLOOKUP(User_Financial_Input!$D$7,Unit_Map!$A$6:$C$8,3,0))/Unit_Map!F$3</f>
        <v>0</v>
      </c>
      <c r="K111" s="55">
        <f>User_Financial_Input!K111*(VLOOKUP(User_Financial_Input!$D$7,Unit_Map!$A$6:$C$8,3,0))/Unit_Map!G$3</f>
        <v>0</v>
      </c>
      <c r="L111" s="55">
        <f>User_Financial_Input!L111*(VLOOKUP(User_Financial_Input!$D$7,Unit_Map!$A$6:$C$8,3,0))/Unit_Map!H$3</f>
        <v>0</v>
      </c>
      <c r="M111" s="55">
        <f>User_Financial_Input!M111*(VLOOKUP(User_Financial_Input!$D$7,Unit_Map!$A$6:$C$8,3,0))/Unit_Map!I$3</f>
        <v>0</v>
      </c>
      <c r="N111" s="55">
        <f>User_Financial_Input!N111*(VLOOKUP(User_Financial_Input!$D$7,Unit_Map!$A$6:$C$8,3,0))/Unit_Map!J$3</f>
        <v>0</v>
      </c>
      <c r="O111" s="59">
        <f t="shared" si="25"/>
        <v>0</v>
      </c>
      <c r="P111" s="15"/>
      <c r="Q111" s="15"/>
      <c r="R111" s="15"/>
      <c r="S111" s="15"/>
      <c r="T111" s="15"/>
      <c r="U111" s="15"/>
      <c r="V111" s="15"/>
      <c r="W111" s="15"/>
      <c r="X111" s="15"/>
      <c r="Y111" s="15"/>
      <c r="Z111" s="15"/>
    </row>
    <row r="112" spans="2:26" x14ac:dyDescent="0.2">
      <c r="B112" s="2" t="s">
        <v>252</v>
      </c>
      <c r="C112" s="21" t="s">
        <v>31</v>
      </c>
      <c r="D112" s="53"/>
      <c r="E112" s="53"/>
      <c r="F112" s="55">
        <f>User_Financial_Input!F112*(VLOOKUP(User_Financial_Input!$D$7,Unit_Map!$A$6:$C$8,3,0))/Unit_Map!B$3</f>
        <v>0</v>
      </c>
      <c r="G112" s="55">
        <f>User_Financial_Input!G112*(VLOOKUP(User_Financial_Input!$D$7,Unit_Map!$A$6:$C$8,3,0))/Unit_Map!C$3</f>
        <v>0</v>
      </c>
      <c r="H112" s="55">
        <f>User_Financial_Input!H112*(VLOOKUP(User_Financial_Input!$D$7,Unit_Map!$A$6:$C$8,3,0))/Unit_Map!D$3</f>
        <v>0</v>
      </c>
      <c r="I112" s="55">
        <f>User_Financial_Input!I112*(VLOOKUP(User_Financial_Input!$D$7,Unit_Map!$A$6:$C$8,3,0))/Unit_Map!E$3</f>
        <v>0</v>
      </c>
      <c r="J112" s="55">
        <f>User_Financial_Input!J112*(VLOOKUP(User_Financial_Input!$D$7,Unit_Map!$A$6:$C$8,3,0))/Unit_Map!F$3</f>
        <v>0</v>
      </c>
      <c r="K112" s="55">
        <f>User_Financial_Input!K112*(VLOOKUP(User_Financial_Input!$D$7,Unit_Map!$A$6:$C$8,3,0))/Unit_Map!G$3</f>
        <v>0</v>
      </c>
      <c r="L112" s="55">
        <f>User_Financial_Input!L112*(VLOOKUP(User_Financial_Input!$D$7,Unit_Map!$A$6:$C$8,3,0))/Unit_Map!H$3</f>
        <v>0</v>
      </c>
      <c r="M112" s="55">
        <f>User_Financial_Input!M112*(VLOOKUP(User_Financial_Input!$D$7,Unit_Map!$A$6:$C$8,3,0))/Unit_Map!I$3</f>
        <v>0</v>
      </c>
      <c r="N112" s="55">
        <f>User_Financial_Input!N112*(VLOOKUP(User_Financial_Input!$D$7,Unit_Map!$A$6:$C$8,3,0))/Unit_Map!J$3</f>
        <v>0</v>
      </c>
      <c r="O112" s="59">
        <f t="shared" si="25"/>
        <v>0</v>
      </c>
      <c r="P112" s="15"/>
      <c r="Q112" s="15"/>
      <c r="R112" s="15"/>
      <c r="S112" s="15"/>
      <c r="T112" s="15"/>
      <c r="U112" s="15"/>
      <c r="V112" s="15"/>
      <c r="W112" s="15"/>
      <c r="X112" s="15"/>
      <c r="Y112" s="15"/>
      <c r="Z112" s="15"/>
    </row>
    <row r="113" spans="2:26" x14ac:dyDescent="0.2">
      <c r="B113" s="2" t="s">
        <v>253</v>
      </c>
      <c r="C113" s="21" t="s">
        <v>436</v>
      </c>
      <c r="D113" s="53"/>
      <c r="E113" s="53"/>
      <c r="F113" s="55">
        <f>User_Financial_Input!F113*(VLOOKUP(User_Financial_Input!$D$7,Unit_Map!$A$6:$C$8,3,0))/Unit_Map!B$3</f>
        <v>0</v>
      </c>
      <c r="G113" s="55">
        <f>User_Financial_Input!G113*(VLOOKUP(User_Financial_Input!$D$7,Unit_Map!$A$6:$C$8,3,0))/Unit_Map!C$3</f>
        <v>0</v>
      </c>
      <c r="H113" s="55">
        <f>User_Financial_Input!H113*(VLOOKUP(User_Financial_Input!$D$7,Unit_Map!$A$6:$C$8,3,0))/Unit_Map!D$3</f>
        <v>0</v>
      </c>
      <c r="I113" s="55">
        <f>User_Financial_Input!I113*(VLOOKUP(User_Financial_Input!$D$7,Unit_Map!$A$6:$C$8,3,0))/Unit_Map!E$3</f>
        <v>0</v>
      </c>
      <c r="J113" s="55">
        <f>User_Financial_Input!J113*(VLOOKUP(User_Financial_Input!$D$7,Unit_Map!$A$6:$C$8,3,0))/Unit_Map!F$3</f>
        <v>0</v>
      </c>
      <c r="K113" s="55">
        <f>User_Financial_Input!K113*(VLOOKUP(User_Financial_Input!$D$7,Unit_Map!$A$6:$C$8,3,0))/Unit_Map!G$3</f>
        <v>0</v>
      </c>
      <c r="L113" s="55">
        <f>User_Financial_Input!L113*(VLOOKUP(User_Financial_Input!$D$7,Unit_Map!$A$6:$C$8,3,0))/Unit_Map!H$3</f>
        <v>0</v>
      </c>
      <c r="M113" s="55">
        <f>User_Financial_Input!M113*(VLOOKUP(User_Financial_Input!$D$7,Unit_Map!$A$6:$C$8,3,0))/Unit_Map!I$3</f>
        <v>0</v>
      </c>
      <c r="N113" s="55">
        <f>User_Financial_Input!N113*(VLOOKUP(User_Financial_Input!$D$7,Unit_Map!$A$6:$C$8,3,0))/Unit_Map!J$3</f>
        <v>0</v>
      </c>
      <c r="O113" s="59">
        <f t="shared" si="25"/>
        <v>0</v>
      </c>
      <c r="P113" s="15"/>
      <c r="Q113" s="15"/>
      <c r="R113" s="15"/>
      <c r="S113" s="15"/>
      <c r="T113" s="15"/>
      <c r="U113" s="15"/>
      <c r="V113" s="15"/>
      <c r="W113" s="15"/>
      <c r="X113" s="15"/>
      <c r="Y113" s="15"/>
      <c r="Z113" s="15"/>
    </row>
    <row r="114" spans="2:26" x14ac:dyDescent="0.2">
      <c r="B114" s="2" t="s">
        <v>254</v>
      </c>
      <c r="C114" s="21" t="s">
        <v>917</v>
      </c>
      <c r="D114" s="53"/>
      <c r="E114" s="53"/>
      <c r="F114" s="55">
        <f>User_Financial_Input!F114*(VLOOKUP(User_Financial_Input!$D$7,Unit_Map!$A$6:$C$8,3,0))/Unit_Map!B$3</f>
        <v>0</v>
      </c>
      <c r="G114" s="55">
        <f>User_Financial_Input!G114*(VLOOKUP(User_Financial_Input!$D$7,Unit_Map!$A$6:$C$8,3,0))/Unit_Map!C$3</f>
        <v>0</v>
      </c>
      <c r="H114" s="55">
        <f>User_Financial_Input!H114*(VLOOKUP(User_Financial_Input!$D$7,Unit_Map!$A$6:$C$8,3,0))/Unit_Map!D$3</f>
        <v>0</v>
      </c>
      <c r="I114" s="55">
        <f>User_Financial_Input!I114*(VLOOKUP(User_Financial_Input!$D$7,Unit_Map!$A$6:$C$8,3,0))/Unit_Map!E$3</f>
        <v>0</v>
      </c>
      <c r="J114" s="55">
        <f>User_Financial_Input!J114*(VLOOKUP(User_Financial_Input!$D$7,Unit_Map!$A$6:$C$8,3,0))/Unit_Map!F$3</f>
        <v>0</v>
      </c>
      <c r="K114" s="55">
        <f>User_Financial_Input!K114*(VLOOKUP(User_Financial_Input!$D$7,Unit_Map!$A$6:$C$8,3,0))/Unit_Map!G$3</f>
        <v>0</v>
      </c>
      <c r="L114" s="55">
        <f>User_Financial_Input!L114*(VLOOKUP(User_Financial_Input!$D$7,Unit_Map!$A$6:$C$8,3,0))/Unit_Map!H$3</f>
        <v>0</v>
      </c>
      <c r="M114" s="55">
        <f>User_Financial_Input!M114*(VLOOKUP(User_Financial_Input!$D$7,Unit_Map!$A$6:$C$8,3,0))/Unit_Map!I$3</f>
        <v>0</v>
      </c>
      <c r="N114" s="55">
        <f>User_Financial_Input!N114*(VLOOKUP(User_Financial_Input!$D$7,Unit_Map!$A$6:$C$8,3,0))/Unit_Map!J$3</f>
        <v>0</v>
      </c>
      <c r="O114" s="59">
        <f t="shared" si="25"/>
        <v>0</v>
      </c>
      <c r="P114" s="15"/>
      <c r="Q114" s="15"/>
      <c r="R114" s="15"/>
      <c r="S114" s="15"/>
      <c r="T114" s="15"/>
      <c r="U114" s="15"/>
      <c r="V114" s="15"/>
      <c r="W114" s="15"/>
      <c r="X114" s="15"/>
      <c r="Y114" s="15"/>
      <c r="Z114" s="15"/>
    </row>
    <row r="115" spans="2:26" x14ac:dyDescent="0.2">
      <c r="B115" s="2" t="s">
        <v>256</v>
      </c>
      <c r="C115" s="21" t="s">
        <v>255</v>
      </c>
      <c r="D115" s="53"/>
      <c r="E115" s="53"/>
      <c r="F115" s="55">
        <f>User_Financial_Input!F115*(VLOOKUP(User_Financial_Input!$D$7,Unit_Map!$A$6:$C$8,3,0))/Unit_Map!B$3</f>
        <v>0</v>
      </c>
      <c r="G115" s="55">
        <f>User_Financial_Input!G115*(VLOOKUP(User_Financial_Input!$D$7,Unit_Map!$A$6:$C$8,3,0))/Unit_Map!C$3</f>
        <v>0</v>
      </c>
      <c r="H115" s="55">
        <f>User_Financial_Input!H115*(VLOOKUP(User_Financial_Input!$D$7,Unit_Map!$A$6:$C$8,3,0))/Unit_Map!D$3</f>
        <v>0</v>
      </c>
      <c r="I115" s="55">
        <f>User_Financial_Input!I115*(VLOOKUP(User_Financial_Input!$D$7,Unit_Map!$A$6:$C$8,3,0))/Unit_Map!E$3</f>
        <v>0</v>
      </c>
      <c r="J115" s="55">
        <f>User_Financial_Input!J115*(VLOOKUP(User_Financial_Input!$D$7,Unit_Map!$A$6:$C$8,3,0))/Unit_Map!F$3</f>
        <v>0</v>
      </c>
      <c r="K115" s="55">
        <f>User_Financial_Input!K115*(VLOOKUP(User_Financial_Input!$D$7,Unit_Map!$A$6:$C$8,3,0))/Unit_Map!G$3</f>
        <v>0</v>
      </c>
      <c r="L115" s="55">
        <f>User_Financial_Input!L115*(VLOOKUP(User_Financial_Input!$D$7,Unit_Map!$A$6:$C$8,3,0))/Unit_Map!H$3</f>
        <v>0</v>
      </c>
      <c r="M115" s="55">
        <f>User_Financial_Input!M115*(VLOOKUP(User_Financial_Input!$D$7,Unit_Map!$A$6:$C$8,3,0))/Unit_Map!I$3</f>
        <v>0</v>
      </c>
      <c r="N115" s="55">
        <f>User_Financial_Input!N115*(VLOOKUP(User_Financial_Input!$D$7,Unit_Map!$A$6:$C$8,3,0))/Unit_Map!J$3</f>
        <v>0</v>
      </c>
      <c r="O115" s="59">
        <f t="shared" si="25"/>
        <v>0</v>
      </c>
      <c r="P115" s="15"/>
      <c r="Q115" s="15"/>
      <c r="R115" s="15"/>
      <c r="S115" s="15"/>
      <c r="T115" s="15"/>
      <c r="U115" s="15"/>
      <c r="V115" s="15"/>
      <c r="W115" s="15"/>
      <c r="X115" s="15"/>
      <c r="Y115" s="15"/>
      <c r="Z115" s="15"/>
    </row>
    <row r="116" spans="2:26" x14ac:dyDescent="0.2">
      <c r="B116" s="2" t="s">
        <v>435</v>
      </c>
      <c r="C116" s="21" t="s">
        <v>25</v>
      </c>
      <c r="D116" s="53"/>
      <c r="E116" s="53"/>
      <c r="F116" s="55">
        <f>User_Financial_Input!F116*(VLOOKUP(User_Financial_Input!$D$7,Unit_Map!$A$6:$C$8,3,0))/Unit_Map!B$3</f>
        <v>0</v>
      </c>
      <c r="G116" s="55">
        <f>User_Financial_Input!G116*(VLOOKUP(User_Financial_Input!$D$7,Unit_Map!$A$6:$C$8,3,0))/Unit_Map!C$3</f>
        <v>0</v>
      </c>
      <c r="H116" s="55">
        <f>User_Financial_Input!H116*(VLOOKUP(User_Financial_Input!$D$7,Unit_Map!$A$6:$C$8,3,0))/Unit_Map!D$3</f>
        <v>0</v>
      </c>
      <c r="I116" s="55">
        <f>User_Financial_Input!I116*(VLOOKUP(User_Financial_Input!$D$7,Unit_Map!$A$6:$C$8,3,0))/Unit_Map!E$3</f>
        <v>0</v>
      </c>
      <c r="J116" s="55">
        <f>User_Financial_Input!J116*(VLOOKUP(User_Financial_Input!$D$7,Unit_Map!$A$6:$C$8,3,0))/Unit_Map!F$3</f>
        <v>0</v>
      </c>
      <c r="K116" s="55">
        <f>User_Financial_Input!K116*(VLOOKUP(User_Financial_Input!$D$7,Unit_Map!$A$6:$C$8,3,0))/Unit_Map!G$3</f>
        <v>0</v>
      </c>
      <c r="L116" s="55">
        <f>User_Financial_Input!L116*(VLOOKUP(User_Financial_Input!$D$7,Unit_Map!$A$6:$C$8,3,0))/Unit_Map!H$3</f>
        <v>0</v>
      </c>
      <c r="M116" s="55">
        <f>User_Financial_Input!M116*(VLOOKUP(User_Financial_Input!$D$7,Unit_Map!$A$6:$C$8,3,0))/Unit_Map!I$3</f>
        <v>0</v>
      </c>
      <c r="N116" s="55">
        <f>User_Financial_Input!N116*(VLOOKUP(User_Financial_Input!$D$7,Unit_Map!$A$6:$C$8,3,0))/Unit_Map!J$3</f>
        <v>0</v>
      </c>
      <c r="O116" s="59">
        <f t="shared" si="25"/>
        <v>0</v>
      </c>
      <c r="P116" s="15"/>
      <c r="Q116" s="15"/>
      <c r="R116" s="15"/>
      <c r="S116" s="15"/>
      <c r="T116" s="15"/>
      <c r="U116" s="15"/>
      <c r="V116" s="15"/>
      <c r="W116" s="15"/>
      <c r="X116" s="15"/>
      <c r="Y116" s="15"/>
      <c r="Z116" s="15"/>
    </row>
    <row r="117" spans="2:26" x14ac:dyDescent="0.2">
      <c r="B117" s="53"/>
      <c r="C117" s="53"/>
      <c r="D117" s="53"/>
      <c r="E117" s="53"/>
      <c r="F117" s="53"/>
      <c r="G117" s="53"/>
      <c r="H117" s="53"/>
      <c r="I117" s="53"/>
      <c r="J117" s="53"/>
      <c r="K117" s="53"/>
      <c r="L117" s="53"/>
      <c r="M117" s="53"/>
      <c r="N117" s="53"/>
      <c r="O117" s="53"/>
      <c r="P117" s="15"/>
      <c r="Q117" s="15"/>
      <c r="R117" s="15"/>
      <c r="S117" s="15"/>
      <c r="T117" s="15"/>
      <c r="U117" s="15"/>
      <c r="V117" s="15"/>
      <c r="W117" s="15"/>
      <c r="X117" s="15"/>
      <c r="Y117" s="15"/>
      <c r="Z117" s="15"/>
    </row>
    <row r="118" spans="2:26" x14ac:dyDescent="0.2">
      <c r="B118" s="13" t="s">
        <v>257</v>
      </c>
      <c r="C118" s="19" t="s">
        <v>88</v>
      </c>
      <c r="D118" s="53"/>
      <c r="E118" s="53"/>
      <c r="F118" s="154">
        <f>SUM(F95,F107)</f>
        <v>0</v>
      </c>
      <c r="G118" s="154">
        <f t="shared" ref="G118:N118" si="26">SUM(G95,G107)</f>
        <v>0</v>
      </c>
      <c r="H118" s="154">
        <f t="shared" si="26"/>
        <v>0</v>
      </c>
      <c r="I118" s="154">
        <f t="shared" si="26"/>
        <v>0</v>
      </c>
      <c r="J118" s="154">
        <f>SUM(J95,J107)</f>
        <v>0</v>
      </c>
      <c r="K118" s="154">
        <f t="shared" si="26"/>
        <v>0</v>
      </c>
      <c r="L118" s="154">
        <f t="shared" si="26"/>
        <v>0</v>
      </c>
      <c r="M118" s="154">
        <f>SUM(M95,M107)</f>
        <v>0</v>
      </c>
      <c r="N118" s="154">
        <f t="shared" si="26"/>
        <v>0</v>
      </c>
      <c r="O118" s="314">
        <f t="shared" si="25"/>
        <v>0</v>
      </c>
      <c r="P118" s="15"/>
      <c r="Q118" s="15"/>
      <c r="R118" s="15"/>
      <c r="S118" s="15"/>
      <c r="T118" s="15"/>
      <c r="U118" s="15"/>
      <c r="V118" s="15"/>
      <c r="W118" s="15"/>
      <c r="X118" s="15"/>
      <c r="Y118" s="15"/>
      <c r="Z118" s="15"/>
    </row>
    <row r="119" spans="2:26" x14ac:dyDescent="0.2">
      <c r="B119" s="53"/>
      <c r="C119" s="53"/>
      <c r="D119" s="53"/>
      <c r="E119" s="53"/>
      <c r="F119" s="53"/>
      <c r="G119" s="53"/>
      <c r="H119" s="53"/>
      <c r="I119" s="53"/>
      <c r="J119" s="53"/>
      <c r="K119" s="53"/>
      <c r="L119" s="53"/>
      <c r="M119" s="53"/>
      <c r="N119" s="53"/>
      <c r="O119" s="53"/>
      <c r="P119" s="15"/>
      <c r="Q119" s="15"/>
      <c r="R119" s="15"/>
      <c r="S119" s="15"/>
      <c r="T119" s="15"/>
      <c r="U119" s="15"/>
      <c r="V119" s="15"/>
      <c r="W119" s="15"/>
      <c r="X119" s="15"/>
      <c r="Y119" s="15"/>
      <c r="Z119" s="15"/>
    </row>
    <row r="120" spans="2:26" x14ac:dyDescent="0.2">
      <c r="B120" s="13" t="s">
        <v>258</v>
      </c>
      <c r="C120" s="19" t="s">
        <v>27</v>
      </c>
      <c r="D120" s="53"/>
      <c r="E120" s="53"/>
      <c r="F120" s="154">
        <f>SUM(F121:F126)</f>
        <v>0</v>
      </c>
      <c r="G120" s="154">
        <f t="shared" ref="G120:N120" si="27">SUM(G121:G126)</f>
        <v>0</v>
      </c>
      <c r="H120" s="154">
        <f t="shared" si="27"/>
        <v>0</v>
      </c>
      <c r="I120" s="154">
        <f t="shared" si="27"/>
        <v>0</v>
      </c>
      <c r="J120" s="154">
        <f>SUM(J121:J126)</f>
        <v>0</v>
      </c>
      <c r="K120" s="154">
        <f t="shared" si="27"/>
        <v>0</v>
      </c>
      <c r="L120" s="154">
        <f t="shared" si="27"/>
        <v>0</v>
      </c>
      <c r="M120" s="154">
        <f>SUM(M121:M126)</f>
        <v>0</v>
      </c>
      <c r="N120" s="154">
        <f t="shared" si="27"/>
        <v>0</v>
      </c>
      <c r="O120" s="314">
        <f t="shared" ref="O120:O126" si="28">J120</f>
        <v>0</v>
      </c>
      <c r="P120" s="15"/>
      <c r="Q120" s="15"/>
      <c r="R120" s="15"/>
      <c r="S120" s="15"/>
      <c r="T120" s="15"/>
      <c r="U120" s="15"/>
      <c r="V120" s="15"/>
      <c r="W120" s="15"/>
      <c r="X120" s="15"/>
      <c r="Y120" s="15"/>
      <c r="Z120" s="15"/>
    </row>
    <row r="121" spans="2:26" x14ac:dyDescent="0.2">
      <c r="B121" s="2" t="s">
        <v>259</v>
      </c>
      <c r="C121" s="20" t="s">
        <v>28</v>
      </c>
      <c r="D121" s="53"/>
      <c r="E121" s="53"/>
      <c r="F121" s="55">
        <f>User_Financial_Input!F121*(VLOOKUP(User_Financial_Input!$D$7,Unit_Map!$A$6:$C$8,3,0))/Unit_Map!B$3</f>
        <v>0</v>
      </c>
      <c r="G121" s="55">
        <f>User_Financial_Input!G121*(VLOOKUP(User_Financial_Input!$D$7,Unit_Map!$A$6:$C$8,3,0))/Unit_Map!C$3</f>
        <v>0</v>
      </c>
      <c r="H121" s="55">
        <f>User_Financial_Input!H121*(VLOOKUP(User_Financial_Input!$D$7,Unit_Map!$A$6:$C$8,3,0))/Unit_Map!D$3</f>
        <v>0</v>
      </c>
      <c r="I121" s="55">
        <f>User_Financial_Input!I121*(VLOOKUP(User_Financial_Input!$D$7,Unit_Map!$A$6:$C$8,3,0))/Unit_Map!E$3</f>
        <v>0</v>
      </c>
      <c r="J121" s="55">
        <f>User_Financial_Input!J121*(VLOOKUP(User_Financial_Input!$D$7,Unit_Map!$A$6:$C$8,3,0))/Unit_Map!F$3</f>
        <v>0</v>
      </c>
      <c r="K121" s="55">
        <f>User_Financial_Input!K121*(VLOOKUP(User_Financial_Input!$D$7,Unit_Map!$A$6:$C$8,3,0))/Unit_Map!G$3</f>
        <v>0</v>
      </c>
      <c r="L121" s="55">
        <f>User_Financial_Input!L121*(VLOOKUP(User_Financial_Input!$D$7,Unit_Map!$A$6:$C$8,3,0))/Unit_Map!H$3</f>
        <v>0</v>
      </c>
      <c r="M121" s="55">
        <f>User_Financial_Input!M121*(VLOOKUP(User_Financial_Input!$D$7,Unit_Map!$A$6:$C$8,3,0))/Unit_Map!I$3</f>
        <v>0</v>
      </c>
      <c r="N121" s="55">
        <f>User_Financial_Input!N121*(VLOOKUP(User_Financial_Input!$D$7,Unit_Map!$A$6:$C$8,3,0))/Unit_Map!J$3</f>
        <v>0</v>
      </c>
      <c r="O121" s="59">
        <f t="shared" si="28"/>
        <v>0</v>
      </c>
      <c r="P121" s="15"/>
      <c r="Q121" s="15"/>
      <c r="R121" s="15"/>
      <c r="S121" s="15"/>
      <c r="T121" s="15"/>
      <c r="U121" s="15"/>
      <c r="V121" s="15"/>
      <c r="W121" s="15"/>
      <c r="X121" s="15"/>
      <c r="Y121" s="15"/>
      <c r="Z121" s="15"/>
    </row>
    <row r="122" spans="2:26" x14ac:dyDescent="0.2">
      <c r="B122" s="2" t="s">
        <v>260</v>
      </c>
      <c r="C122" s="20" t="s">
        <v>261</v>
      </c>
      <c r="D122" s="53"/>
      <c r="E122" s="53"/>
      <c r="F122" s="55">
        <f>User_Financial_Input!F122*(VLOOKUP(User_Financial_Input!$D$7,Unit_Map!$A$6:$C$8,3,0))/Unit_Map!B$3</f>
        <v>0</v>
      </c>
      <c r="G122" s="55">
        <f>User_Financial_Input!G122*(VLOOKUP(User_Financial_Input!$D$7,Unit_Map!$A$6:$C$8,3,0))/Unit_Map!C$3</f>
        <v>0</v>
      </c>
      <c r="H122" s="55">
        <f>User_Financial_Input!H122*(VLOOKUP(User_Financial_Input!$D$7,Unit_Map!$A$6:$C$8,3,0))/Unit_Map!D$3</f>
        <v>0</v>
      </c>
      <c r="I122" s="55">
        <f>User_Financial_Input!I122*(VLOOKUP(User_Financial_Input!$D$7,Unit_Map!$A$6:$C$8,3,0))/Unit_Map!E$3</f>
        <v>0</v>
      </c>
      <c r="J122" s="55">
        <f>User_Financial_Input!J122*(VLOOKUP(User_Financial_Input!$D$7,Unit_Map!$A$6:$C$8,3,0))/Unit_Map!F$3</f>
        <v>0</v>
      </c>
      <c r="K122" s="55">
        <f>User_Financial_Input!K122*(VLOOKUP(User_Financial_Input!$D$7,Unit_Map!$A$6:$C$8,3,0))/Unit_Map!G$3</f>
        <v>0</v>
      </c>
      <c r="L122" s="55">
        <f>User_Financial_Input!L122*(VLOOKUP(User_Financial_Input!$D$7,Unit_Map!$A$6:$C$8,3,0))/Unit_Map!H$3</f>
        <v>0</v>
      </c>
      <c r="M122" s="55">
        <f>User_Financial_Input!M122*(VLOOKUP(User_Financial_Input!$D$7,Unit_Map!$A$6:$C$8,3,0))/Unit_Map!I$3</f>
        <v>0</v>
      </c>
      <c r="N122" s="55">
        <f>User_Financial_Input!N122*(VLOOKUP(User_Financial_Input!$D$7,Unit_Map!$A$6:$C$8,3,0))/Unit_Map!J$3</f>
        <v>0</v>
      </c>
      <c r="O122" s="59">
        <f t="shared" si="28"/>
        <v>0</v>
      </c>
      <c r="P122" s="15"/>
      <c r="Q122" s="15"/>
      <c r="R122" s="15"/>
      <c r="S122" s="15"/>
      <c r="T122" s="15"/>
      <c r="U122" s="15"/>
      <c r="V122" s="15"/>
      <c r="W122" s="15"/>
      <c r="X122" s="15"/>
      <c r="Y122" s="15"/>
      <c r="Z122" s="15"/>
    </row>
    <row r="123" spans="2:26" x14ac:dyDescent="0.2">
      <c r="B123" s="2" t="s">
        <v>262</v>
      </c>
      <c r="C123" s="20" t="s">
        <v>336</v>
      </c>
      <c r="D123" s="53"/>
      <c r="E123" s="53"/>
      <c r="F123" s="55">
        <f>User_Financial_Input!F123*(VLOOKUP(User_Financial_Input!$D$7,Unit_Map!$A$6:$C$8,3,0))/Unit_Map!B$3</f>
        <v>0</v>
      </c>
      <c r="G123" s="55">
        <f>User_Financial_Input!G123*(VLOOKUP(User_Financial_Input!$D$7,Unit_Map!$A$6:$C$8,3,0))/Unit_Map!C$3</f>
        <v>0</v>
      </c>
      <c r="H123" s="55">
        <f>User_Financial_Input!H123*(VLOOKUP(User_Financial_Input!$D$7,Unit_Map!$A$6:$C$8,3,0))/Unit_Map!D$3</f>
        <v>0</v>
      </c>
      <c r="I123" s="55">
        <f>User_Financial_Input!I123*(VLOOKUP(User_Financial_Input!$D$7,Unit_Map!$A$6:$C$8,3,0))/Unit_Map!E$3</f>
        <v>0</v>
      </c>
      <c r="J123" s="55">
        <f>User_Financial_Input!J123*(VLOOKUP(User_Financial_Input!$D$7,Unit_Map!$A$6:$C$8,3,0))/Unit_Map!F$3</f>
        <v>0</v>
      </c>
      <c r="K123" s="55">
        <f>User_Financial_Input!K123*(VLOOKUP(User_Financial_Input!$D$7,Unit_Map!$A$6:$C$8,3,0))/Unit_Map!G$3</f>
        <v>0</v>
      </c>
      <c r="L123" s="55">
        <f>User_Financial_Input!L123*(VLOOKUP(User_Financial_Input!$D$7,Unit_Map!$A$6:$C$8,3,0))/Unit_Map!H$3</f>
        <v>0</v>
      </c>
      <c r="M123" s="55">
        <f>User_Financial_Input!M123*(VLOOKUP(User_Financial_Input!$D$7,Unit_Map!$A$6:$C$8,3,0))/Unit_Map!I$3</f>
        <v>0</v>
      </c>
      <c r="N123" s="55">
        <f>User_Financial_Input!N123*(VLOOKUP(User_Financial_Input!$D$7,Unit_Map!$A$6:$C$8,3,0))/Unit_Map!J$3</f>
        <v>0</v>
      </c>
      <c r="O123" s="59">
        <f t="shared" si="28"/>
        <v>0</v>
      </c>
      <c r="P123" s="15"/>
      <c r="Q123" s="15"/>
      <c r="R123" s="15"/>
      <c r="S123" s="15"/>
      <c r="T123" s="15"/>
      <c r="U123" s="15"/>
      <c r="V123" s="15"/>
      <c r="W123" s="15"/>
      <c r="X123" s="15"/>
      <c r="Y123" s="15"/>
      <c r="Z123" s="15"/>
    </row>
    <row r="124" spans="2:26" x14ac:dyDescent="0.2">
      <c r="B124" s="2" t="s">
        <v>263</v>
      </c>
      <c r="C124" s="23" t="s">
        <v>264</v>
      </c>
      <c r="D124" s="53"/>
      <c r="E124" s="53"/>
      <c r="F124" s="55">
        <f>User_Financial_Input!F124*(VLOOKUP(User_Financial_Input!$D$7,Unit_Map!$A$6:$C$8,3,0))/Unit_Map!B$3</f>
        <v>0</v>
      </c>
      <c r="G124" s="55">
        <f>User_Financial_Input!G124*(VLOOKUP(User_Financial_Input!$D$7,Unit_Map!$A$6:$C$8,3,0))/Unit_Map!C$3</f>
        <v>0</v>
      </c>
      <c r="H124" s="55">
        <f>User_Financial_Input!H124*(VLOOKUP(User_Financial_Input!$D$7,Unit_Map!$A$6:$C$8,3,0))/Unit_Map!D$3</f>
        <v>0</v>
      </c>
      <c r="I124" s="55">
        <f>User_Financial_Input!I124*(VLOOKUP(User_Financial_Input!$D$7,Unit_Map!$A$6:$C$8,3,0))/Unit_Map!E$3</f>
        <v>0</v>
      </c>
      <c r="J124" s="55">
        <f>User_Financial_Input!J124*(VLOOKUP(User_Financial_Input!$D$7,Unit_Map!$A$6:$C$8,3,0))/Unit_Map!F$3</f>
        <v>0</v>
      </c>
      <c r="K124" s="55">
        <f>User_Financial_Input!K124*(VLOOKUP(User_Financial_Input!$D$7,Unit_Map!$A$6:$C$8,3,0))/Unit_Map!G$3</f>
        <v>0</v>
      </c>
      <c r="L124" s="55">
        <f>User_Financial_Input!L124*(VLOOKUP(User_Financial_Input!$D$7,Unit_Map!$A$6:$C$8,3,0))/Unit_Map!H$3</f>
        <v>0</v>
      </c>
      <c r="M124" s="55">
        <f>User_Financial_Input!M124*(VLOOKUP(User_Financial_Input!$D$7,Unit_Map!$A$6:$C$8,3,0))/Unit_Map!I$3</f>
        <v>0</v>
      </c>
      <c r="N124" s="55">
        <f>User_Financial_Input!N124*(VLOOKUP(User_Financial_Input!$D$7,Unit_Map!$A$6:$C$8,3,0))/Unit_Map!J$3</f>
        <v>0</v>
      </c>
      <c r="O124" s="59">
        <f t="shared" si="28"/>
        <v>0</v>
      </c>
      <c r="P124" s="15"/>
      <c r="Q124" s="15"/>
      <c r="R124" s="15"/>
      <c r="S124" s="15"/>
      <c r="T124" s="15"/>
      <c r="U124" s="15"/>
      <c r="V124" s="15"/>
      <c r="W124" s="15"/>
      <c r="X124" s="15"/>
      <c r="Y124" s="15"/>
      <c r="Z124" s="15"/>
    </row>
    <row r="125" spans="2:26" x14ac:dyDescent="0.2">
      <c r="B125" s="2" t="s">
        <v>265</v>
      </c>
      <c r="C125" s="20" t="s">
        <v>29</v>
      </c>
      <c r="D125" s="53"/>
      <c r="E125" s="53"/>
      <c r="F125" s="55">
        <f>User_Financial_Input!F125*(VLOOKUP(User_Financial_Input!$D$7,Unit_Map!$A$6:$C$8,3,0))/Unit_Map!B$3</f>
        <v>0</v>
      </c>
      <c r="G125" s="55">
        <f>User_Financial_Input!G125*(VLOOKUP(User_Financial_Input!$D$7,Unit_Map!$A$6:$C$8,3,0))/Unit_Map!C$3</f>
        <v>0</v>
      </c>
      <c r="H125" s="55">
        <f>User_Financial_Input!H125*(VLOOKUP(User_Financial_Input!$D$7,Unit_Map!$A$6:$C$8,3,0))/Unit_Map!D$3</f>
        <v>0</v>
      </c>
      <c r="I125" s="55">
        <f>User_Financial_Input!I125*(VLOOKUP(User_Financial_Input!$D$7,Unit_Map!$A$6:$C$8,3,0))/Unit_Map!E$3</f>
        <v>0</v>
      </c>
      <c r="J125" s="55">
        <f>User_Financial_Input!J125*(VLOOKUP(User_Financial_Input!$D$7,Unit_Map!$A$6:$C$8,3,0))/Unit_Map!F$3</f>
        <v>0</v>
      </c>
      <c r="K125" s="55">
        <f>User_Financial_Input!K125*(VLOOKUP(User_Financial_Input!$D$7,Unit_Map!$A$6:$C$8,3,0))/Unit_Map!G$3</f>
        <v>0</v>
      </c>
      <c r="L125" s="55">
        <f>User_Financial_Input!L125*(VLOOKUP(User_Financial_Input!$D$7,Unit_Map!$A$6:$C$8,3,0))/Unit_Map!H$3</f>
        <v>0</v>
      </c>
      <c r="M125" s="55">
        <f>User_Financial_Input!M125*(VLOOKUP(User_Financial_Input!$D$7,Unit_Map!$A$6:$C$8,3,0))/Unit_Map!I$3</f>
        <v>0</v>
      </c>
      <c r="N125" s="55">
        <f>User_Financial_Input!N125*(VLOOKUP(User_Financial_Input!$D$7,Unit_Map!$A$6:$C$8,3,0))/Unit_Map!J$3</f>
        <v>0</v>
      </c>
      <c r="O125" s="59">
        <f t="shared" si="28"/>
        <v>0</v>
      </c>
      <c r="P125" s="15"/>
      <c r="Q125" s="15"/>
      <c r="R125" s="15"/>
      <c r="S125" s="15"/>
      <c r="T125" s="15"/>
      <c r="U125" s="15"/>
      <c r="V125" s="15"/>
      <c r="W125" s="15"/>
      <c r="X125" s="15"/>
      <c r="Y125" s="15"/>
      <c r="Z125" s="15"/>
    </row>
    <row r="126" spans="2:26" x14ac:dyDescent="0.2">
      <c r="B126" s="2" t="s">
        <v>266</v>
      </c>
      <c r="C126" s="20" t="s">
        <v>30</v>
      </c>
      <c r="D126" s="53"/>
      <c r="E126" s="53"/>
      <c r="F126" s="55">
        <f>User_Financial_Input!F126*(VLOOKUP(User_Financial_Input!$D$7,Unit_Map!$A$6:$C$8,3,0))/Unit_Map!B$3</f>
        <v>0</v>
      </c>
      <c r="G126" s="55">
        <f>User_Financial_Input!G126*(VLOOKUP(User_Financial_Input!$D$7,Unit_Map!$A$6:$C$8,3,0))/Unit_Map!C$3</f>
        <v>0</v>
      </c>
      <c r="H126" s="55">
        <f>User_Financial_Input!H126*(VLOOKUP(User_Financial_Input!$D$7,Unit_Map!$A$6:$C$8,3,0))/Unit_Map!D$3</f>
        <v>0</v>
      </c>
      <c r="I126" s="55">
        <f>User_Financial_Input!I126*(VLOOKUP(User_Financial_Input!$D$7,Unit_Map!$A$6:$C$8,3,0))/Unit_Map!E$3</f>
        <v>0</v>
      </c>
      <c r="J126" s="55">
        <f>User_Financial_Input!J126*(VLOOKUP(User_Financial_Input!$D$7,Unit_Map!$A$6:$C$8,3,0))/Unit_Map!F$3</f>
        <v>0</v>
      </c>
      <c r="K126" s="55">
        <f>User_Financial_Input!K126*(VLOOKUP(User_Financial_Input!$D$7,Unit_Map!$A$6:$C$8,3,0))/Unit_Map!G$3</f>
        <v>0</v>
      </c>
      <c r="L126" s="55">
        <f>User_Financial_Input!L126*(VLOOKUP(User_Financial_Input!$D$7,Unit_Map!$A$6:$C$8,3,0))/Unit_Map!H$3</f>
        <v>0</v>
      </c>
      <c r="M126" s="55">
        <f>User_Financial_Input!M126*(VLOOKUP(User_Financial_Input!$D$7,Unit_Map!$A$6:$C$8,3,0))/Unit_Map!I$3</f>
        <v>0</v>
      </c>
      <c r="N126" s="55">
        <f>User_Financial_Input!N126*(VLOOKUP(User_Financial_Input!$D$7,Unit_Map!$A$6:$C$8,3,0))/Unit_Map!J$3</f>
        <v>0</v>
      </c>
      <c r="O126" s="59">
        <f t="shared" si="28"/>
        <v>0</v>
      </c>
      <c r="P126" s="15"/>
      <c r="Q126" s="15"/>
      <c r="R126" s="15"/>
      <c r="S126" s="15"/>
      <c r="T126" s="15"/>
      <c r="U126" s="15"/>
      <c r="V126" s="15"/>
      <c r="W126" s="15"/>
      <c r="X126" s="15"/>
      <c r="Y126" s="15"/>
      <c r="Z126" s="15"/>
    </row>
    <row r="127" spans="2:26" x14ac:dyDescent="0.2">
      <c r="B127" s="53"/>
      <c r="C127" s="53"/>
      <c r="D127" s="53"/>
      <c r="E127" s="53"/>
      <c r="F127" s="53"/>
      <c r="G127" s="53"/>
      <c r="H127" s="53"/>
      <c r="I127" s="53"/>
      <c r="J127" s="53"/>
      <c r="K127" s="53"/>
      <c r="L127" s="53"/>
      <c r="M127" s="53"/>
      <c r="N127" s="53"/>
      <c r="O127" s="53"/>
      <c r="P127" s="15"/>
      <c r="Q127" s="15"/>
      <c r="R127" s="15"/>
      <c r="S127" s="15"/>
      <c r="T127" s="15"/>
      <c r="U127" s="15"/>
      <c r="V127" s="15"/>
      <c r="W127" s="15"/>
      <c r="X127" s="15"/>
      <c r="Y127" s="15"/>
      <c r="Z127" s="15"/>
    </row>
    <row r="128" spans="2:26" x14ac:dyDescent="0.2">
      <c r="B128" s="13" t="s">
        <v>267</v>
      </c>
      <c r="C128" s="19" t="s">
        <v>89</v>
      </c>
      <c r="D128" s="53"/>
      <c r="E128" s="53"/>
      <c r="F128" s="154">
        <f>SUM(F118,F120)</f>
        <v>0</v>
      </c>
      <c r="G128" s="154">
        <f t="shared" ref="G128:N128" si="29">SUM(G118,G120)</f>
        <v>0</v>
      </c>
      <c r="H128" s="154">
        <f t="shared" si="29"/>
        <v>0</v>
      </c>
      <c r="I128" s="154">
        <f t="shared" si="29"/>
        <v>0</v>
      </c>
      <c r="J128" s="154">
        <f t="shared" si="29"/>
        <v>0</v>
      </c>
      <c r="K128" s="154">
        <f t="shared" si="29"/>
        <v>0</v>
      </c>
      <c r="L128" s="154">
        <f t="shared" si="29"/>
        <v>0</v>
      </c>
      <c r="M128" s="154">
        <f>SUM(M118,M120)</f>
        <v>0</v>
      </c>
      <c r="N128" s="154">
        <f t="shared" si="29"/>
        <v>0</v>
      </c>
      <c r="O128" s="314">
        <f t="shared" ref="O128:O133" si="30">J128</f>
        <v>0</v>
      </c>
      <c r="P128" s="15"/>
      <c r="Q128" s="15"/>
      <c r="R128" s="15"/>
      <c r="S128" s="15"/>
      <c r="T128" s="15"/>
      <c r="U128" s="15"/>
      <c r="V128" s="15"/>
      <c r="W128" s="15"/>
      <c r="X128" s="15"/>
      <c r="Y128" s="15"/>
      <c r="Z128" s="15"/>
    </row>
    <row r="129" spans="1:26" ht="15" x14ac:dyDescent="0.25">
      <c r="A129" t="s">
        <v>696</v>
      </c>
      <c r="B129" s="53"/>
      <c r="C129" s="53"/>
      <c r="D129" s="53"/>
      <c r="E129" s="60" t="s">
        <v>90</v>
      </c>
      <c r="F129" s="61">
        <f>ROUND(F93-F128,0)</f>
        <v>0</v>
      </c>
      <c r="G129" s="61">
        <f t="shared" ref="G129:O129" si="31">ROUND(G93-G128,0)</f>
        <v>0</v>
      </c>
      <c r="H129" s="61">
        <f t="shared" si="31"/>
        <v>0</v>
      </c>
      <c r="I129" s="61">
        <f t="shared" si="31"/>
        <v>0</v>
      </c>
      <c r="J129" s="61">
        <f t="shared" si="31"/>
        <v>0</v>
      </c>
      <c r="K129" s="61">
        <f t="shared" si="31"/>
        <v>0</v>
      </c>
      <c r="L129" s="61">
        <f t="shared" si="31"/>
        <v>0</v>
      </c>
      <c r="M129" s="61">
        <f t="shared" si="31"/>
        <v>0</v>
      </c>
      <c r="N129" s="61">
        <f t="shared" si="31"/>
        <v>0</v>
      </c>
      <c r="O129" s="61">
        <f t="shared" si="31"/>
        <v>0</v>
      </c>
      <c r="P129" s="15"/>
      <c r="Q129" s="15"/>
      <c r="R129" s="15"/>
      <c r="S129" s="15"/>
      <c r="T129" s="15"/>
      <c r="U129" s="15"/>
      <c r="V129" s="15"/>
      <c r="W129" s="15"/>
      <c r="X129" s="15"/>
      <c r="Y129" s="15"/>
      <c r="Z129" s="15"/>
    </row>
    <row r="130" spans="1:26" x14ac:dyDescent="0.2">
      <c r="B130" s="13" t="s">
        <v>1330</v>
      </c>
      <c r="C130" s="22" t="s">
        <v>444</v>
      </c>
      <c r="D130" s="53"/>
      <c r="E130" s="53"/>
      <c r="F130" s="154">
        <f>SUM(F131:F133)</f>
        <v>0</v>
      </c>
      <c r="G130" s="154">
        <f t="shared" ref="G130:N130" si="32">SUM(G131:G133)</f>
        <v>0</v>
      </c>
      <c r="H130" s="154">
        <f t="shared" si="32"/>
        <v>0</v>
      </c>
      <c r="I130" s="154">
        <f t="shared" si="32"/>
        <v>0</v>
      </c>
      <c r="J130" s="154">
        <f t="shared" si="32"/>
        <v>0</v>
      </c>
      <c r="K130" s="154">
        <f t="shared" si="32"/>
        <v>0</v>
      </c>
      <c r="L130" s="154">
        <f t="shared" si="32"/>
        <v>0</v>
      </c>
      <c r="M130" s="154">
        <f t="shared" si="32"/>
        <v>0</v>
      </c>
      <c r="N130" s="154">
        <f t="shared" si="32"/>
        <v>0</v>
      </c>
      <c r="O130" s="314">
        <f t="shared" si="30"/>
        <v>0</v>
      </c>
      <c r="P130" s="15"/>
      <c r="Q130" s="15"/>
      <c r="R130" s="15"/>
      <c r="S130" s="15"/>
      <c r="T130" s="15"/>
      <c r="U130" s="15"/>
      <c r="V130" s="15"/>
      <c r="W130" s="15"/>
      <c r="X130" s="15"/>
      <c r="Y130" s="15"/>
      <c r="Z130" s="15"/>
    </row>
    <row r="131" spans="1:26" x14ac:dyDescent="0.2">
      <c r="B131" s="2" t="s">
        <v>443</v>
      </c>
      <c r="C131" s="23" t="s">
        <v>445</v>
      </c>
      <c r="D131" s="53"/>
      <c r="E131" s="53"/>
      <c r="F131" s="55">
        <f>User_Financial_Input!F131*(VLOOKUP(User_Financial_Input!$D$7,Unit_Map!$A$6:$C$8,3,0))/Unit_Map!B$3</f>
        <v>0</v>
      </c>
      <c r="G131" s="55">
        <f>User_Financial_Input!G131*(VLOOKUP(User_Financial_Input!$D$7,Unit_Map!$A$6:$C$8,3,0))/Unit_Map!C$3</f>
        <v>0</v>
      </c>
      <c r="H131" s="55">
        <f>User_Financial_Input!H131*(VLOOKUP(User_Financial_Input!$D$7,Unit_Map!$A$6:$C$8,3,0))/Unit_Map!D$3</f>
        <v>0</v>
      </c>
      <c r="I131" s="55">
        <f>User_Financial_Input!I131*(VLOOKUP(User_Financial_Input!$D$7,Unit_Map!$A$6:$C$8,3,0))/Unit_Map!E$3</f>
        <v>0</v>
      </c>
      <c r="J131" s="55">
        <f>User_Financial_Input!J131*(VLOOKUP(User_Financial_Input!$D$7,Unit_Map!$A$6:$C$8,3,0))/Unit_Map!F$3</f>
        <v>0</v>
      </c>
      <c r="K131" s="55">
        <f>User_Financial_Input!K131*(VLOOKUP(User_Financial_Input!$D$7,Unit_Map!$A$6:$C$8,3,0))/Unit_Map!G$3</f>
        <v>0</v>
      </c>
      <c r="L131" s="55">
        <f>User_Financial_Input!L131*(VLOOKUP(User_Financial_Input!$D$7,Unit_Map!$A$6:$C$8,3,0))/Unit_Map!H$3</f>
        <v>0</v>
      </c>
      <c r="M131" s="55">
        <f>User_Financial_Input!M131*(VLOOKUP(User_Financial_Input!$D$7,Unit_Map!$A$6:$C$8,3,0))/Unit_Map!I$3</f>
        <v>0</v>
      </c>
      <c r="N131" s="55">
        <f>User_Financial_Input!N131*(VLOOKUP(User_Financial_Input!$D$7,Unit_Map!$A$6:$C$8,3,0))/Unit_Map!J$3</f>
        <v>0</v>
      </c>
      <c r="O131" s="59">
        <f t="shared" si="30"/>
        <v>0</v>
      </c>
      <c r="P131" s="15"/>
      <c r="Q131" s="15"/>
      <c r="R131" s="15"/>
      <c r="S131" s="15"/>
      <c r="T131" s="15"/>
      <c r="U131" s="15"/>
      <c r="V131" s="15"/>
      <c r="W131" s="15"/>
      <c r="X131" s="15"/>
      <c r="Y131" s="15"/>
      <c r="Z131" s="15"/>
    </row>
    <row r="132" spans="1:26" x14ac:dyDescent="0.2">
      <c r="B132" s="2" t="s">
        <v>1331</v>
      </c>
      <c r="C132" s="23" t="s">
        <v>446</v>
      </c>
      <c r="D132" s="53"/>
      <c r="E132" s="53"/>
      <c r="F132" s="55">
        <f>User_Financial_Input!F132*(VLOOKUP(User_Financial_Input!$D$7,Unit_Map!$A$6:$C$8,3,0))/Unit_Map!B$3</f>
        <v>0</v>
      </c>
      <c r="G132" s="55">
        <f>User_Financial_Input!G132*(VLOOKUP(User_Financial_Input!$D$7,Unit_Map!$A$6:$C$8,3,0))/Unit_Map!C$3</f>
        <v>0</v>
      </c>
      <c r="H132" s="55">
        <f>User_Financial_Input!H132*(VLOOKUP(User_Financial_Input!$D$7,Unit_Map!$A$6:$C$8,3,0))/Unit_Map!D$3</f>
        <v>0</v>
      </c>
      <c r="I132" s="55">
        <f>User_Financial_Input!I132*(VLOOKUP(User_Financial_Input!$D$7,Unit_Map!$A$6:$C$8,3,0))/Unit_Map!E$3</f>
        <v>0</v>
      </c>
      <c r="J132" s="55">
        <f>User_Financial_Input!J132*(VLOOKUP(User_Financial_Input!$D$7,Unit_Map!$A$6:$C$8,3,0))/Unit_Map!F$3</f>
        <v>0</v>
      </c>
      <c r="K132" s="55">
        <f>User_Financial_Input!K132*(VLOOKUP(User_Financial_Input!$D$7,Unit_Map!$A$6:$C$8,3,0))/Unit_Map!G$3</f>
        <v>0</v>
      </c>
      <c r="L132" s="55">
        <f>User_Financial_Input!L132*(VLOOKUP(User_Financial_Input!$D$7,Unit_Map!$A$6:$C$8,3,0))/Unit_Map!H$3</f>
        <v>0</v>
      </c>
      <c r="M132" s="55">
        <f>User_Financial_Input!M132*(VLOOKUP(User_Financial_Input!$D$7,Unit_Map!$A$6:$C$8,3,0))/Unit_Map!I$3</f>
        <v>0</v>
      </c>
      <c r="N132" s="55">
        <f>User_Financial_Input!N132*(VLOOKUP(User_Financial_Input!$D$7,Unit_Map!$A$6:$C$8,3,0))/Unit_Map!J$3</f>
        <v>0</v>
      </c>
      <c r="O132" s="59">
        <f t="shared" si="30"/>
        <v>0</v>
      </c>
      <c r="P132" s="15"/>
      <c r="Q132" s="15"/>
      <c r="R132" s="15"/>
      <c r="S132" s="15"/>
      <c r="T132" s="15"/>
      <c r="U132" s="15"/>
      <c r="V132" s="15"/>
      <c r="W132" s="15"/>
      <c r="X132" s="15"/>
      <c r="Y132" s="15"/>
      <c r="Z132" s="15"/>
    </row>
    <row r="133" spans="1:26" x14ac:dyDescent="0.2">
      <c r="B133" s="2" t="s">
        <v>1332</v>
      </c>
      <c r="C133" s="23" t="s">
        <v>447</v>
      </c>
      <c r="D133" s="53"/>
      <c r="E133" s="53"/>
      <c r="F133" s="55">
        <f>User_Financial_Input!F133*(VLOOKUP(User_Financial_Input!$D$7,Unit_Map!$A$6:$C$8,3,0))/Unit_Map!B$3</f>
        <v>0</v>
      </c>
      <c r="G133" s="55">
        <f>User_Financial_Input!G133*(VLOOKUP(User_Financial_Input!$D$7,Unit_Map!$A$6:$C$8,3,0))/Unit_Map!C$3</f>
        <v>0</v>
      </c>
      <c r="H133" s="55">
        <f>User_Financial_Input!H133*(VLOOKUP(User_Financial_Input!$D$7,Unit_Map!$A$6:$C$8,3,0))/Unit_Map!D$3</f>
        <v>0</v>
      </c>
      <c r="I133" s="55">
        <f>User_Financial_Input!I133*(VLOOKUP(User_Financial_Input!$D$7,Unit_Map!$A$6:$C$8,3,0))/Unit_Map!E$3</f>
        <v>0</v>
      </c>
      <c r="J133" s="55">
        <f>User_Financial_Input!J133*(VLOOKUP(User_Financial_Input!$D$7,Unit_Map!$A$6:$C$8,3,0))/Unit_Map!F$3</f>
        <v>0</v>
      </c>
      <c r="K133" s="55">
        <f>User_Financial_Input!K133*(VLOOKUP(User_Financial_Input!$D$7,Unit_Map!$A$6:$C$8,3,0))/Unit_Map!G$3</f>
        <v>0</v>
      </c>
      <c r="L133" s="55">
        <f>User_Financial_Input!L133*(VLOOKUP(User_Financial_Input!$D$7,Unit_Map!$A$6:$C$8,3,0))/Unit_Map!H$3</f>
        <v>0</v>
      </c>
      <c r="M133" s="55">
        <f>User_Financial_Input!M133*(VLOOKUP(User_Financial_Input!$D$7,Unit_Map!$A$6:$C$8,3,0))/Unit_Map!I$3</f>
        <v>0</v>
      </c>
      <c r="N133" s="55">
        <f>User_Financial_Input!N133*(VLOOKUP(User_Financial_Input!$D$7,Unit_Map!$A$6:$C$8,3,0))/Unit_Map!J$3</f>
        <v>0</v>
      </c>
      <c r="O133" s="59">
        <f t="shared" si="30"/>
        <v>0</v>
      </c>
      <c r="P133" s="15"/>
      <c r="Q133" s="15"/>
      <c r="R133" s="15"/>
      <c r="S133" s="15"/>
      <c r="T133" s="15"/>
      <c r="U133" s="15"/>
      <c r="V133" s="15"/>
      <c r="W133" s="15"/>
      <c r="X133" s="15"/>
      <c r="Y133" s="15"/>
      <c r="Z133" s="15"/>
    </row>
    <row r="134" spans="1:26" x14ac:dyDescent="0.2">
      <c r="C134" s="24"/>
      <c r="D134" s="24"/>
      <c r="E134" s="4"/>
      <c r="F134" s="3"/>
      <c r="G134" s="3"/>
      <c r="H134" s="3"/>
      <c r="I134" s="3"/>
      <c r="J134" s="3"/>
      <c r="K134" s="3"/>
      <c r="L134" s="3"/>
      <c r="M134" s="3"/>
      <c r="N134" s="3"/>
      <c r="O134" s="3"/>
      <c r="P134" s="15"/>
      <c r="Q134" s="15"/>
      <c r="R134" s="15"/>
      <c r="S134" s="15"/>
      <c r="T134" s="15"/>
      <c r="U134" s="15"/>
      <c r="V134" s="15"/>
      <c r="W134" s="15"/>
      <c r="X134" s="15"/>
      <c r="Y134" s="15"/>
      <c r="Z134" s="15"/>
    </row>
    <row r="135" spans="1:26" x14ac:dyDescent="0.2">
      <c r="C135" s="24"/>
      <c r="D135" s="24"/>
      <c r="E135" s="4"/>
      <c r="F135" s="3"/>
      <c r="G135" s="3"/>
      <c r="H135" s="3"/>
      <c r="I135" s="3"/>
      <c r="J135" s="3"/>
      <c r="K135" s="3"/>
      <c r="L135" s="3"/>
      <c r="M135" s="3"/>
      <c r="N135" s="3"/>
      <c r="O135" s="3"/>
      <c r="P135" s="15"/>
      <c r="Q135" s="15"/>
      <c r="R135" s="15"/>
      <c r="S135" s="15"/>
      <c r="T135" s="15"/>
      <c r="U135" s="15"/>
      <c r="V135" s="15"/>
      <c r="W135" s="15"/>
      <c r="X135" s="15"/>
      <c r="Y135" s="15"/>
      <c r="Z135" s="15"/>
    </row>
    <row r="136" spans="1:26" ht="38.25" x14ac:dyDescent="0.2">
      <c r="B136" s="232" t="s">
        <v>142</v>
      </c>
      <c r="C136" s="19" t="s">
        <v>959</v>
      </c>
      <c r="D136" s="152"/>
      <c r="E136" s="262" t="s">
        <v>70</v>
      </c>
      <c r="F136" s="321" t="s">
        <v>63</v>
      </c>
      <c r="G136" s="322"/>
      <c r="H136" s="322"/>
      <c r="I136" s="323"/>
      <c r="J136" s="264" t="s">
        <v>829</v>
      </c>
      <c r="K136" s="264" t="s">
        <v>76</v>
      </c>
      <c r="L136" s="264" t="s">
        <v>75</v>
      </c>
      <c r="M136" s="264" t="s">
        <v>74</v>
      </c>
      <c r="N136" s="264" t="s">
        <v>73</v>
      </c>
      <c r="O136" s="264" t="s">
        <v>71</v>
      </c>
      <c r="P136" s="15"/>
      <c r="Q136" s="15"/>
      <c r="R136" s="15"/>
      <c r="S136" s="15"/>
      <c r="T136" s="15"/>
      <c r="U136" s="15"/>
      <c r="V136" s="15"/>
      <c r="W136" s="15"/>
      <c r="X136" s="15"/>
      <c r="Y136" s="15"/>
      <c r="Z136" s="15"/>
    </row>
    <row r="137" spans="1:26" x14ac:dyDescent="0.2">
      <c r="B137" s="232"/>
      <c r="C137" s="235"/>
      <c r="D137" s="153"/>
      <c r="E137" s="263" t="s">
        <v>87</v>
      </c>
      <c r="F137" s="148">
        <f t="shared" ref="F137:O137" si="33">F11</f>
        <v>41906.600000000006</v>
      </c>
      <c r="G137" s="148">
        <f t="shared" si="33"/>
        <v>41999.200000000004</v>
      </c>
      <c r="H137" s="148">
        <f t="shared" si="33"/>
        <v>42091.8</v>
      </c>
      <c r="I137" s="148">
        <f t="shared" si="33"/>
        <v>42184.4</v>
      </c>
      <c r="J137" s="148">
        <f t="shared" si="33"/>
        <v>42277</v>
      </c>
      <c r="K137" s="265">
        <f t="shared" si="33"/>
        <v>40905</v>
      </c>
      <c r="L137" s="265">
        <f t="shared" si="33"/>
        <v>41271</v>
      </c>
      <c r="M137" s="265">
        <f t="shared" si="33"/>
        <v>41637</v>
      </c>
      <c r="N137" s="265">
        <f t="shared" si="33"/>
        <v>42003</v>
      </c>
      <c r="O137" s="148">
        <f t="shared" si="33"/>
        <v>42277</v>
      </c>
      <c r="P137" s="15"/>
      <c r="Q137" s="15"/>
      <c r="R137" s="15"/>
      <c r="S137" s="15"/>
      <c r="T137" s="15"/>
      <c r="U137" s="15"/>
      <c r="V137" s="15"/>
      <c r="W137" s="15"/>
      <c r="X137" s="15"/>
      <c r="Y137" s="15"/>
      <c r="Z137" s="15"/>
    </row>
    <row r="138" spans="1:26" x14ac:dyDescent="0.2">
      <c r="B138" s="248"/>
      <c r="C138" s="248"/>
      <c r="D138" s="67"/>
      <c r="E138" s="248"/>
      <c r="F138" s="248"/>
      <c r="G138" s="248"/>
      <c r="H138" s="248"/>
      <c r="I138" s="248"/>
      <c r="J138" s="248"/>
      <c r="K138" s="248"/>
      <c r="L138" s="248"/>
      <c r="M138" s="248"/>
      <c r="N138" s="248"/>
      <c r="O138" s="248"/>
      <c r="P138" s="15"/>
      <c r="Q138" s="15"/>
      <c r="R138" s="15"/>
      <c r="S138" s="15"/>
      <c r="T138" s="15"/>
      <c r="U138" s="15"/>
      <c r="V138" s="15"/>
      <c r="W138" s="15"/>
      <c r="X138" s="15"/>
      <c r="Y138" s="15"/>
      <c r="Z138" s="15"/>
    </row>
    <row r="139" spans="1:26" x14ac:dyDescent="0.2">
      <c r="B139" s="232" t="s">
        <v>268</v>
      </c>
      <c r="C139" s="19" t="s">
        <v>33</v>
      </c>
      <c r="D139" s="67"/>
      <c r="E139" s="248"/>
      <c r="F139" s="248"/>
      <c r="G139" s="68">
        <f>SUM(G140:G141,G142,G148)</f>
        <v>0</v>
      </c>
      <c r="H139" s="68">
        <f>SUM(H140:H141,H142,H148)</f>
        <v>0</v>
      </c>
      <c r="I139" s="68">
        <f>SUM(I140:I141,I142,I148)</f>
        <v>0</v>
      </c>
      <c r="J139" s="68">
        <f>SUM(J140:J141,J142,J148)</f>
        <v>0</v>
      </c>
      <c r="K139" s="248"/>
      <c r="L139" s="68">
        <f>SUM(L140:L141,L142,L148)</f>
        <v>0</v>
      </c>
      <c r="M139" s="68">
        <f>SUM(M140:M141,M142,M148)</f>
        <v>0</v>
      </c>
      <c r="N139" s="68">
        <f>SUM(N140:N141,N142,N148)</f>
        <v>0</v>
      </c>
      <c r="O139" s="318">
        <f>SUM(O140:O141,O142,O148)</f>
        <v>0</v>
      </c>
      <c r="P139" s="15"/>
      <c r="Q139" s="15"/>
      <c r="R139" s="15"/>
      <c r="S139" s="15"/>
      <c r="T139" s="15"/>
      <c r="U139" s="15"/>
      <c r="V139" s="15"/>
      <c r="W139" s="15"/>
      <c r="X139" s="15"/>
      <c r="Y139" s="15"/>
      <c r="Z139" s="15"/>
    </row>
    <row r="140" spans="1:26" x14ac:dyDescent="0.2">
      <c r="B140" s="229" t="s">
        <v>269</v>
      </c>
      <c r="C140" s="235" t="s">
        <v>122</v>
      </c>
      <c r="D140" s="67"/>
      <c r="E140" s="248"/>
      <c r="F140" s="248"/>
      <c r="G140" s="68">
        <f>G51</f>
        <v>0</v>
      </c>
      <c r="H140" s="68">
        <f>H51</f>
        <v>0</v>
      </c>
      <c r="I140" s="68">
        <f>I51</f>
        <v>0</v>
      </c>
      <c r="J140" s="68">
        <f>J51</f>
        <v>0</v>
      </c>
      <c r="K140" s="248"/>
      <c r="L140" s="68">
        <f>L51</f>
        <v>0</v>
      </c>
      <c r="M140" s="68">
        <f>M51</f>
        <v>0</v>
      </c>
      <c r="N140" s="68">
        <f>N51</f>
        <v>0</v>
      </c>
      <c r="O140" s="318">
        <f>O51</f>
        <v>0</v>
      </c>
      <c r="P140" s="15"/>
      <c r="Q140" s="15"/>
      <c r="R140" s="15"/>
      <c r="S140" s="15"/>
      <c r="T140" s="15"/>
      <c r="U140" s="15"/>
      <c r="V140" s="15"/>
      <c r="W140" s="15"/>
      <c r="X140" s="15"/>
      <c r="Y140" s="15"/>
      <c r="Z140" s="15"/>
    </row>
    <row r="141" spans="1:26" x14ac:dyDescent="0.2">
      <c r="B141" s="229" t="s">
        <v>270</v>
      </c>
      <c r="C141" s="235" t="s">
        <v>36</v>
      </c>
      <c r="D141" s="67"/>
      <c r="E141" s="248"/>
      <c r="F141" s="248"/>
      <c r="G141" s="68">
        <f>(G65-F65)-SUM(G140,G142,G148,G152,G157)</f>
        <v>0</v>
      </c>
      <c r="H141" s="68">
        <f>(H65-G65)-SUM(H140,H142,H148,H152,H157)</f>
        <v>0</v>
      </c>
      <c r="I141" s="68">
        <f>(I65-H65)-SUM(I140,I142,I148,I152,I157)</f>
        <v>0</v>
      </c>
      <c r="J141" s="68">
        <f>(J65-I65)-SUM(J140,J142,J148,J152,J157)</f>
        <v>0</v>
      </c>
      <c r="K141" s="248"/>
      <c r="L141" s="68">
        <f>(L65-K65)-SUM(L140,L142,L148,L152,L157)</f>
        <v>0</v>
      </c>
      <c r="M141" s="68">
        <f>(M65-L65)-SUM(M140,M142,M148,M152,M157)</f>
        <v>0</v>
      </c>
      <c r="N141" s="68">
        <f>(N65-M65)-SUM(N140,N142,N148,N152,N157)</f>
        <v>0</v>
      </c>
      <c r="O141" s="318">
        <f>(O65-F65)-SUM(O140,O142,O148,O152,O157)</f>
        <v>0</v>
      </c>
      <c r="P141" s="15"/>
      <c r="Q141" s="69"/>
      <c r="R141" s="15"/>
      <c r="S141" s="15"/>
      <c r="T141" s="15"/>
      <c r="U141" s="15"/>
      <c r="V141" s="15"/>
      <c r="W141" s="15"/>
      <c r="X141" s="15"/>
      <c r="Y141" s="15"/>
      <c r="Z141" s="15"/>
    </row>
    <row r="142" spans="1:26" x14ac:dyDescent="0.2">
      <c r="B142" s="229" t="s">
        <v>271</v>
      </c>
      <c r="C142" s="235" t="s">
        <v>35</v>
      </c>
      <c r="D142" s="67"/>
      <c r="E142" s="248"/>
      <c r="F142" s="248"/>
      <c r="G142" s="68">
        <f>SUM(G143:G147)</f>
        <v>0</v>
      </c>
      <c r="H142" s="68">
        <f>SUM(H143:H147)</f>
        <v>0</v>
      </c>
      <c r="I142" s="68">
        <f>SUM(I143:I147)</f>
        <v>0</v>
      </c>
      <c r="J142" s="68">
        <f>SUM(J143:J147)</f>
        <v>0</v>
      </c>
      <c r="K142" s="248"/>
      <c r="L142" s="68">
        <f>SUM(L143:L147)</f>
        <v>0</v>
      </c>
      <c r="M142" s="68">
        <f>SUM(M143:M147)</f>
        <v>0</v>
      </c>
      <c r="N142" s="68">
        <f>SUM(N143:N147)</f>
        <v>0</v>
      </c>
      <c r="O142" s="318">
        <f>SUM(O143:O147)</f>
        <v>0</v>
      </c>
      <c r="P142" s="15"/>
      <c r="Q142" s="15"/>
      <c r="R142" s="15"/>
      <c r="S142" s="15"/>
      <c r="T142" s="15"/>
      <c r="U142" s="15"/>
      <c r="V142" s="15"/>
      <c r="W142" s="15"/>
      <c r="X142" s="15"/>
      <c r="Y142" s="15"/>
      <c r="Z142" s="15"/>
    </row>
    <row r="143" spans="1:26" x14ac:dyDescent="0.2">
      <c r="B143" s="229" t="s">
        <v>272</v>
      </c>
      <c r="C143" s="236" t="s">
        <v>37</v>
      </c>
      <c r="D143" s="67"/>
      <c r="E143" s="248"/>
      <c r="F143" s="248"/>
      <c r="G143" s="68">
        <f t="shared" ref="G143:J144" si="34">-(G67-F67)</f>
        <v>0</v>
      </c>
      <c r="H143" s="68">
        <f t="shared" si="34"/>
        <v>0</v>
      </c>
      <c r="I143" s="68">
        <f t="shared" si="34"/>
        <v>0</v>
      </c>
      <c r="J143" s="68">
        <f t="shared" si="34"/>
        <v>0</v>
      </c>
      <c r="K143" s="248"/>
      <c r="L143" s="68">
        <f t="shared" ref="L143:N144" si="35">-(L67-K67)</f>
        <v>0</v>
      </c>
      <c r="M143" s="68">
        <f t="shared" si="35"/>
        <v>0</v>
      </c>
      <c r="N143" s="68">
        <f t="shared" si="35"/>
        <v>0</v>
      </c>
      <c r="O143" s="318">
        <f>-(O67-F67)</f>
        <v>0</v>
      </c>
      <c r="P143" s="15"/>
      <c r="Q143" s="15"/>
      <c r="R143" s="15"/>
      <c r="S143" s="15"/>
      <c r="T143" s="15"/>
      <c r="U143" s="15"/>
      <c r="V143" s="15"/>
      <c r="W143" s="15"/>
      <c r="X143" s="15"/>
      <c r="Y143" s="15"/>
      <c r="Z143" s="15"/>
    </row>
    <row r="144" spans="1:26" x14ac:dyDescent="0.2">
      <c r="B144" s="229" t="s">
        <v>273</v>
      </c>
      <c r="C144" s="236" t="s">
        <v>38</v>
      </c>
      <c r="D144" s="67"/>
      <c r="E144" s="248"/>
      <c r="F144" s="248"/>
      <c r="G144" s="68">
        <f t="shared" si="34"/>
        <v>0</v>
      </c>
      <c r="H144" s="68">
        <f t="shared" si="34"/>
        <v>0</v>
      </c>
      <c r="I144" s="68">
        <f t="shared" si="34"/>
        <v>0</v>
      </c>
      <c r="J144" s="68">
        <f t="shared" si="34"/>
        <v>0</v>
      </c>
      <c r="K144" s="248"/>
      <c r="L144" s="68">
        <f t="shared" si="35"/>
        <v>0</v>
      </c>
      <c r="M144" s="68">
        <f t="shared" si="35"/>
        <v>0</v>
      </c>
      <c r="N144" s="68">
        <f t="shared" si="35"/>
        <v>0</v>
      </c>
      <c r="O144" s="318">
        <f>-(O68-F68)</f>
        <v>0</v>
      </c>
      <c r="P144" s="15"/>
      <c r="Q144" s="15"/>
      <c r="R144" s="15"/>
      <c r="S144" s="15"/>
      <c r="T144" s="15"/>
      <c r="U144" s="15"/>
      <c r="V144" s="15"/>
      <c r="W144" s="15"/>
      <c r="X144" s="15"/>
      <c r="Y144" s="15"/>
      <c r="Z144" s="15"/>
    </row>
    <row r="145" spans="2:26" x14ac:dyDescent="0.2">
      <c r="B145" s="229" t="s">
        <v>274</v>
      </c>
      <c r="C145" s="236" t="s">
        <v>39</v>
      </c>
      <c r="D145" s="67"/>
      <c r="E145" s="248"/>
      <c r="F145" s="248"/>
      <c r="G145" s="68">
        <f>G96-F96</f>
        <v>0</v>
      </c>
      <c r="H145" s="68">
        <f>H96-G96</f>
        <v>0</v>
      </c>
      <c r="I145" s="68">
        <f>I96-H96</f>
        <v>0</v>
      </c>
      <c r="J145" s="68">
        <f>J96-I96</f>
        <v>0</v>
      </c>
      <c r="K145" s="248"/>
      <c r="L145" s="68">
        <f>L96-K96</f>
        <v>0</v>
      </c>
      <c r="M145" s="68">
        <f>M96-L96</f>
        <v>0</v>
      </c>
      <c r="N145" s="68">
        <f>N96-M96</f>
        <v>0</v>
      </c>
      <c r="O145" s="318">
        <f>O96-F96</f>
        <v>0</v>
      </c>
      <c r="P145" s="15"/>
      <c r="Q145" s="15"/>
      <c r="R145" s="15"/>
      <c r="S145" s="15"/>
      <c r="T145" s="15"/>
      <c r="U145" s="15"/>
      <c r="V145" s="15"/>
      <c r="W145" s="15"/>
      <c r="X145" s="15"/>
      <c r="Y145" s="15"/>
      <c r="Z145" s="15"/>
    </row>
    <row r="146" spans="2:26" x14ac:dyDescent="0.2">
      <c r="B146" s="229" t="s">
        <v>275</v>
      </c>
      <c r="C146" s="236" t="s">
        <v>279</v>
      </c>
      <c r="D146" s="67"/>
      <c r="E146" s="248"/>
      <c r="F146" s="248"/>
      <c r="G146" s="68">
        <f>-(G69-F69)</f>
        <v>0</v>
      </c>
      <c r="H146" s="68">
        <f>-(H69-G69)</f>
        <v>0</v>
      </c>
      <c r="I146" s="68">
        <f>-(I69-H69)</f>
        <v>0</v>
      </c>
      <c r="J146" s="68">
        <f>-(J69-I69)</f>
        <v>0</v>
      </c>
      <c r="K146" s="248"/>
      <c r="L146" s="68">
        <f>-(L69-K69)</f>
        <v>0</v>
      </c>
      <c r="M146" s="68">
        <f>-(M69-L69)</f>
        <v>0</v>
      </c>
      <c r="N146" s="68">
        <f>-(N69-M69)</f>
        <v>0</v>
      </c>
      <c r="O146" s="318">
        <f>-(O69-F69)</f>
        <v>0</v>
      </c>
      <c r="P146" s="15"/>
      <c r="Q146" s="15"/>
      <c r="R146" s="15"/>
      <c r="S146" s="15"/>
      <c r="T146" s="15"/>
      <c r="U146" s="15"/>
      <c r="V146" s="15"/>
      <c r="W146" s="15"/>
      <c r="X146" s="15"/>
      <c r="Y146" s="15"/>
      <c r="Z146" s="15"/>
    </row>
    <row r="147" spans="2:26" x14ac:dyDescent="0.2">
      <c r="B147" s="229" t="s">
        <v>392</v>
      </c>
      <c r="C147" s="236" t="s">
        <v>281</v>
      </c>
      <c r="D147" s="67"/>
      <c r="E147" s="248"/>
      <c r="F147" s="248"/>
      <c r="G147" s="68">
        <f>G99-F99</f>
        <v>0</v>
      </c>
      <c r="H147" s="68">
        <f>H99-G99</f>
        <v>0</v>
      </c>
      <c r="I147" s="68">
        <f>I99-H99</f>
        <v>0</v>
      </c>
      <c r="J147" s="68">
        <f>J99-I99</f>
        <v>0</v>
      </c>
      <c r="K147" s="248"/>
      <c r="L147" s="68">
        <f>L99-K99</f>
        <v>0</v>
      </c>
      <c r="M147" s="68">
        <f>M99-L99</f>
        <v>0</v>
      </c>
      <c r="N147" s="68">
        <f>N99-M99</f>
        <v>0</v>
      </c>
      <c r="O147" s="318">
        <f>O99-F99</f>
        <v>0</v>
      </c>
      <c r="P147" s="15"/>
      <c r="Q147" s="15"/>
      <c r="R147" s="15"/>
      <c r="S147" s="15"/>
      <c r="T147" s="15"/>
      <c r="U147" s="15"/>
      <c r="V147" s="15"/>
      <c r="W147" s="15"/>
      <c r="X147" s="15"/>
      <c r="Y147" s="15"/>
      <c r="Z147" s="15"/>
    </row>
    <row r="148" spans="2:26" x14ac:dyDescent="0.2">
      <c r="B148" s="229" t="s">
        <v>276</v>
      </c>
      <c r="C148" s="235" t="s">
        <v>393</v>
      </c>
      <c r="D148" s="67"/>
      <c r="E148" s="248"/>
      <c r="F148" s="248"/>
      <c r="G148" s="68">
        <f>SUM(G149:G150)</f>
        <v>0</v>
      </c>
      <c r="H148" s="68">
        <f>SUM(H149:H150)</f>
        <v>0</v>
      </c>
      <c r="I148" s="68">
        <f>SUM(I149:I150)</f>
        <v>0</v>
      </c>
      <c r="J148" s="68">
        <f>SUM(J149:J150)</f>
        <v>0</v>
      </c>
      <c r="K148" s="248"/>
      <c r="L148" s="68">
        <f>SUM(L149:L150)</f>
        <v>0</v>
      </c>
      <c r="M148" s="68">
        <f>SUM(M149:M150)</f>
        <v>0</v>
      </c>
      <c r="N148" s="68">
        <f>SUM(N149:N150)</f>
        <v>0</v>
      </c>
      <c r="O148" s="318">
        <f>SUM(O149:O150)</f>
        <v>0</v>
      </c>
      <c r="P148" s="15"/>
      <c r="Q148" s="15"/>
      <c r="R148" s="15"/>
      <c r="S148" s="15"/>
      <c r="T148" s="15"/>
      <c r="U148" s="15"/>
      <c r="V148" s="15"/>
      <c r="W148" s="15"/>
      <c r="X148" s="15"/>
      <c r="Y148" s="15"/>
      <c r="Z148" s="15"/>
    </row>
    <row r="149" spans="2:26" x14ac:dyDescent="0.2">
      <c r="B149" s="229" t="s">
        <v>277</v>
      </c>
      <c r="C149" s="236" t="s">
        <v>280</v>
      </c>
      <c r="D149" s="67"/>
      <c r="E149" s="248"/>
      <c r="F149" s="248"/>
      <c r="G149" s="68">
        <f>-(G85-F85)</f>
        <v>0</v>
      </c>
      <c r="H149" s="68">
        <f>-(H85-G85)</f>
        <v>0</v>
      </c>
      <c r="I149" s="68">
        <f>-(I85-H85)</f>
        <v>0</v>
      </c>
      <c r="J149" s="68">
        <f>-(J85-I85)</f>
        <v>0</v>
      </c>
      <c r="K149" s="248"/>
      <c r="L149" s="68">
        <f>-(L85-K85)</f>
        <v>0</v>
      </c>
      <c r="M149" s="68">
        <f>-(M85-L85)</f>
        <v>0</v>
      </c>
      <c r="N149" s="68">
        <f>-(N85-M85)</f>
        <v>0</v>
      </c>
      <c r="O149" s="318">
        <f>-(O85-F85)</f>
        <v>0</v>
      </c>
      <c r="P149" s="15"/>
      <c r="Q149" s="15"/>
      <c r="R149" s="15"/>
      <c r="S149" s="15"/>
      <c r="T149" s="15"/>
      <c r="U149" s="15"/>
      <c r="V149" s="15"/>
      <c r="W149" s="15"/>
      <c r="X149" s="15"/>
      <c r="Y149" s="15"/>
      <c r="Z149" s="15"/>
    </row>
    <row r="150" spans="2:26" x14ac:dyDescent="0.2">
      <c r="B150" s="229" t="s">
        <v>278</v>
      </c>
      <c r="C150" s="236" t="s">
        <v>282</v>
      </c>
      <c r="D150" s="67"/>
      <c r="E150" s="248"/>
      <c r="F150" s="248"/>
      <c r="G150" s="68">
        <f>G110-F110</f>
        <v>0</v>
      </c>
      <c r="H150" s="68">
        <f>H110-G110</f>
        <v>0</v>
      </c>
      <c r="I150" s="68">
        <f>I110-H110</f>
        <v>0</v>
      </c>
      <c r="J150" s="68">
        <f>J110-I110</f>
        <v>0</v>
      </c>
      <c r="K150" s="248"/>
      <c r="L150" s="68">
        <f>L110-K110</f>
        <v>0</v>
      </c>
      <c r="M150" s="68">
        <f>M110-L110</f>
        <v>0</v>
      </c>
      <c r="N150" s="68">
        <f>N110-M110</f>
        <v>0</v>
      </c>
      <c r="O150" s="318">
        <f>O110-F110</f>
        <v>0</v>
      </c>
      <c r="P150" s="15"/>
      <c r="Q150" s="15"/>
      <c r="R150" s="15"/>
      <c r="S150" s="15"/>
      <c r="T150" s="15"/>
      <c r="U150" s="15"/>
      <c r="V150" s="15"/>
      <c r="W150" s="15"/>
      <c r="X150" s="15"/>
      <c r="Y150" s="15"/>
      <c r="Z150" s="15"/>
    </row>
    <row r="151" spans="2:26" x14ac:dyDescent="0.2">
      <c r="B151" s="248"/>
      <c r="C151" s="70"/>
      <c r="D151" s="67"/>
      <c r="E151" s="248"/>
      <c r="F151" s="248"/>
      <c r="G151" s="248"/>
      <c r="H151" s="248"/>
      <c r="I151" s="248"/>
      <c r="J151" s="248"/>
      <c r="K151" s="248"/>
      <c r="L151" s="248"/>
      <c r="M151" s="248"/>
      <c r="N151" s="248"/>
      <c r="O151" s="248"/>
      <c r="P151" s="15"/>
      <c r="Q151" s="15"/>
      <c r="R151" s="15"/>
      <c r="S151" s="15"/>
      <c r="T151" s="15"/>
      <c r="U151" s="15"/>
      <c r="V151" s="15"/>
      <c r="W151" s="15"/>
      <c r="X151" s="15"/>
      <c r="Y151" s="15"/>
      <c r="Z151" s="15"/>
    </row>
    <row r="152" spans="2:26" x14ac:dyDescent="0.2">
      <c r="B152" s="232" t="s">
        <v>284</v>
      </c>
      <c r="C152" s="19" t="s">
        <v>40</v>
      </c>
      <c r="D152" s="67"/>
      <c r="E152" s="248"/>
      <c r="F152" s="248"/>
      <c r="G152" s="68">
        <f>SUM(G153,G154,G155)</f>
        <v>0</v>
      </c>
      <c r="H152" s="68">
        <f>SUM(H153,H154,H155)</f>
        <v>0</v>
      </c>
      <c r="I152" s="68">
        <f>SUM(I153,I154,I155)</f>
        <v>0</v>
      </c>
      <c r="J152" s="68">
        <f>SUM(J153,J154,J155)</f>
        <v>0</v>
      </c>
      <c r="K152" s="248"/>
      <c r="L152" s="68">
        <f>SUM(L153,L154,L155)</f>
        <v>0</v>
      </c>
      <c r="M152" s="68">
        <f>SUM(M153,M154,M155)</f>
        <v>0</v>
      </c>
      <c r="N152" s="68">
        <f>SUM(N153,N154,N155)</f>
        <v>0</v>
      </c>
      <c r="O152" s="318">
        <f>SUM(O153,O154,O155)</f>
        <v>0</v>
      </c>
      <c r="P152" s="15"/>
      <c r="Q152" s="15"/>
      <c r="R152" s="15"/>
      <c r="S152" s="15"/>
      <c r="T152" s="15"/>
      <c r="U152" s="15"/>
      <c r="V152" s="15"/>
      <c r="W152" s="15"/>
      <c r="X152" s="15"/>
      <c r="Y152" s="15"/>
      <c r="Z152" s="15"/>
    </row>
    <row r="153" spans="2:26" x14ac:dyDescent="0.2">
      <c r="B153" s="229" t="s">
        <v>285</v>
      </c>
      <c r="C153" s="23" t="s">
        <v>283</v>
      </c>
      <c r="D153" s="67"/>
      <c r="E153" s="248"/>
      <c r="F153" s="248"/>
      <c r="G153" s="68">
        <f>-(SUM(G79:G80,G83)-SUM(F79:F80,F83))-G57</f>
        <v>0</v>
      </c>
      <c r="H153" s="68">
        <f>-(SUM(H79:H80,H83)-SUM(G79:G80,G83))-H57</f>
        <v>0</v>
      </c>
      <c r="I153" s="68">
        <f>-(SUM(I79:I80,I83)-SUM(H79:H80,H83))-I57</f>
        <v>0</v>
      </c>
      <c r="J153" s="68">
        <f>-(SUM(J79:J80,J83)-SUM(I79:I80,I83))-J57</f>
        <v>0</v>
      </c>
      <c r="K153" s="248"/>
      <c r="L153" s="68">
        <f>-(SUM(L79:L80,L83)-SUM(K79:K80,K83))-L57</f>
        <v>0</v>
      </c>
      <c r="M153" s="68">
        <f>-(SUM(M79:M80,M83)-SUM(L79:L80,L83))-M57</f>
        <v>0</v>
      </c>
      <c r="N153" s="68">
        <f>-(SUM(N79:N80,N83)-SUM(M79:M80,M83))-N57</f>
        <v>0</v>
      </c>
      <c r="O153" s="318">
        <f>-(SUM(O79:O80,O83)-SUM(F79:F80,F83))-O57</f>
        <v>0</v>
      </c>
      <c r="P153" s="15"/>
      <c r="Q153" s="15"/>
      <c r="R153" s="15"/>
      <c r="S153" s="15"/>
      <c r="T153" s="15"/>
      <c r="U153" s="15"/>
      <c r="V153" s="15"/>
      <c r="W153" s="15"/>
      <c r="X153" s="15"/>
      <c r="Y153" s="15"/>
      <c r="Z153" s="15"/>
    </row>
    <row r="154" spans="2:26" x14ac:dyDescent="0.2">
      <c r="B154" s="229" t="s">
        <v>286</v>
      </c>
      <c r="C154" s="235" t="s">
        <v>287</v>
      </c>
      <c r="D154" s="67"/>
      <c r="E154" s="248"/>
      <c r="F154" s="248"/>
      <c r="G154" s="68">
        <f>-(SUM(G81,G84)-SUM(F81,F84))+(SUM(G98,G109)-SUM(F98,F109))</f>
        <v>0</v>
      </c>
      <c r="H154" s="68">
        <f>-(SUM(H81,H84)-SUM(G81,G84))+(SUM(H98,H109)-SUM(G98,G109))</f>
        <v>0</v>
      </c>
      <c r="I154" s="68">
        <f>-(SUM(I81,I84)-SUM(H81,H84))+(SUM(I98,I109)-SUM(H98,H109))</f>
        <v>0</v>
      </c>
      <c r="J154" s="68">
        <f>-(SUM(J81,J84)-SUM(I81,I84))+(SUM(J98,J109)-SUM(I98,I109))</f>
        <v>0</v>
      </c>
      <c r="K154" s="248"/>
      <c r="L154" s="68">
        <f>-(SUM(L81,L84)-SUM(K81,K84))+(SUM(L98,L109)-SUM(K98,K109))</f>
        <v>0</v>
      </c>
      <c r="M154" s="68">
        <f>-(SUM(M81,M84)-SUM(L81,L84))+(SUM(M98,M109)-SUM(L98,L109))</f>
        <v>0</v>
      </c>
      <c r="N154" s="68">
        <f>-(SUM(N81,N84)-SUM(M81,M84))+(SUM(N98,N109)-SUM(M98,M109))</f>
        <v>0</v>
      </c>
      <c r="O154" s="318">
        <f>-(SUM(O81,O84)-SUM(F81,F84))+(SUM(O98,O109)-SUM(F98,F109))</f>
        <v>0</v>
      </c>
      <c r="P154" s="15"/>
      <c r="Q154" s="15"/>
      <c r="R154" s="15"/>
      <c r="S154" s="15"/>
      <c r="T154" s="15"/>
      <c r="U154" s="15"/>
      <c r="V154" s="15"/>
      <c r="W154" s="15"/>
      <c r="X154" s="15"/>
      <c r="Y154" s="15"/>
      <c r="Z154" s="15"/>
    </row>
    <row r="155" spans="2:26" x14ac:dyDescent="0.2">
      <c r="B155" s="229" t="s">
        <v>288</v>
      </c>
      <c r="C155" s="235" t="s">
        <v>289</v>
      </c>
      <c r="D155" s="67"/>
      <c r="E155" s="248"/>
      <c r="F155" s="248"/>
      <c r="G155" s="68">
        <f>-(G82-F82)</f>
        <v>0</v>
      </c>
      <c r="H155" s="68">
        <f>-(H82-G82)</f>
        <v>0</v>
      </c>
      <c r="I155" s="68">
        <f>-(I82-H82)</f>
        <v>0</v>
      </c>
      <c r="J155" s="68">
        <f>-(J82-I82)</f>
        <v>0</v>
      </c>
      <c r="K155" s="248"/>
      <c r="L155" s="68">
        <f>-(L82-K82)</f>
        <v>0</v>
      </c>
      <c r="M155" s="68">
        <f>-(M82-L82)</f>
        <v>0</v>
      </c>
      <c r="N155" s="68">
        <f>-(N82-M82)</f>
        <v>0</v>
      </c>
      <c r="O155" s="318">
        <f>-(O82-F82)</f>
        <v>0</v>
      </c>
      <c r="P155" s="15"/>
      <c r="Q155" s="15"/>
      <c r="R155" s="15"/>
      <c r="S155" s="15"/>
      <c r="T155" s="15"/>
      <c r="U155" s="15"/>
      <c r="V155" s="15"/>
      <c r="W155" s="15"/>
      <c r="X155" s="15"/>
      <c r="Y155" s="15"/>
      <c r="Z155" s="15"/>
    </row>
    <row r="156" spans="2:26" x14ac:dyDescent="0.2">
      <c r="B156" s="248"/>
      <c r="C156" s="70"/>
      <c r="D156" s="67"/>
      <c r="E156" s="248"/>
      <c r="F156" s="248"/>
      <c r="G156" s="248"/>
      <c r="H156" s="248"/>
      <c r="I156" s="248"/>
      <c r="J156" s="248"/>
      <c r="K156" s="248"/>
      <c r="L156" s="248"/>
      <c r="M156" s="248"/>
      <c r="N156" s="248"/>
      <c r="O156" s="248"/>
      <c r="P156" s="15"/>
      <c r="Q156" s="15"/>
      <c r="R156" s="15"/>
      <c r="S156" s="15"/>
      <c r="T156" s="15"/>
      <c r="U156" s="15"/>
      <c r="V156" s="15"/>
      <c r="W156" s="15"/>
      <c r="X156" s="15"/>
      <c r="Y156" s="15"/>
      <c r="Z156" s="15"/>
    </row>
    <row r="157" spans="2:26" x14ac:dyDescent="0.2">
      <c r="B157" s="232" t="s">
        <v>290</v>
      </c>
      <c r="C157" s="19" t="s">
        <v>41</v>
      </c>
      <c r="D157" s="67"/>
      <c r="E157" s="248"/>
      <c r="F157" s="248"/>
      <c r="G157" s="68">
        <f>SUM(G158:G160)</f>
        <v>0</v>
      </c>
      <c r="H157" s="68">
        <f>SUM(H158:H160)</f>
        <v>0</v>
      </c>
      <c r="I157" s="68">
        <f>SUM(I158:I160)</f>
        <v>0</v>
      </c>
      <c r="J157" s="68">
        <f>SUM(J158:J160)</f>
        <v>0</v>
      </c>
      <c r="K157" s="248"/>
      <c r="L157" s="68">
        <f>SUM(L158:L160)</f>
        <v>0</v>
      </c>
      <c r="M157" s="68">
        <f>SUM(M158:M160)</f>
        <v>0</v>
      </c>
      <c r="N157" s="68">
        <f>SUM(N158:N160)</f>
        <v>0</v>
      </c>
      <c r="O157" s="318">
        <f>SUM(O158:O160)</f>
        <v>0</v>
      </c>
      <c r="R157" s="46"/>
    </row>
    <row r="158" spans="2:26" x14ac:dyDescent="0.2">
      <c r="B158" s="229" t="s">
        <v>291</v>
      </c>
      <c r="C158" s="235" t="s">
        <v>292</v>
      </c>
      <c r="D158" s="67"/>
      <c r="E158" s="248"/>
      <c r="F158" s="248"/>
      <c r="G158" s="68">
        <f>G120-F120-G51-G58</f>
        <v>0</v>
      </c>
      <c r="H158" s="68">
        <f>H120-G120-H51-H58</f>
        <v>0</v>
      </c>
      <c r="I158" s="68">
        <f>I120-H120-I51-I58</f>
        <v>0</v>
      </c>
      <c r="J158" s="68">
        <f>J120-I120-J51-J58</f>
        <v>0</v>
      </c>
      <c r="K158" s="248"/>
      <c r="L158" s="68">
        <f>L120-K120-L51-L58</f>
        <v>0</v>
      </c>
      <c r="M158" s="68">
        <f>M120-L120-M51-M58</f>
        <v>0</v>
      </c>
      <c r="N158" s="68">
        <f>N120-M120-N51-N58</f>
        <v>0</v>
      </c>
      <c r="O158" s="318">
        <f>O120-F120-O51-O58</f>
        <v>0</v>
      </c>
      <c r="P158" s="15"/>
      <c r="Q158" s="15"/>
      <c r="R158" s="15"/>
      <c r="S158" s="15"/>
      <c r="T158" s="15"/>
      <c r="U158" s="15"/>
      <c r="V158" s="15"/>
      <c r="W158" s="15"/>
      <c r="X158" s="15"/>
      <c r="Y158" s="15"/>
      <c r="Z158" s="15"/>
    </row>
    <row r="159" spans="2:26" x14ac:dyDescent="0.2">
      <c r="B159" s="229" t="s">
        <v>293</v>
      </c>
      <c r="C159" s="23" t="s">
        <v>42</v>
      </c>
      <c r="D159" s="67"/>
      <c r="E159" s="248"/>
      <c r="F159" s="248"/>
      <c r="G159" s="68">
        <f>G58</f>
        <v>0</v>
      </c>
      <c r="H159" s="68">
        <f>H58</f>
        <v>0</v>
      </c>
      <c r="I159" s="68">
        <f>I58</f>
        <v>0</v>
      </c>
      <c r="J159" s="68">
        <f>J58</f>
        <v>0</v>
      </c>
      <c r="K159" s="70"/>
      <c r="L159" s="68">
        <f>L58</f>
        <v>0</v>
      </c>
      <c r="M159" s="68">
        <f>M58</f>
        <v>0</v>
      </c>
      <c r="N159" s="68">
        <f>N58</f>
        <v>0</v>
      </c>
      <c r="O159" s="318">
        <f>O58</f>
        <v>0</v>
      </c>
      <c r="P159" s="15"/>
      <c r="Q159" s="15"/>
      <c r="R159" s="15"/>
      <c r="S159" s="15"/>
      <c r="T159" s="15"/>
      <c r="U159" s="15"/>
      <c r="V159" s="15"/>
      <c r="W159" s="15"/>
      <c r="X159" s="15"/>
      <c r="Y159" s="15"/>
      <c r="Z159" s="15"/>
    </row>
    <row r="160" spans="2:26" x14ac:dyDescent="0.2">
      <c r="B160" s="229" t="s">
        <v>294</v>
      </c>
      <c r="C160" s="23" t="s">
        <v>295</v>
      </c>
      <c r="D160" s="67"/>
      <c r="E160" s="248"/>
      <c r="F160" s="248"/>
      <c r="G160" s="68">
        <f>SUM(G97,G108)-SUM(F97,F108)</f>
        <v>0</v>
      </c>
      <c r="H160" s="68">
        <f>SUM(H97,H108)-SUM(G97,G108)</f>
        <v>0</v>
      </c>
      <c r="I160" s="68">
        <f>SUM(I97,I108)-SUM(H97,H108)</f>
        <v>0</v>
      </c>
      <c r="J160" s="68">
        <f>SUM(J97,J108)-SUM(I97,I108)</f>
        <v>0</v>
      </c>
      <c r="K160" s="248"/>
      <c r="L160" s="68">
        <f>SUM(L97,L108)-SUM(K97,K108)</f>
        <v>0</v>
      </c>
      <c r="M160" s="68">
        <f>SUM(M97,M108)-SUM(L97,L108)</f>
        <v>0</v>
      </c>
      <c r="N160" s="68">
        <f>SUM(N97,N108)-SUM(M97,M108)</f>
        <v>0</v>
      </c>
      <c r="O160" s="318">
        <f>SUM(O97,O108)-SUM(F97,F108)</f>
        <v>0</v>
      </c>
      <c r="P160" s="15"/>
      <c r="Q160" s="15"/>
      <c r="R160" s="15"/>
      <c r="S160" s="15"/>
      <c r="T160" s="15"/>
      <c r="U160" s="15"/>
      <c r="V160" s="15"/>
      <c r="W160" s="15"/>
      <c r="X160" s="15"/>
      <c r="Y160" s="15"/>
      <c r="Z160" s="15"/>
    </row>
    <row r="161" spans="1:26" x14ac:dyDescent="0.2">
      <c r="B161" s="248"/>
      <c r="C161" s="70"/>
      <c r="D161" s="67"/>
      <c r="E161" s="248"/>
      <c r="F161" s="248"/>
      <c r="G161" s="248"/>
      <c r="H161" s="248"/>
      <c r="I161" s="248"/>
      <c r="J161" s="248"/>
      <c r="K161" s="248"/>
      <c r="L161" s="248"/>
      <c r="M161" s="248"/>
      <c r="N161" s="248"/>
      <c r="O161" s="248"/>
    </row>
    <row r="162" spans="1:26" x14ac:dyDescent="0.2">
      <c r="B162" s="232" t="s">
        <v>296</v>
      </c>
      <c r="C162" s="19" t="s">
        <v>43</v>
      </c>
      <c r="D162" s="67"/>
      <c r="E162" s="248"/>
      <c r="F162" s="248"/>
      <c r="G162" s="68">
        <f>SUM(G139,G152,G157)</f>
        <v>0</v>
      </c>
      <c r="H162" s="68">
        <f>SUM(H139,H152,H157)</f>
        <v>0</v>
      </c>
      <c r="I162" s="68">
        <f>SUM(I139,I152,I157)</f>
        <v>0</v>
      </c>
      <c r="J162" s="68">
        <f>SUM(J139,J152,J157)</f>
        <v>0</v>
      </c>
      <c r="K162" s="248"/>
      <c r="L162" s="68">
        <f>SUM(L139,L152,L157)</f>
        <v>0</v>
      </c>
      <c r="M162" s="68">
        <f>SUM(M139,M152,M157)</f>
        <v>0</v>
      </c>
      <c r="N162" s="68">
        <f>SUM(N139,N152,N157)</f>
        <v>0</v>
      </c>
      <c r="O162" s="318">
        <f>SUM(O139,O152,O157)</f>
        <v>0</v>
      </c>
    </row>
    <row r="163" spans="1:26" x14ac:dyDescent="0.2">
      <c r="B163" s="232" t="s">
        <v>297</v>
      </c>
      <c r="C163" s="19" t="s">
        <v>91</v>
      </c>
      <c r="D163" s="67"/>
      <c r="E163" s="248"/>
      <c r="F163" s="248"/>
      <c r="G163" s="71">
        <f>F65</f>
        <v>0</v>
      </c>
      <c r="H163" s="71">
        <f>G164</f>
        <v>0</v>
      </c>
      <c r="I163" s="71">
        <f>H164</f>
        <v>0</v>
      </c>
      <c r="J163" s="71">
        <f>I164</f>
        <v>0</v>
      </c>
      <c r="K163" s="248"/>
      <c r="L163" s="71">
        <f>K65</f>
        <v>0</v>
      </c>
      <c r="M163" s="71">
        <f>L164</f>
        <v>0</v>
      </c>
      <c r="N163" s="71">
        <f>M164</f>
        <v>0</v>
      </c>
      <c r="O163" s="71">
        <f>G163</f>
        <v>0</v>
      </c>
    </row>
    <row r="164" spans="1:26" ht="15" x14ac:dyDescent="0.25">
      <c r="A164" t="s">
        <v>697</v>
      </c>
      <c r="B164" s="232" t="s">
        <v>298</v>
      </c>
      <c r="C164" s="19" t="s">
        <v>92</v>
      </c>
      <c r="D164" s="67"/>
      <c r="E164" s="248"/>
      <c r="F164" s="248"/>
      <c r="G164" s="71">
        <f>SUM(G162:G163)</f>
        <v>0</v>
      </c>
      <c r="H164" s="71">
        <f>SUM(H162:H163)</f>
        <v>0</v>
      </c>
      <c r="I164" s="71">
        <f>SUM(I162:I163)</f>
        <v>0</v>
      </c>
      <c r="J164" s="71">
        <f>SUM(J162:J163)</f>
        <v>0</v>
      </c>
      <c r="K164" s="248"/>
      <c r="L164" s="71">
        <f>SUM(L162:L163)</f>
        <v>0</v>
      </c>
      <c r="M164" s="71">
        <f>SUM(M162:M163)</f>
        <v>0</v>
      </c>
      <c r="N164" s="71">
        <f>SUM(N162:N163)</f>
        <v>0</v>
      </c>
      <c r="O164" s="71">
        <f>SUM(O162:O163)</f>
        <v>0</v>
      </c>
    </row>
    <row r="165" spans="1:26" x14ac:dyDescent="0.2">
      <c r="A165" s="6" t="s">
        <v>698</v>
      </c>
      <c r="B165" s="248"/>
      <c r="C165" s="248"/>
      <c r="D165" s="67"/>
      <c r="E165" s="60" t="s">
        <v>90</v>
      </c>
      <c r="F165" s="248"/>
      <c r="G165" s="62">
        <f>ROUND(G65-G164,0)</f>
        <v>0</v>
      </c>
      <c r="H165" s="62">
        <f>ROUND(H65-H164,0)</f>
        <v>0</v>
      </c>
      <c r="I165" s="62">
        <f>ROUND(I65-I164,0)</f>
        <v>0</v>
      </c>
      <c r="J165" s="62">
        <f>ROUND(J65-J164,0)</f>
        <v>0</v>
      </c>
      <c r="K165" s="248"/>
      <c r="L165" s="62">
        <f>ROUND(L65-L164,0)</f>
        <v>0</v>
      </c>
      <c r="M165" s="62">
        <f>ROUND(M65-M164,0)</f>
        <v>0</v>
      </c>
      <c r="N165" s="62">
        <f>ROUND(N65-N164,0)</f>
        <v>0</v>
      </c>
      <c r="O165" s="62">
        <f>ROUND(O65-O164,0)</f>
        <v>0</v>
      </c>
    </row>
    <row r="166" spans="1:26" x14ac:dyDescent="0.2">
      <c r="C166" s="24"/>
      <c r="D166" s="24"/>
      <c r="E166" s="4"/>
      <c r="F166" s="3"/>
      <c r="G166" s="3"/>
      <c r="H166" s="3"/>
      <c r="I166" s="3"/>
      <c r="J166" s="3"/>
      <c r="K166" s="3"/>
      <c r="L166" s="3"/>
      <c r="M166" s="3"/>
      <c r="N166" s="3"/>
      <c r="O166" s="3"/>
      <c r="P166" s="15"/>
      <c r="Q166" s="15"/>
      <c r="R166" s="15"/>
      <c r="S166" s="15"/>
      <c r="T166" s="15"/>
      <c r="U166" s="15"/>
      <c r="V166" s="15"/>
      <c r="W166" s="15"/>
      <c r="X166" s="15"/>
      <c r="Y166" s="15"/>
      <c r="Z166" s="15"/>
    </row>
    <row r="167" spans="1:26" s="28" customFormat="1" ht="12.75" customHeight="1" x14ac:dyDescent="0.2">
      <c r="K167" s="29"/>
      <c r="L167" s="29"/>
      <c r="M167" s="29"/>
      <c r="N167" s="29"/>
    </row>
    <row r="168" spans="1:26" x14ac:dyDescent="0.2">
      <c r="K168" s="15"/>
      <c r="L168" s="15"/>
      <c r="M168" s="15"/>
      <c r="N168" s="15"/>
    </row>
    <row r="169" spans="1:26" ht="38.25" x14ac:dyDescent="0.2">
      <c r="B169" s="232" t="s">
        <v>142</v>
      </c>
      <c r="C169" s="261" t="s">
        <v>299</v>
      </c>
      <c r="D169" s="263" t="s">
        <v>68</v>
      </c>
      <c r="E169" s="262" t="s">
        <v>70</v>
      </c>
      <c r="F169" s="321" t="s">
        <v>63</v>
      </c>
      <c r="G169" s="322"/>
      <c r="H169" s="322"/>
      <c r="I169" s="323"/>
      <c r="J169" s="264" t="s">
        <v>829</v>
      </c>
      <c r="K169" s="264" t="s">
        <v>76</v>
      </c>
      <c r="L169" s="264" t="s">
        <v>75</v>
      </c>
      <c r="M169" s="264" t="s">
        <v>74</v>
      </c>
      <c r="N169" s="264" t="s">
        <v>73</v>
      </c>
      <c r="O169" s="264" t="s">
        <v>71</v>
      </c>
      <c r="P169" s="231"/>
    </row>
    <row r="170" spans="1:26" ht="15.75" x14ac:dyDescent="0.2">
      <c r="B170" s="232"/>
      <c r="C170" s="261" t="s">
        <v>300</v>
      </c>
      <c r="D170" s="232"/>
      <c r="E170" s="263" t="s">
        <v>87</v>
      </c>
      <c r="F170" s="266">
        <f t="shared" ref="F170:O170" si="36">F11</f>
        <v>41906.600000000006</v>
      </c>
      <c r="G170" s="266">
        <f t="shared" si="36"/>
        <v>41999.200000000004</v>
      </c>
      <c r="H170" s="266">
        <f t="shared" si="36"/>
        <v>42091.8</v>
      </c>
      <c r="I170" s="266">
        <f t="shared" si="36"/>
        <v>42184.4</v>
      </c>
      <c r="J170" s="266">
        <f t="shared" si="36"/>
        <v>42277</v>
      </c>
      <c r="K170" s="267">
        <f t="shared" si="36"/>
        <v>40905</v>
      </c>
      <c r="L170" s="267">
        <f t="shared" si="36"/>
        <v>41271</v>
      </c>
      <c r="M170" s="267">
        <f t="shared" si="36"/>
        <v>41637</v>
      </c>
      <c r="N170" s="267">
        <f t="shared" si="36"/>
        <v>42003</v>
      </c>
      <c r="O170" s="266">
        <f t="shared" si="36"/>
        <v>42277</v>
      </c>
      <c r="P170" s="231"/>
    </row>
    <row r="171" spans="1:26" x14ac:dyDescent="0.2">
      <c r="B171" s="232"/>
      <c r="C171" s="229"/>
      <c r="D171" s="229"/>
      <c r="E171" s="230"/>
      <c r="F171" s="229"/>
      <c r="G171" s="229"/>
      <c r="H171" s="229"/>
      <c r="I171" s="229"/>
      <c r="J171" s="229"/>
      <c r="K171" s="229"/>
      <c r="L171" s="229"/>
      <c r="M171" s="229"/>
      <c r="N171" s="229"/>
      <c r="O171" s="229"/>
      <c r="P171" s="231"/>
    </row>
    <row r="172" spans="1:26" x14ac:dyDescent="0.2">
      <c r="A172" s="6" t="s">
        <v>699</v>
      </c>
      <c r="B172" s="232" t="s">
        <v>301</v>
      </c>
      <c r="C172" s="237" t="s">
        <v>121</v>
      </c>
      <c r="D172" s="229"/>
      <c r="E172" s="230"/>
      <c r="F172" s="229"/>
      <c r="G172" s="229"/>
      <c r="H172" s="229"/>
      <c r="I172" s="229"/>
      <c r="J172" s="229"/>
      <c r="K172" s="229"/>
      <c r="L172" s="229"/>
      <c r="M172" s="229"/>
      <c r="N172" s="229"/>
      <c r="O172" s="229"/>
      <c r="P172" s="231"/>
    </row>
    <row r="173" spans="1:26" x14ac:dyDescent="0.2">
      <c r="B173" s="229" t="s">
        <v>302</v>
      </c>
      <c r="C173" s="236" t="s">
        <v>45</v>
      </c>
      <c r="D173" s="245" t="str">
        <f>$D$7</f>
        <v>USD Million</v>
      </c>
      <c r="E173" s="230"/>
      <c r="F173" s="239">
        <f t="shared" ref="F173:O173" si="37">F13</f>
        <v>0</v>
      </c>
      <c r="G173" s="239">
        <f t="shared" si="37"/>
        <v>0</v>
      </c>
      <c r="H173" s="239">
        <f t="shared" si="37"/>
        <v>0</v>
      </c>
      <c r="I173" s="239">
        <f t="shared" si="37"/>
        <v>0</v>
      </c>
      <c r="J173" s="239">
        <f t="shared" si="37"/>
        <v>0</v>
      </c>
      <c r="K173" s="239">
        <f t="shared" si="37"/>
        <v>0</v>
      </c>
      <c r="L173" s="239">
        <f t="shared" si="37"/>
        <v>0</v>
      </c>
      <c r="M173" s="239">
        <f t="shared" si="37"/>
        <v>0</v>
      </c>
      <c r="N173" s="239">
        <f t="shared" si="37"/>
        <v>0</v>
      </c>
      <c r="O173" s="239">
        <f t="shared" si="37"/>
        <v>0</v>
      </c>
      <c r="P173" s="128">
        <v>27</v>
      </c>
    </row>
    <row r="174" spans="1:26" x14ac:dyDescent="0.2">
      <c r="B174" s="229" t="s">
        <v>303</v>
      </c>
      <c r="C174" s="236" t="s">
        <v>1321</v>
      </c>
      <c r="D174" s="245" t="str">
        <f t="shared" ref="D174:D177" si="38">$D$7</f>
        <v>USD Million</v>
      </c>
      <c r="E174" s="245"/>
      <c r="F174" s="239">
        <f t="shared" ref="F174:O174" si="39">F43-F37+F57</f>
        <v>0</v>
      </c>
      <c r="G174" s="239">
        <f t="shared" si="39"/>
        <v>0</v>
      </c>
      <c r="H174" s="239">
        <f t="shared" si="39"/>
        <v>0</v>
      </c>
      <c r="I174" s="239">
        <f t="shared" si="39"/>
        <v>0</v>
      </c>
      <c r="J174" s="239">
        <f t="shared" si="39"/>
        <v>0</v>
      </c>
      <c r="K174" s="239">
        <f t="shared" si="39"/>
        <v>0</v>
      </c>
      <c r="L174" s="239">
        <f t="shared" si="39"/>
        <v>0</v>
      </c>
      <c r="M174" s="239">
        <f t="shared" si="39"/>
        <v>0</v>
      </c>
      <c r="N174" s="239">
        <f t="shared" si="39"/>
        <v>0</v>
      </c>
      <c r="O174" s="239">
        <f t="shared" si="39"/>
        <v>0</v>
      </c>
      <c r="P174" s="128"/>
    </row>
    <row r="175" spans="1:26" x14ac:dyDescent="0.2">
      <c r="B175" s="229" t="s">
        <v>304</v>
      </c>
      <c r="C175" s="236" t="s">
        <v>122</v>
      </c>
      <c r="D175" s="245" t="str">
        <f t="shared" si="38"/>
        <v>USD Million</v>
      </c>
      <c r="E175" s="245"/>
      <c r="F175" s="239">
        <f t="shared" ref="F175:O175" si="40">F51</f>
        <v>0</v>
      </c>
      <c r="G175" s="239">
        <f t="shared" si="40"/>
        <v>0</v>
      </c>
      <c r="H175" s="239">
        <f t="shared" si="40"/>
        <v>0</v>
      </c>
      <c r="I175" s="239">
        <f t="shared" si="40"/>
        <v>0</v>
      </c>
      <c r="J175" s="239">
        <f t="shared" si="40"/>
        <v>0</v>
      </c>
      <c r="K175" s="239">
        <f t="shared" si="40"/>
        <v>0</v>
      </c>
      <c r="L175" s="239">
        <f t="shared" si="40"/>
        <v>0</v>
      </c>
      <c r="M175" s="239">
        <f t="shared" si="40"/>
        <v>0</v>
      </c>
      <c r="N175" s="239">
        <f t="shared" si="40"/>
        <v>0</v>
      </c>
      <c r="O175" s="239">
        <f t="shared" si="40"/>
        <v>0</v>
      </c>
      <c r="P175" s="128"/>
    </row>
    <row r="176" spans="1:26" x14ac:dyDescent="0.2">
      <c r="B176" s="229" t="s">
        <v>305</v>
      </c>
      <c r="C176" s="236" t="s">
        <v>26</v>
      </c>
      <c r="D176" s="245" t="str">
        <f t="shared" si="38"/>
        <v>USD Million</v>
      </c>
      <c r="E176" s="245"/>
      <c r="F176" s="239">
        <f t="shared" ref="F176:O176" si="41">F93-F118</f>
        <v>0</v>
      </c>
      <c r="G176" s="239">
        <f t="shared" si="41"/>
        <v>0</v>
      </c>
      <c r="H176" s="239">
        <f t="shared" si="41"/>
        <v>0</v>
      </c>
      <c r="I176" s="239">
        <f t="shared" si="41"/>
        <v>0</v>
      </c>
      <c r="J176" s="239">
        <f t="shared" si="41"/>
        <v>0</v>
      </c>
      <c r="K176" s="239">
        <f t="shared" si="41"/>
        <v>0</v>
      </c>
      <c r="L176" s="239">
        <f t="shared" si="41"/>
        <v>0</v>
      </c>
      <c r="M176" s="239">
        <f t="shared" si="41"/>
        <v>0</v>
      </c>
      <c r="N176" s="239">
        <f t="shared" si="41"/>
        <v>0</v>
      </c>
      <c r="O176" s="239">
        <f t="shared" si="41"/>
        <v>0</v>
      </c>
      <c r="P176" s="128"/>
    </row>
    <row r="177" spans="2:18" x14ac:dyDescent="0.2">
      <c r="B177" s="229" t="s">
        <v>306</v>
      </c>
      <c r="C177" s="241" t="s">
        <v>116</v>
      </c>
      <c r="D177" s="245" t="str">
        <f t="shared" si="38"/>
        <v>USD Million</v>
      </c>
      <c r="E177" s="245"/>
      <c r="F177" s="239">
        <f t="shared" ref="F177:O177" si="42">F64-F95</f>
        <v>0</v>
      </c>
      <c r="G177" s="239">
        <f t="shared" si="42"/>
        <v>0</v>
      </c>
      <c r="H177" s="239">
        <f t="shared" si="42"/>
        <v>0</v>
      </c>
      <c r="I177" s="239">
        <f t="shared" si="42"/>
        <v>0</v>
      </c>
      <c r="J177" s="239">
        <f t="shared" si="42"/>
        <v>0</v>
      </c>
      <c r="K177" s="239">
        <f t="shared" si="42"/>
        <v>0</v>
      </c>
      <c r="L177" s="239">
        <f t="shared" si="42"/>
        <v>0</v>
      </c>
      <c r="M177" s="239">
        <f t="shared" si="42"/>
        <v>0</v>
      </c>
      <c r="N177" s="239">
        <f t="shared" si="42"/>
        <v>0</v>
      </c>
      <c r="O177" s="239">
        <f t="shared" si="42"/>
        <v>0</v>
      </c>
      <c r="P177" s="128"/>
    </row>
    <row r="178" spans="2:18" x14ac:dyDescent="0.2">
      <c r="B178" s="232"/>
      <c r="C178" s="237"/>
      <c r="D178" s="245"/>
      <c r="E178" s="245"/>
      <c r="F178" s="229"/>
      <c r="G178" s="229"/>
      <c r="H178" s="229"/>
      <c r="I178" s="229"/>
      <c r="J178" s="229"/>
      <c r="K178" s="229"/>
      <c r="L178" s="229"/>
      <c r="M178" s="229"/>
      <c r="N178" s="229"/>
      <c r="O178" s="229"/>
      <c r="P178" s="128"/>
    </row>
    <row r="179" spans="2:18" x14ac:dyDescent="0.2">
      <c r="B179" s="232" t="s">
        <v>307</v>
      </c>
      <c r="C179" s="232" t="s">
        <v>308</v>
      </c>
      <c r="D179" s="245"/>
      <c r="E179" s="245"/>
      <c r="F179" s="229"/>
      <c r="G179" s="229"/>
      <c r="H179" s="229"/>
      <c r="I179" s="229"/>
      <c r="J179" s="229"/>
      <c r="K179" s="229"/>
      <c r="L179" s="229"/>
      <c r="M179" s="229"/>
      <c r="N179" s="229"/>
      <c r="O179" s="229"/>
      <c r="P179" s="128"/>
    </row>
    <row r="180" spans="2:18" x14ac:dyDescent="0.2">
      <c r="B180" s="229" t="s">
        <v>309</v>
      </c>
      <c r="C180" s="241" t="s">
        <v>102</v>
      </c>
      <c r="D180" s="245" t="s">
        <v>93</v>
      </c>
      <c r="E180" s="245"/>
      <c r="F180" s="242" t="e">
        <f t="shared" ref="F180:O180" si="43">F22/F13</f>
        <v>#DIV/0!</v>
      </c>
      <c r="G180" s="242" t="e">
        <f t="shared" si="43"/>
        <v>#DIV/0!</v>
      </c>
      <c r="H180" s="242" t="e">
        <f t="shared" si="43"/>
        <v>#DIV/0!</v>
      </c>
      <c r="I180" s="242" t="e">
        <f t="shared" si="43"/>
        <v>#DIV/0!</v>
      </c>
      <c r="J180" s="242" t="e">
        <f t="shared" si="43"/>
        <v>#DIV/0!</v>
      </c>
      <c r="K180" s="242" t="e">
        <f t="shared" si="43"/>
        <v>#DIV/0!</v>
      </c>
      <c r="L180" s="242" t="e">
        <f t="shared" si="43"/>
        <v>#DIV/0!</v>
      </c>
      <c r="M180" s="242" t="e">
        <f t="shared" si="43"/>
        <v>#DIV/0!</v>
      </c>
      <c r="N180" s="242" t="e">
        <f t="shared" si="43"/>
        <v>#DIV/0!</v>
      </c>
      <c r="O180" s="242" t="e">
        <f t="shared" si="43"/>
        <v>#DIV/0!</v>
      </c>
      <c r="P180" s="128">
        <f>+$P$173+1</f>
        <v>28</v>
      </c>
    </row>
    <row r="181" spans="2:18" x14ac:dyDescent="0.2">
      <c r="B181" s="229" t="s">
        <v>310</v>
      </c>
      <c r="C181" s="241" t="s">
        <v>104</v>
      </c>
      <c r="D181" s="245" t="s">
        <v>93</v>
      </c>
      <c r="E181" s="245"/>
      <c r="F181" s="242" t="e">
        <f t="shared" ref="F181:O181" si="44">F174/F13</f>
        <v>#DIV/0!</v>
      </c>
      <c r="G181" s="242" t="e">
        <f t="shared" si="44"/>
        <v>#DIV/0!</v>
      </c>
      <c r="H181" s="242" t="e">
        <f t="shared" si="44"/>
        <v>#DIV/0!</v>
      </c>
      <c r="I181" s="242" t="e">
        <f t="shared" si="44"/>
        <v>#DIV/0!</v>
      </c>
      <c r="J181" s="242" t="e">
        <f t="shared" si="44"/>
        <v>#DIV/0!</v>
      </c>
      <c r="K181" s="242" t="e">
        <f t="shared" si="44"/>
        <v>#DIV/0!</v>
      </c>
      <c r="L181" s="242" t="e">
        <f t="shared" si="44"/>
        <v>#DIV/0!</v>
      </c>
      <c r="M181" s="242" t="e">
        <f t="shared" si="44"/>
        <v>#DIV/0!</v>
      </c>
      <c r="N181" s="242" t="e">
        <f t="shared" si="44"/>
        <v>#DIV/0!</v>
      </c>
      <c r="O181" s="242" t="e">
        <f t="shared" si="44"/>
        <v>#DIV/0!</v>
      </c>
      <c r="P181" s="128">
        <f>+$P$173+2</f>
        <v>29</v>
      </c>
    </row>
    <row r="182" spans="2:18" x14ac:dyDescent="0.2">
      <c r="B182" s="229" t="s">
        <v>311</v>
      </c>
      <c r="C182" s="241" t="s">
        <v>103</v>
      </c>
      <c r="D182" s="245" t="s">
        <v>93</v>
      </c>
      <c r="E182" s="245"/>
      <c r="F182" s="242" t="e">
        <f t="shared" ref="F182:O182" si="45">F51/F13</f>
        <v>#DIV/0!</v>
      </c>
      <c r="G182" s="242" t="e">
        <f t="shared" si="45"/>
        <v>#DIV/0!</v>
      </c>
      <c r="H182" s="242" t="e">
        <f t="shared" si="45"/>
        <v>#DIV/0!</v>
      </c>
      <c r="I182" s="242" t="e">
        <f t="shared" si="45"/>
        <v>#DIV/0!</v>
      </c>
      <c r="J182" s="242" t="e">
        <f t="shared" si="45"/>
        <v>#DIV/0!</v>
      </c>
      <c r="K182" s="242" t="e">
        <f t="shared" si="45"/>
        <v>#DIV/0!</v>
      </c>
      <c r="L182" s="242" t="e">
        <f t="shared" si="45"/>
        <v>#DIV/0!</v>
      </c>
      <c r="M182" s="242" t="e">
        <f t="shared" si="45"/>
        <v>#DIV/0!</v>
      </c>
      <c r="N182" s="242" t="e">
        <f t="shared" si="45"/>
        <v>#DIV/0!</v>
      </c>
      <c r="O182" s="242" t="e">
        <f t="shared" si="45"/>
        <v>#DIV/0!</v>
      </c>
      <c r="P182" s="128">
        <f>+$P$173+3</f>
        <v>30</v>
      </c>
    </row>
    <row r="183" spans="2:18" x14ac:dyDescent="0.2">
      <c r="B183" s="229" t="s">
        <v>312</v>
      </c>
      <c r="C183" s="241" t="s">
        <v>1217</v>
      </c>
      <c r="D183" s="259" t="s">
        <v>93</v>
      </c>
      <c r="E183" s="245"/>
      <c r="F183" s="242" t="e">
        <f>(F43-F36-F37)*4/(F93-F95)</f>
        <v>#DIV/0!</v>
      </c>
      <c r="G183" s="242" t="e">
        <f t="shared" ref="G183:J183" si="46">(G43-G36-G37)*4/(G93-G95)</f>
        <v>#DIV/0!</v>
      </c>
      <c r="H183" s="242" t="e">
        <f t="shared" si="46"/>
        <v>#DIV/0!</v>
      </c>
      <c r="I183" s="242" t="e">
        <f t="shared" si="46"/>
        <v>#DIV/0!</v>
      </c>
      <c r="J183" s="242" t="e">
        <f t="shared" si="46"/>
        <v>#DIV/0!</v>
      </c>
      <c r="K183" s="242" t="e">
        <f t="shared" ref="K183:O183" si="47">(K43-K36-K37)/(K93-K95)</f>
        <v>#DIV/0!</v>
      </c>
      <c r="L183" s="242" t="e">
        <f t="shared" si="47"/>
        <v>#DIV/0!</v>
      </c>
      <c r="M183" s="242" t="e">
        <f t="shared" si="47"/>
        <v>#DIV/0!</v>
      </c>
      <c r="N183" s="242" t="e">
        <f t="shared" si="47"/>
        <v>#DIV/0!</v>
      </c>
      <c r="O183" s="242" t="e">
        <f t="shared" si="47"/>
        <v>#DIV/0!</v>
      </c>
      <c r="P183" s="128">
        <f>+$P$173+6</f>
        <v>33</v>
      </c>
      <c r="R183" s="6" t="s">
        <v>426</v>
      </c>
    </row>
    <row r="184" spans="2:18" x14ac:dyDescent="0.2">
      <c r="B184" s="229" t="s">
        <v>313</v>
      </c>
      <c r="C184" s="241" t="s">
        <v>1218</v>
      </c>
      <c r="D184" s="259" t="s">
        <v>93</v>
      </c>
      <c r="E184" s="245"/>
      <c r="F184" s="242" t="e">
        <f>(F43-F36-F37)*4/F93</f>
        <v>#DIV/0!</v>
      </c>
      <c r="G184" s="242" t="e">
        <f t="shared" ref="G184:J184" si="48">(G43-G36-G37)*4/G93</f>
        <v>#DIV/0!</v>
      </c>
      <c r="H184" s="242" t="e">
        <f t="shared" si="48"/>
        <v>#DIV/0!</v>
      </c>
      <c r="I184" s="242" t="e">
        <f t="shared" si="48"/>
        <v>#DIV/0!</v>
      </c>
      <c r="J184" s="242" t="e">
        <f t="shared" si="48"/>
        <v>#DIV/0!</v>
      </c>
      <c r="K184" s="242" t="e">
        <f t="shared" ref="K184:O184" si="49">(K43-K36-K37)/K93</f>
        <v>#DIV/0!</v>
      </c>
      <c r="L184" s="242" t="e">
        <f t="shared" si="49"/>
        <v>#DIV/0!</v>
      </c>
      <c r="M184" s="242" t="e">
        <f t="shared" si="49"/>
        <v>#DIV/0!</v>
      </c>
      <c r="N184" s="242" t="e">
        <f t="shared" si="49"/>
        <v>#DIV/0!</v>
      </c>
      <c r="O184" s="242" t="e">
        <f t="shared" si="49"/>
        <v>#DIV/0!</v>
      </c>
      <c r="P184" s="128">
        <f>+$P$173+7</f>
        <v>34</v>
      </c>
      <c r="R184" s="6" t="s">
        <v>427</v>
      </c>
    </row>
    <row r="185" spans="2:18" x14ac:dyDescent="0.2">
      <c r="B185" s="229"/>
      <c r="C185" s="229"/>
      <c r="D185" s="245"/>
      <c r="E185" s="245"/>
      <c r="F185" s="229"/>
      <c r="G185" s="229"/>
      <c r="H185" s="229"/>
      <c r="I185" s="229"/>
      <c r="J185" s="229"/>
      <c r="K185" s="229"/>
      <c r="L185" s="229"/>
      <c r="M185" s="229"/>
      <c r="N185" s="229"/>
      <c r="O185" s="229"/>
      <c r="P185" s="128"/>
    </row>
    <row r="186" spans="2:18" x14ac:dyDescent="0.2">
      <c r="B186" s="232" t="s">
        <v>314</v>
      </c>
      <c r="C186" s="232" t="s">
        <v>315</v>
      </c>
      <c r="D186" s="245"/>
      <c r="E186" s="245"/>
      <c r="F186" s="229"/>
      <c r="G186" s="229"/>
      <c r="H186" s="229"/>
      <c r="I186" s="229"/>
      <c r="J186" s="229"/>
      <c r="K186" s="229"/>
      <c r="L186" s="229"/>
      <c r="M186" s="229"/>
      <c r="N186" s="229"/>
      <c r="O186" s="229"/>
      <c r="P186" s="128"/>
    </row>
    <row r="187" spans="2:18" x14ac:dyDescent="0.2">
      <c r="B187" s="229" t="s">
        <v>316</v>
      </c>
      <c r="C187" s="241" t="s">
        <v>1219</v>
      </c>
      <c r="D187" s="245" t="s">
        <v>112</v>
      </c>
      <c r="E187" s="245"/>
      <c r="F187" s="27" t="e">
        <f>F192/F13*365/4</f>
        <v>#DIV/0!</v>
      </c>
      <c r="G187" s="27" t="e">
        <f>G192/G13*365/4</f>
        <v>#DIV/0!</v>
      </c>
      <c r="H187" s="27" t="e">
        <f>H192/H13*365/4</f>
        <v>#DIV/0!</v>
      </c>
      <c r="I187" s="27" t="e">
        <f>I192/I13*365/4</f>
        <v>#DIV/0!</v>
      </c>
      <c r="J187" s="27" t="e">
        <f>J192/J13*365/4</f>
        <v>#DIV/0!</v>
      </c>
      <c r="K187" s="27" t="e">
        <f>K192/K13*365</f>
        <v>#DIV/0!</v>
      </c>
      <c r="L187" s="27" t="e">
        <f>L192/L13*365</f>
        <v>#DIV/0!</v>
      </c>
      <c r="M187" s="27" t="e">
        <f>M192/M13*365</f>
        <v>#DIV/0!</v>
      </c>
      <c r="N187" s="27" t="e">
        <f>N192/N13*365</f>
        <v>#DIV/0!</v>
      </c>
      <c r="O187" s="27" t="e">
        <f>O192/O13*365</f>
        <v>#DIV/0!</v>
      </c>
      <c r="P187" s="128">
        <f>+$P$173+9</f>
        <v>36</v>
      </c>
      <c r="R187" s="6" t="s">
        <v>841</v>
      </c>
    </row>
    <row r="188" spans="2:18" x14ac:dyDescent="0.2">
      <c r="B188" s="229" t="s">
        <v>317</v>
      </c>
      <c r="C188" s="241" t="s">
        <v>1220</v>
      </c>
      <c r="D188" s="245" t="s">
        <v>112</v>
      </c>
      <c r="E188" s="245"/>
      <c r="F188" s="239" t="e">
        <f>-F193/F18*365/4</f>
        <v>#DIV/0!</v>
      </c>
      <c r="G188" s="239" t="e">
        <f>-G193/G18*365/4</f>
        <v>#DIV/0!</v>
      </c>
      <c r="H188" s="239" t="e">
        <f>-H193/H18*365/4</f>
        <v>#DIV/0!</v>
      </c>
      <c r="I188" s="239" t="e">
        <f>-I193/I18*365/4</f>
        <v>#DIV/0!</v>
      </c>
      <c r="J188" s="239" t="e">
        <f>-J193/J18*365/4</f>
        <v>#DIV/0!</v>
      </c>
      <c r="K188" s="239" t="e">
        <f>-K193/K18*365</f>
        <v>#DIV/0!</v>
      </c>
      <c r="L188" s="239" t="e">
        <f>-L193/L18*365</f>
        <v>#DIV/0!</v>
      </c>
      <c r="M188" s="239" t="e">
        <f>-M193/M18*365</f>
        <v>#DIV/0!</v>
      </c>
      <c r="N188" s="239" t="e">
        <f>-N193/N18*365</f>
        <v>#DIV/0!</v>
      </c>
      <c r="O188" s="239" t="e">
        <f>-O193/O18*365</f>
        <v>#DIV/0!</v>
      </c>
      <c r="P188" s="128">
        <f>+$P$173+10</f>
        <v>37</v>
      </c>
      <c r="R188" s="6" t="s">
        <v>842</v>
      </c>
    </row>
    <row r="189" spans="2:18" x14ac:dyDescent="0.2">
      <c r="B189" s="229" t="s">
        <v>318</v>
      </c>
      <c r="C189" s="241" t="s">
        <v>1221</v>
      </c>
      <c r="D189" s="245" t="s">
        <v>112</v>
      </c>
      <c r="E189" s="245"/>
      <c r="F189" s="239" t="e">
        <f>-F194/F18*365/4</f>
        <v>#DIV/0!</v>
      </c>
      <c r="G189" s="239" t="e">
        <f>-G194/G18*365/4</f>
        <v>#DIV/0!</v>
      </c>
      <c r="H189" s="239" t="e">
        <f>-H194/H18*365/4</f>
        <v>#DIV/0!</v>
      </c>
      <c r="I189" s="239" t="e">
        <f>-I194/I18*365/4</f>
        <v>#DIV/0!</v>
      </c>
      <c r="J189" s="239" t="e">
        <f>-J194/J18*365/4</f>
        <v>#DIV/0!</v>
      </c>
      <c r="K189" s="239" t="e">
        <f>-K194/K18*365</f>
        <v>#DIV/0!</v>
      </c>
      <c r="L189" s="239" t="e">
        <f>-L194/L18*365</f>
        <v>#DIV/0!</v>
      </c>
      <c r="M189" s="239" t="e">
        <f>-M194/M18*365</f>
        <v>#DIV/0!</v>
      </c>
      <c r="N189" s="239" t="e">
        <f>-N194/N18*365</f>
        <v>#DIV/0!</v>
      </c>
      <c r="O189" s="239" t="e">
        <f>-O194/O18*365</f>
        <v>#DIV/0!</v>
      </c>
      <c r="P189" s="128">
        <f>+$P$173+11</f>
        <v>38</v>
      </c>
      <c r="R189" s="6" t="s">
        <v>843</v>
      </c>
    </row>
    <row r="190" spans="2:18" x14ac:dyDescent="0.2">
      <c r="B190" s="229" t="s">
        <v>319</v>
      </c>
      <c r="C190" s="241" t="s">
        <v>844</v>
      </c>
      <c r="D190" s="245" t="s">
        <v>112</v>
      </c>
      <c r="E190" s="245"/>
      <c r="F190" s="239" t="e">
        <f t="shared" ref="F190:O190" si="50">F187+F188-F189</f>
        <v>#DIV/0!</v>
      </c>
      <c r="G190" s="239" t="e">
        <f t="shared" si="50"/>
        <v>#DIV/0!</v>
      </c>
      <c r="H190" s="239" t="e">
        <f t="shared" si="50"/>
        <v>#DIV/0!</v>
      </c>
      <c r="I190" s="239" t="e">
        <f t="shared" si="50"/>
        <v>#DIV/0!</v>
      </c>
      <c r="J190" s="239" t="e">
        <f t="shared" si="50"/>
        <v>#DIV/0!</v>
      </c>
      <c r="K190" s="239" t="e">
        <f t="shared" si="50"/>
        <v>#DIV/0!</v>
      </c>
      <c r="L190" s="239" t="e">
        <f t="shared" si="50"/>
        <v>#DIV/0!</v>
      </c>
      <c r="M190" s="239" t="e">
        <f t="shared" si="50"/>
        <v>#DIV/0!</v>
      </c>
      <c r="N190" s="239" t="e">
        <f t="shared" si="50"/>
        <v>#DIV/0!</v>
      </c>
      <c r="O190" s="239" t="e">
        <f t="shared" si="50"/>
        <v>#DIV/0!</v>
      </c>
      <c r="P190" s="128">
        <f>+$P$173+12</f>
        <v>39</v>
      </c>
    </row>
    <row r="191" spans="2:18" x14ac:dyDescent="0.2">
      <c r="B191" s="229" t="s">
        <v>320</v>
      </c>
      <c r="C191" s="241" t="s">
        <v>105</v>
      </c>
      <c r="D191" s="245" t="s">
        <v>118</v>
      </c>
      <c r="E191" s="245"/>
      <c r="F191" s="278" t="e">
        <f t="shared" ref="F191:O191" si="51">F64/F95</f>
        <v>#DIV/0!</v>
      </c>
      <c r="G191" s="278" t="e">
        <f t="shared" si="51"/>
        <v>#DIV/0!</v>
      </c>
      <c r="H191" s="278" t="e">
        <f t="shared" si="51"/>
        <v>#DIV/0!</v>
      </c>
      <c r="I191" s="278" t="e">
        <f t="shared" si="51"/>
        <v>#DIV/0!</v>
      </c>
      <c r="J191" s="278" t="e">
        <f t="shared" si="51"/>
        <v>#DIV/0!</v>
      </c>
      <c r="K191" s="278" t="e">
        <f t="shared" si="51"/>
        <v>#DIV/0!</v>
      </c>
      <c r="L191" s="278" t="e">
        <f t="shared" si="51"/>
        <v>#DIV/0!</v>
      </c>
      <c r="M191" s="278" t="e">
        <f t="shared" si="51"/>
        <v>#DIV/0!</v>
      </c>
      <c r="N191" s="278" t="e">
        <f t="shared" si="51"/>
        <v>#DIV/0!</v>
      </c>
      <c r="O191" s="278" t="e">
        <f t="shared" si="51"/>
        <v>#DIV/0!</v>
      </c>
      <c r="P191" s="128">
        <f>+$P$173+13</f>
        <v>40</v>
      </c>
    </row>
    <row r="192" spans="2:18" x14ac:dyDescent="0.2">
      <c r="B192" s="229" t="s">
        <v>321</v>
      </c>
      <c r="C192" s="241" t="s">
        <v>113</v>
      </c>
      <c r="D192" s="245" t="str">
        <f t="shared" ref="D192:D194" si="52">$D$7</f>
        <v>USD Million</v>
      </c>
      <c r="E192" s="245"/>
      <c r="F192" s="239">
        <f>F67</f>
        <v>0</v>
      </c>
      <c r="G192" s="239">
        <f>SUM(F67:G67)/2</f>
        <v>0</v>
      </c>
      <c r="H192" s="239">
        <f t="shared" ref="H192:N193" si="53">SUM(G67:H67)/2</f>
        <v>0</v>
      </c>
      <c r="I192" s="239">
        <f t="shared" si="53"/>
        <v>0</v>
      </c>
      <c r="J192" s="239">
        <f t="shared" si="53"/>
        <v>0</v>
      </c>
      <c r="K192" s="239">
        <f>K67</f>
        <v>0</v>
      </c>
      <c r="L192" s="239">
        <f t="shared" si="53"/>
        <v>0</v>
      </c>
      <c r="M192" s="239">
        <f t="shared" si="53"/>
        <v>0</v>
      </c>
      <c r="N192" s="239">
        <f t="shared" si="53"/>
        <v>0</v>
      </c>
      <c r="O192" s="239">
        <f>SUM(F67,O67)/2</f>
        <v>0</v>
      </c>
      <c r="P192" s="128"/>
      <c r="R192" s="6" t="s">
        <v>117</v>
      </c>
    </row>
    <row r="193" spans="2:18" x14ac:dyDescent="0.2">
      <c r="B193" s="229" t="s">
        <v>322</v>
      </c>
      <c r="C193" s="241" t="s">
        <v>114</v>
      </c>
      <c r="D193" s="245" t="str">
        <f t="shared" si="52"/>
        <v>USD Million</v>
      </c>
      <c r="E193" s="245"/>
      <c r="F193" s="239">
        <f>F68</f>
        <v>0</v>
      </c>
      <c r="G193" s="239">
        <f>SUM(F68:G68)/2</f>
        <v>0</v>
      </c>
      <c r="H193" s="239">
        <f>SUM(G68:H68)/2</f>
        <v>0</v>
      </c>
      <c r="I193" s="239">
        <f>SUM(H68:I68)/2</f>
        <v>0</v>
      </c>
      <c r="J193" s="239">
        <f>SUM(I68:J68)/2</f>
        <v>0</v>
      </c>
      <c r="K193" s="239">
        <f>K68</f>
        <v>0</v>
      </c>
      <c r="L193" s="239">
        <f t="shared" si="53"/>
        <v>0</v>
      </c>
      <c r="M193" s="239">
        <f t="shared" si="53"/>
        <v>0</v>
      </c>
      <c r="N193" s="239">
        <f t="shared" si="53"/>
        <v>0</v>
      </c>
      <c r="O193" s="239">
        <f>SUM(F68,O68)/2</f>
        <v>0</v>
      </c>
      <c r="P193" s="128"/>
      <c r="R193" s="6" t="s">
        <v>117</v>
      </c>
    </row>
    <row r="194" spans="2:18" x14ac:dyDescent="0.2">
      <c r="B194" s="229" t="s">
        <v>323</v>
      </c>
      <c r="C194" s="241" t="s">
        <v>115</v>
      </c>
      <c r="D194" s="245" t="str">
        <f t="shared" si="52"/>
        <v>USD Million</v>
      </c>
      <c r="E194" s="245"/>
      <c r="F194" s="239">
        <f>F96</f>
        <v>0</v>
      </c>
      <c r="G194" s="239">
        <f>SUM(F96:G96)/2</f>
        <v>0</v>
      </c>
      <c r="H194" s="239">
        <f t="shared" ref="H194:N194" si="54">SUM(G96:H96)/2</f>
        <v>0</v>
      </c>
      <c r="I194" s="239">
        <f t="shared" si="54"/>
        <v>0</v>
      </c>
      <c r="J194" s="239">
        <f t="shared" si="54"/>
        <v>0</v>
      </c>
      <c r="K194" s="239">
        <f>K96</f>
        <v>0</v>
      </c>
      <c r="L194" s="239">
        <f t="shared" si="54"/>
        <v>0</v>
      </c>
      <c r="M194" s="239">
        <f t="shared" si="54"/>
        <v>0</v>
      </c>
      <c r="N194" s="239">
        <f t="shared" si="54"/>
        <v>0</v>
      </c>
      <c r="O194" s="239">
        <f>SUM(F96,O96)/2</f>
        <v>0</v>
      </c>
      <c r="P194" s="128"/>
      <c r="R194" s="6" t="s">
        <v>117</v>
      </c>
    </row>
    <row r="195" spans="2:18" x14ac:dyDescent="0.2">
      <c r="B195" s="229"/>
      <c r="C195" s="229"/>
      <c r="D195" s="245"/>
      <c r="E195" s="245"/>
      <c r="F195" s="229"/>
      <c r="G195" s="229"/>
      <c r="H195" s="229"/>
      <c r="I195" s="229"/>
      <c r="J195" s="229"/>
      <c r="K195" s="229"/>
      <c r="L195" s="229"/>
      <c r="M195" s="229"/>
      <c r="N195" s="229"/>
      <c r="O195" s="229"/>
      <c r="P195" s="128"/>
    </row>
    <row r="196" spans="2:18" x14ac:dyDescent="0.2">
      <c r="B196" s="232" t="s">
        <v>324</v>
      </c>
      <c r="C196" s="232" t="s">
        <v>325</v>
      </c>
      <c r="D196" s="245"/>
      <c r="E196" s="245"/>
      <c r="F196" s="229"/>
      <c r="G196" s="229"/>
      <c r="H196" s="229"/>
      <c r="I196" s="229"/>
      <c r="J196" s="229"/>
      <c r="K196" s="229"/>
      <c r="L196" s="229"/>
      <c r="M196" s="229"/>
      <c r="N196" s="229"/>
      <c r="O196" s="229"/>
      <c r="P196" s="128"/>
    </row>
    <row r="197" spans="2:18" x14ac:dyDescent="0.2">
      <c r="B197" s="229" t="s">
        <v>326</v>
      </c>
      <c r="C197" s="241" t="s">
        <v>1222</v>
      </c>
      <c r="D197" s="245" t="s">
        <v>118</v>
      </c>
      <c r="E197" s="245"/>
      <c r="F197" s="279" t="str">
        <f t="shared" ref="F197:O197" si="55">IF(OR(F204=0,F203=""),"",F203/F204)</f>
        <v/>
      </c>
      <c r="G197" s="279" t="str">
        <f t="shared" si="55"/>
        <v/>
      </c>
      <c r="H197" s="279" t="str">
        <f t="shared" si="55"/>
        <v/>
      </c>
      <c r="I197" s="279" t="str">
        <f t="shared" si="55"/>
        <v/>
      </c>
      <c r="J197" s="279" t="str">
        <f t="shared" si="55"/>
        <v/>
      </c>
      <c r="K197" s="279" t="str">
        <f t="shared" si="55"/>
        <v/>
      </c>
      <c r="L197" s="279" t="str">
        <f t="shared" si="55"/>
        <v/>
      </c>
      <c r="M197" s="279" t="str">
        <f t="shared" si="55"/>
        <v/>
      </c>
      <c r="N197" s="279" t="str">
        <f t="shared" si="55"/>
        <v/>
      </c>
      <c r="O197" s="279" t="str">
        <f t="shared" si="55"/>
        <v/>
      </c>
      <c r="P197" s="128">
        <f>+$P$173+17</f>
        <v>44</v>
      </c>
      <c r="Q197" s="6">
        <v>11</v>
      </c>
    </row>
    <row r="198" spans="2:18" x14ac:dyDescent="0.2">
      <c r="B198" s="229" t="s">
        <v>327</v>
      </c>
      <c r="C198" s="241" t="s">
        <v>106</v>
      </c>
      <c r="D198" s="245" t="s">
        <v>118</v>
      </c>
      <c r="E198" s="245"/>
      <c r="F198" s="280" t="e">
        <f>-F174/F37</f>
        <v>#DIV/0!</v>
      </c>
      <c r="G198" s="280" t="e">
        <f t="shared" ref="G198:O198" si="56">-G174/G37</f>
        <v>#DIV/0!</v>
      </c>
      <c r="H198" s="280" t="e">
        <f t="shared" si="56"/>
        <v>#DIV/0!</v>
      </c>
      <c r="I198" s="280" t="e">
        <f t="shared" si="56"/>
        <v>#DIV/0!</v>
      </c>
      <c r="J198" s="280" t="e">
        <f t="shared" si="56"/>
        <v>#DIV/0!</v>
      </c>
      <c r="K198" s="280" t="e">
        <f t="shared" si="56"/>
        <v>#DIV/0!</v>
      </c>
      <c r="L198" s="280" t="e">
        <f t="shared" si="56"/>
        <v>#DIV/0!</v>
      </c>
      <c r="M198" s="280" t="e">
        <f t="shared" si="56"/>
        <v>#DIV/0!</v>
      </c>
      <c r="N198" s="280" t="e">
        <f t="shared" si="56"/>
        <v>#DIV/0!</v>
      </c>
      <c r="O198" s="280" t="e">
        <f t="shared" si="56"/>
        <v>#DIV/0!</v>
      </c>
      <c r="P198" s="128">
        <f>+$P$173+16</f>
        <v>43</v>
      </c>
      <c r="R198" s="6" t="s">
        <v>110</v>
      </c>
    </row>
    <row r="199" spans="2:18" x14ac:dyDescent="0.2">
      <c r="B199" s="229" t="s">
        <v>328</v>
      </c>
      <c r="C199" s="241" t="s">
        <v>1223</v>
      </c>
      <c r="D199" s="245" t="s">
        <v>118</v>
      </c>
      <c r="E199" s="245"/>
      <c r="F199" s="278" t="e">
        <f>F202/(F174*4)</f>
        <v>#DIV/0!</v>
      </c>
      <c r="G199" s="278" t="e">
        <f>G202/(G174*4)</f>
        <v>#DIV/0!</v>
      </c>
      <c r="H199" s="278" t="e">
        <f>H202/(H174*4)</f>
        <v>#DIV/0!</v>
      </c>
      <c r="I199" s="278" t="e">
        <f>I202/(I174*4)</f>
        <v>#DIV/0!</v>
      </c>
      <c r="J199" s="278" t="e">
        <f>J202/(J174*4)</f>
        <v>#DIV/0!</v>
      </c>
      <c r="K199" s="278" t="e">
        <f>K202/(K174)</f>
        <v>#DIV/0!</v>
      </c>
      <c r="L199" s="278" t="e">
        <f>L202/(L174)</f>
        <v>#DIV/0!</v>
      </c>
      <c r="M199" s="278" t="e">
        <f>M202/(M174)</f>
        <v>#DIV/0!</v>
      </c>
      <c r="N199" s="278" t="e">
        <f>N202/(N174)</f>
        <v>#DIV/0!</v>
      </c>
      <c r="O199" s="278" t="e">
        <f>O202/(O174)</f>
        <v>#DIV/0!</v>
      </c>
      <c r="P199" s="128">
        <f>+$P$173+18</f>
        <v>45</v>
      </c>
      <c r="R199" s="6" t="s">
        <v>120</v>
      </c>
    </row>
    <row r="200" spans="2:18" x14ac:dyDescent="0.2">
      <c r="B200" s="229" t="s">
        <v>329</v>
      </c>
      <c r="C200" s="241" t="s">
        <v>107</v>
      </c>
      <c r="D200" s="245" t="s">
        <v>118</v>
      </c>
      <c r="E200" s="245"/>
      <c r="F200" s="278" t="e">
        <f>F118/F93</f>
        <v>#DIV/0!</v>
      </c>
      <c r="G200" s="278" t="e">
        <f t="shared" ref="G200:O200" si="57">G118/G93</f>
        <v>#DIV/0!</v>
      </c>
      <c r="H200" s="278" t="e">
        <f t="shared" si="57"/>
        <v>#DIV/0!</v>
      </c>
      <c r="I200" s="278" t="e">
        <f t="shared" si="57"/>
        <v>#DIV/0!</v>
      </c>
      <c r="J200" s="278" t="e">
        <f t="shared" si="57"/>
        <v>#DIV/0!</v>
      </c>
      <c r="K200" s="278" t="e">
        <f t="shared" si="57"/>
        <v>#DIV/0!</v>
      </c>
      <c r="L200" s="278" t="e">
        <f t="shared" si="57"/>
        <v>#DIV/0!</v>
      </c>
      <c r="M200" s="278" t="e">
        <f t="shared" si="57"/>
        <v>#DIV/0!</v>
      </c>
      <c r="N200" s="278" t="e">
        <f t="shared" si="57"/>
        <v>#DIV/0!</v>
      </c>
      <c r="O200" s="278" t="e">
        <f t="shared" si="57"/>
        <v>#DIV/0!</v>
      </c>
      <c r="P200" s="128"/>
    </row>
    <row r="201" spans="2:18" x14ac:dyDescent="0.2">
      <c r="B201" s="229" t="s">
        <v>330</v>
      </c>
      <c r="C201" s="241" t="s">
        <v>111</v>
      </c>
      <c r="D201" s="245" t="s">
        <v>118</v>
      </c>
      <c r="E201" s="245"/>
      <c r="F201" s="278" t="e">
        <f>F202/F120</f>
        <v>#DIV/0!</v>
      </c>
      <c r="G201" s="278" t="e">
        <f t="shared" ref="G201:O201" si="58">G202/G120</f>
        <v>#DIV/0!</v>
      </c>
      <c r="H201" s="278" t="e">
        <f t="shared" si="58"/>
        <v>#DIV/0!</v>
      </c>
      <c r="I201" s="278" t="e">
        <f t="shared" si="58"/>
        <v>#DIV/0!</v>
      </c>
      <c r="J201" s="278" t="e">
        <f t="shared" si="58"/>
        <v>#DIV/0!</v>
      </c>
      <c r="K201" s="278" t="e">
        <f t="shared" si="58"/>
        <v>#DIV/0!</v>
      </c>
      <c r="L201" s="278" t="e">
        <f t="shared" si="58"/>
        <v>#DIV/0!</v>
      </c>
      <c r="M201" s="278" t="e">
        <f t="shared" si="58"/>
        <v>#DIV/0!</v>
      </c>
      <c r="N201" s="278" t="e">
        <f t="shared" si="58"/>
        <v>#DIV/0!</v>
      </c>
      <c r="O201" s="278" t="e">
        <f t="shared" si="58"/>
        <v>#DIV/0!</v>
      </c>
      <c r="P201" s="128">
        <f>+$P$173+19</f>
        <v>46</v>
      </c>
    </row>
    <row r="202" spans="2:18" x14ac:dyDescent="0.2">
      <c r="B202" s="229" t="s">
        <v>331</v>
      </c>
      <c r="C202" s="241" t="s">
        <v>109</v>
      </c>
      <c r="D202" s="245" t="str">
        <f t="shared" ref="D202:D204" si="59">$D$7</f>
        <v>USD Million</v>
      </c>
      <c r="E202" s="245"/>
      <c r="F202" s="239">
        <f t="shared" ref="F202:O202" si="60">F97+F108</f>
        <v>0</v>
      </c>
      <c r="G202" s="239">
        <f t="shared" si="60"/>
        <v>0</v>
      </c>
      <c r="H202" s="239">
        <f t="shared" si="60"/>
        <v>0</v>
      </c>
      <c r="I202" s="239">
        <f t="shared" si="60"/>
        <v>0</v>
      </c>
      <c r="J202" s="239">
        <f t="shared" si="60"/>
        <v>0</v>
      </c>
      <c r="K202" s="239">
        <f t="shared" si="60"/>
        <v>0</v>
      </c>
      <c r="L202" s="239">
        <f t="shared" si="60"/>
        <v>0</v>
      </c>
      <c r="M202" s="239">
        <f t="shared" si="60"/>
        <v>0</v>
      </c>
      <c r="N202" s="239">
        <f t="shared" si="60"/>
        <v>0</v>
      </c>
      <c r="O202" s="239">
        <f t="shared" si="60"/>
        <v>0</v>
      </c>
      <c r="P202" s="128"/>
    </row>
    <row r="203" spans="2:18" x14ac:dyDescent="0.2">
      <c r="B203" s="229" t="s">
        <v>332</v>
      </c>
      <c r="C203" s="241" t="s">
        <v>108</v>
      </c>
      <c r="D203" s="245" t="str">
        <f t="shared" si="59"/>
        <v>USD Million</v>
      </c>
      <c r="E203" s="245"/>
      <c r="F203" s="268" t="str">
        <f t="shared" ref="F203:O203" si="61">IF(F162=0,"",(F174+F45+F142))</f>
        <v/>
      </c>
      <c r="G203" s="268" t="str">
        <f t="shared" si="61"/>
        <v/>
      </c>
      <c r="H203" s="268" t="str">
        <f t="shared" si="61"/>
        <v/>
      </c>
      <c r="I203" s="268" t="str">
        <f t="shared" si="61"/>
        <v/>
      </c>
      <c r="J203" s="268" t="str">
        <f t="shared" si="61"/>
        <v/>
      </c>
      <c r="K203" s="268" t="str">
        <f t="shared" si="61"/>
        <v/>
      </c>
      <c r="L203" s="268" t="str">
        <f t="shared" si="61"/>
        <v/>
      </c>
      <c r="M203" s="268" t="str">
        <f t="shared" si="61"/>
        <v/>
      </c>
      <c r="N203" s="268" t="str">
        <f t="shared" si="61"/>
        <v/>
      </c>
      <c r="O203" s="268" t="str">
        <f t="shared" si="61"/>
        <v/>
      </c>
      <c r="P203" s="128"/>
      <c r="R203" s="46" t="s">
        <v>422</v>
      </c>
    </row>
    <row r="204" spans="2:18" x14ac:dyDescent="0.2">
      <c r="B204" s="229" t="s">
        <v>333</v>
      </c>
      <c r="C204" s="241" t="s">
        <v>423</v>
      </c>
      <c r="D204" s="245" t="str">
        <f t="shared" si="59"/>
        <v>USD Million</v>
      </c>
      <c r="E204" s="245"/>
      <c r="F204" s="239">
        <f>F97/4-F37</f>
        <v>0</v>
      </c>
      <c r="G204" s="239">
        <f>G97/4-G37</f>
        <v>0</v>
      </c>
      <c r="H204" s="239">
        <f>H97/4-H37</f>
        <v>0</v>
      </c>
      <c r="I204" s="239">
        <f>I97/4-I37</f>
        <v>0</v>
      </c>
      <c r="J204" s="239">
        <f>J97/4-J37</f>
        <v>0</v>
      </c>
      <c r="K204" s="239">
        <f>K97-K37</f>
        <v>0</v>
      </c>
      <c r="L204" s="239">
        <f>L97-L37</f>
        <v>0</v>
      </c>
      <c r="M204" s="239">
        <f>M97-M37</f>
        <v>0</v>
      </c>
      <c r="N204" s="239">
        <f>N97-N37</f>
        <v>0</v>
      </c>
      <c r="O204" s="239">
        <f>O97-O37</f>
        <v>0</v>
      </c>
      <c r="P204" s="128"/>
      <c r="R204" s="6" t="s">
        <v>845</v>
      </c>
    </row>
    <row r="205" spans="2:18" x14ac:dyDescent="0.2">
      <c r="B205" s="229"/>
      <c r="C205" s="229"/>
      <c r="D205" s="229"/>
      <c r="E205" s="244"/>
      <c r="F205" s="229"/>
      <c r="G205" s="229"/>
      <c r="H205" s="229"/>
      <c r="I205" s="229"/>
      <c r="J205" s="229"/>
      <c r="K205" s="229"/>
      <c r="L205" s="229"/>
      <c r="M205" s="229"/>
      <c r="N205" s="229"/>
      <c r="O205" s="229"/>
      <c r="P205" s="128"/>
    </row>
    <row r="206" spans="2:18" x14ac:dyDescent="0.2">
      <c r="B206" s="229"/>
      <c r="C206" s="232" t="s">
        <v>448</v>
      </c>
      <c r="D206" s="229"/>
      <c r="E206" s="244"/>
      <c r="F206" s="229"/>
      <c r="G206" s="229"/>
      <c r="H206" s="229"/>
      <c r="I206" s="229"/>
      <c r="J206" s="229"/>
      <c r="K206" s="229"/>
      <c r="L206" s="229"/>
      <c r="M206" s="229"/>
      <c r="N206" s="229"/>
      <c r="O206" s="229"/>
      <c r="P206" s="128"/>
    </row>
    <row r="207" spans="2:18" x14ac:dyDescent="0.2">
      <c r="B207" s="232" t="s">
        <v>449</v>
      </c>
      <c r="C207" s="232" t="s">
        <v>450</v>
      </c>
      <c r="D207" s="229"/>
      <c r="E207" s="244"/>
      <c r="F207" s="229"/>
      <c r="G207" s="229"/>
      <c r="H207" s="229"/>
      <c r="I207" s="229"/>
      <c r="J207" s="229"/>
      <c r="K207" s="229"/>
      <c r="L207" s="229"/>
      <c r="M207" s="229"/>
      <c r="N207" s="229"/>
      <c r="O207" s="229"/>
      <c r="P207" s="128"/>
    </row>
    <row r="208" spans="2:18" x14ac:dyDescent="0.2">
      <c r="B208" s="229" t="s">
        <v>451</v>
      </c>
      <c r="C208" s="241" t="s">
        <v>103</v>
      </c>
      <c r="D208" s="245" t="s">
        <v>93</v>
      </c>
      <c r="E208" s="244"/>
      <c r="F208" s="242" t="e">
        <f>F182</f>
        <v>#DIV/0!</v>
      </c>
      <c r="G208" s="242" t="e">
        <f t="shared" ref="G208:O208" si="62">G182</f>
        <v>#DIV/0!</v>
      </c>
      <c r="H208" s="242" t="e">
        <f t="shared" si="62"/>
        <v>#DIV/0!</v>
      </c>
      <c r="I208" s="242" t="e">
        <f t="shared" si="62"/>
        <v>#DIV/0!</v>
      </c>
      <c r="J208" s="242" t="e">
        <f t="shared" si="62"/>
        <v>#DIV/0!</v>
      </c>
      <c r="K208" s="242" t="e">
        <f t="shared" si="62"/>
        <v>#DIV/0!</v>
      </c>
      <c r="L208" s="242" t="e">
        <f t="shared" si="62"/>
        <v>#DIV/0!</v>
      </c>
      <c r="M208" s="242" t="e">
        <f t="shared" si="62"/>
        <v>#DIV/0!</v>
      </c>
      <c r="N208" s="242" t="e">
        <f t="shared" si="62"/>
        <v>#DIV/0!</v>
      </c>
      <c r="O208" s="242" t="e">
        <f t="shared" si="62"/>
        <v>#DIV/0!</v>
      </c>
      <c r="P208" s="128"/>
      <c r="R208" s="6" t="s">
        <v>452</v>
      </c>
    </row>
    <row r="209" spans="2:18" x14ac:dyDescent="0.2">
      <c r="B209" s="229" t="s">
        <v>453</v>
      </c>
      <c r="C209" s="241" t="s">
        <v>454</v>
      </c>
      <c r="D209" s="245" t="s">
        <v>118</v>
      </c>
      <c r="E209" s="244"/>
      <c r="F209" s="278" t="e">
        <f>F215/(F204*4)</f>
        <v>#DIV/0!</v>
      </c>
      <c r="G209" s="278" t="e">
        <f>G215/(G204*4)</f>
        <v>#DIV/0!</v>
      </c>
      <c r="H209" s="278" t="e">
        <f>H215/(H204*4)</f>
        <v>#DIV/0!</v>
      </c>
      <c r="I209" s="278" t="e">
        <f>I215/(I204*4)</f>
        <v>#DIV/0!</v>
      </c>
      <c r="J209" s="278" t="e">
        <f>J215/(J204*4)</f>
        <v>#DIV/0!</v>
      </c>
      <c r="K209" s="278" t="e">
        <f>K215/K204</f>
        <v>#DIV/0!</v>
      </c>
      <c r="L209" s="278" t="e">
        <f>L215/L204</f>
        <v>#DIV/0!</v>
      </c>
      <c r="M209" s="278" t="e">
        <f>M215/M204</f>
        <v>#DIV/0!</v>
      </c>
      <c r="N209" s="278" t="e">
        <f>N215/N204</f>
        <v>#DIV/0!</v>
      </c>
      <c r="O209" s="278" t="e">
        <f>O215/O204</f>
        <v>#DIV/0!</v>
      </c>
      <c r="P209" s="128">
        <f>+$P$173+21</f>
        <v>48</v>
      </c>
      <c r="R209" s="6" t="s">
        <v>846</v>
      </c>
    </row>
    <row r="210" spans="2:18" x14ac:dyDescent="0.2">
      <c r="B210" s="229" t="s">
        <v>455</v>
      </c>
      <c r="C210" s="241" t="s">
        <v>456</v>
      </c>
      <c r="D210" s="245" t="s">
        <v>118</v>
      </c>
      <c r="E210" s="244"/>
      <c r="F210" s="281" t="e">
        <f>F118/F215</f>
        <v>#DIV/0!</v>
      </c>
      <c r="G210" s="281" t="e">
        <f t="shared" ref="G210:O210" si="63">G118/G215</f>
        <v>#DIV/0!</v>
      </c>
      <c r="H210" s="281" t="e">
        <f t="shared" si="63"/>
        <v>#DIV/0!</v>
      </c>
      <c r="I210" s="281" t="e">
        <f t="shared" si="63"/>
        <v>#DIV/0!</v>
      </c>
      <c r="J210" s="281" t="e">
        <f t="shared" si="63"/>
        <v>#DIV/0!</v>
      </c>
      <c r="K210" s="281" t="e">
        <f t="shared" si="63"/>
        <v>#DIV/0!</v>
      </c>
      <c r="L210" s="281" t="e">
        <f t="shared" si="63"/>
        <v>#DIV/0!</v>
      </c>
      <c r="M210" s="281" t="e">
        <f t="shared" si="63"/>
        <v>#DIV/0!</v>
      </c>
      <c r="N210" s="281" t="e">
        <f t="shared" si="63"/>
        <v>#DIV/0!</v>
      </c>
      <c r="O210" s="281" t="e">
        <f t="shared" si="63"/>
        <v>#DIV/0!</v>
      </c>
      <c r="P210" s="128">
        <f>+$P$173+22</f>
        <v>49</v>
      </c>
      <c r="R210" s="6" t="s">
        <v>847</v>
      </c>
    </row>
    <row r="211" spans="2:18" x14ac:dyDescent="0.2">
      <c r="B211" s="229" t="s">
        <v>457</v>
      </c>
      <c r="C211" s="241" t="s">
        <v>458</v>
      </c>
      <c r="D211" s="245" t="s">
        <v>118</v>
      </c>
      <c r="E211" s="244"/>
      <c r="F211" s="278" t="str">
        <f>F232</f>
        <v/>
      </c>
      <c r="G211" s="278" t="str">
        <f t="shared" ref="G211:O211" si="64">G232</f>
        <v/>
      </c>
      <c r="H211" s="278" t="str">
        <f t="shared" si="64"/>
        <v/>
      </c>
      <c r="I211" s="278" t="str">
        <f t="shared" si="64"/>
        <v/>
      </c>
      <c r="J211" s="278" t="str">
        <f t="shared" si="64"/>
        <v/>
      </c>
      <c r="K211" s="278" t="str">
        <f t="shared" si="64"/>
        <v/>
      </c>
      <c r="L211" s="278" t="str">
        <f t="shared" si="64"/>
        <v/>
      </c>
      <c r="M211" s="278" t="str">
        <f t="shared" si="64"/>
        <v/>
      </c>
      <c r="N211" s="278" t="str">
        <f t="shared" si="64"/>
        <v/>
      </c>
      <c r="O211" s="278" t="str">
        <f t="shared" si="64"/>
        <v/>
      </c>
      <c r="P211" s="128"/>
      <c r="R211" s="6" t="s">
        <v>459</v>
      </c>
    </row>
    <row r="212" spans="2:18" x14ac:dyDescent="0.2">
      <c r="B212" s="229" t="s">
        <v>460</v>
      </c>
      <c r="C212" s="241" t="s">
        <v>1224</v>
      </c>
      <c r="D212" s="245" t="s">
        <v>93</v>
      </c>
      <c r="E212" s="244"/>
      <c r="F212" s="242" t="e">
        <f>F13*4/F93</f>
        <v>#DIV/0!</v>
      </c>
      <c r="G212" s="242" t="e">
        <f>G13*4/G93</f>
        <v>#DIV/0!</v>
      </c>
      <c r="H212" s="242" t="e">
        <f>H13*4/H93</f>
        <v>#DIV/0!</v>
      </c>
      <c r="I212" s="242" t="e">
        <f>I13*4/I93</f>
        <v>#DIV/0!</v>
      </c>
      <c r="J212" s="242" t="e">
        <f>J13*4/J93</f>
        <v>#DIV/0!</v>
      </c>
      <c r="K212" s="242" t="e">
        <f>K13/K93</f>
        <v>#DIV/0!</v>
      </c>
      <c r="L212" s="242" t="e">
        <f>L13/L93</f>
        <v>#DIV/0!</v>
      </c>
      <c r="M212" s="242" t="e">
        <f>M13/M93</f>
        <v>#DIV/0!</v>
      </c>
      <c r="N212" s="242" t="e">
        <f>N13/N93</f>
        <v>#DIV/0!</v>
      </c>
      <c r="O212" s="242" t="e">
        <f>O13/O93</f>
        <v>#DIV/0!</v>
      </c>
      <c r="P212" s="128">
        <f>+$P$173+4</f>
        <v>31</v>
      </c>
      <c r="R212" s="6" t="s">
        <v>461</v>
      </c>
    </row>
    <row r="213" spans="2:18" x14ac:dyDescent="0.2">
      <c r="B213" s="229" t="s">
        <v>462</v>
      </c>
      <c r="C213" s="241" t="s">
        <v>463</v>
      </c>
      <c r="D213" s="245" t="s">
        <v>93</v>
      </c>
      <c r="E213" s="244"/>
      <c r="F213" s="242">
        <f>F218</f>
        <v>0</v>
      </c>
      <c r="G213" s="242" t="e">
        <f t="shared" ref="G213:O213" si="65">G218</f>
        <v>#DIV/0!</v>
      </c>
      <c r="H213" s="242" t="e">
        <f t="shared" si="65"/>
        <v>#DIV/0!</v>
      </c>
      <c r="I213" s="242" t="e">
        <f t="shared" si="65"/>
        <v>#DIV/0!</v>
      </c>
      <c r="J213" s="242" t="e">
        <f t="shared" si="65"/>
        <v>#DIV/0!</v>
      </c>
      <c r="K213" s="242">
        <f t="shared" si="65"/>
        <v>0</v>
      </c>
      <c r="L213" s="242" t="e">
        <f t="shared" si="65"/>
        <v>#DIV/0!</v>
      </c>
      <c r="M213" s="242" t="e">
        <f t="shared" si="65"/>
        <v>#DIV/0!</v>
      </c>
      <c r="N213" s="242" t="e">
        <f t="shared" si="65"/>
        <v>#DIV/0!</v>
      </c>
      <c r="O213" s="242" t="e">
        <f t="shared" si="65"/>
        <v>#DIV/0!</v>
      </c>
      <c r="P213" s="128">
        <f>+$P$173+5</f>
        <v>32</v>
      </c>
      <c r="R213" s="6" t="s">
        <v>464</v>
      </c>
    </row>
    <row r="214" spans="2:18" x14ac:dyDescent="0.2">
      <c r="B214" s="229" t="s">
        <v>465</v>
      </c>
      <c r="C214" s="241" t="s">
        <v>466</v>
      </c>
      <c r="D214" s="245" t="s">
        <v>118</v>
      </c>
      <c r="E214" s="244"/>
      <c r="F214" s="281" t="e">
        <f>F242</f>
        <v>#DIV/0!</v>
      </c>
      <c r="G214" s="281" t="e">
        <f t="shared" ref="G214:O214" si="66">G242</f>
        <v>#DIV/0!</v>
      </c>
      <c r="H214" s="281" t="e">
        <f t="shared" si="66"/>
        <v>#DIV/0!</v>
      </c>
      <c r="I214" s="281" t="e">
        <f t="shared" si="66"/>
        <v>#DIV/0!</v>
      </c>
      <c r="J214" s="281" t="e">
        <f t="shared" si="66"/>
        <v>#DIV/0!</v>
      </c>
      <c r="K214" s="281" t="e">
        <f t="shared" si="66"/>
        <v>#DIV/0!</v>
      </c>
      <c r="L214" s="281" t="e">
        <f t="shared" si="66"/>
        <v>#DIV/0!</v>
      </c>
      <c r="M214" s="281" t="e">
        <f t="shared" si="66"/>
        <v>#DIV/0!</v>
      </c>
      <c r="N214" s="281" t="e">
        <f t="shared" si="66"/>
        <v>#DIV/0!</v>
      </c>
      <c r="O214" s="281" t="e">
        <f t="shared" si="66"/>
        <v>#DIV/0!</v>
      </c>
      <c r="P214" s="128"/>
      <c r="R214" s="6" t="s">
        <v>467</v>
      </c>
    </row>
    <row r="215" spans="2:18" x14ac:dyDescent="0.2">
      <c r="B215" s="229" t="s">
        <v>468</v>
      </c>
      <c r="C215" s="241" t="s">
        <v>469</v>
      </c>
      <c r="D215" s="245" t="str">
        <f t="shared" ref="D215" si="67">$D$7</f>
        <v>USD Million</v>
      </c>
      <c r="E215" s="244"/>
      <c r="F215" s="239">
        <f>F93-F80-F118</f>
        <v>0</v>
      </c>
      <c r="G215" s="239">
        <f t="shared" ref="G215:O215" si="68">G93-G80-G118</f>
        <v>0</v>
      </c>
      <c r="H215" s="239">
        <f t="shared" si="68"/>
        <v>0</v>
      </c>
      <c r="I215" s="239">
        <f t="shared" si="68"/>
        <v>0</v>
      </c>
      <c r="J215" s="239">
        <f t="shared" si="68"/>
        <v>0</v>
      </c>
      <c r="K215" s="239">
        <f t="shared" si="68"/>
        <v>0</v>
      </c>
      <c r="L215" s="239">
        <f t="shared" si="68"/>
        <v>0</v>
      </c>
      <c r="M215" s="239">
        <f t="shared" si="68"/>
        <v>0</v>
      </c>
      <c r="N215" s="239">
        <f t="shared" si="68"/>
        <v>0</v>
      </c>
      <c r="O215" s="239">
        <f t="shared" si="68"/>
        <v>0</v>
      </c>
      <c r="P215" s="128">
        <f>+$P$173+20</f>
        <v>47</v>
      </c>
      <c r="R215" s="6" t="s">
        <v>470</v>
      </c>
    </row>
    <row r="216" spans="2:18" x14ac:dyDescent="0.2">
      <c r="B216" s="229"/>
      <c r="C216" s="229"/>
      <c r="D216" s="245"/>
      <c r="E216" s="244"/>
      <c r="F216" s="229"/>
      <c r="G216" s="229"/>
      <c r="H216" s="229"/>
      <c r="I216" s="229"/>
      <c r="J216" s="229"/>
      <c r="K216" s="229"/>
      <c r="L216" s="229"/>
      <c r="M216" s="229"/>
      <c r="N216" s="229"/>
      <c r="O216" s="229"/>
      <c r="P216" s="128"/>
    </row>
    <row r="217" spans="2:18" x14ac:dyDescent="0.2">
      <c r="B217" s="232" t="s">
        <v>471</v>
      </c>
      <c r="C217" s="232" t="s">
        <v>472</v>
      </c>
      <c r="D217" s="245"/>
      <c r="E217" s="244"/>
      <c r="F217" s="229"/>
      <c r="G217" s="229"/>
      <c r="H217" s="229"/>
      <c r="I217" s="229"/>
      <c r="J217" s="229"/>
      <c r="K217" s="229"/>
      <c r="L217" s="229"/>
      <c r="M217" s="229"/>
      <c r="N217" s="229"/>
      <c r="O217" s="229"/>
      <c r="P217" s="128"/>
    </row>
    <row r="218" spans="2:18" x14ac:dyDescent="0.2">
      <c r="B218" s="229" t="s">
        <v>473</v>
      </c>
      <c r="C218" s="241" t="s">
        <v>474</v>
      </c>
      <c r="D218" s="245" t="s">
        <v>93</v>
      </c>
      <c r="E218" s="244"/>
      <c r="F218" s="248"/>
      <c r="G218" s="242" t="e">
        <f>(G13-F13)/F13</f>
        <v>#DIV/0!</v>
      </c>
      <c r="H218" s="242" t="e">
        <f>(H13-G13)/G13</f>
        <v>#DIV/0!</v>
      </c>
      <c r="I218" s="242" t="e">
        <f>(I13-H13)/H13</f>
        <v>#DIV/0!</v>
      </c>
      <c r="J218" s="242" t="e">
        <f>(J13-I13)/I13</f>
        <v>#DIV/0!</v>
      </c>
      <c r="K218" s="248"/>
      <c r="L218" s="242" t="e">
        <f>(L13-K13)/K13</f>
        <v>#DIV/0!</v>
      </c>
      <c r="M218" s="242" t="e">
        <f>(M13-L13)/L13</f>
        <v>#DIV/0!</v>
      </c>
      <c r="N218" s="242" t="e">
        <f>(N13-M13)/M13</f>
        <v>#DIV/0!</v>
      </c>
      <c r="O218" s="242" t="e">
        <f>(O13-E13)/E13</f>
        <v>#DIV/0!</v>
      </c>
      <c r="P218" s="128"/>
      <c r="R218" s="69" t="s">
        <v>475</v>
      </c>
    </row>
    <row r="219" spans="2:18" x14ac:dyDescent="0.2">
      <c r="B219" s="229" t="s">
        <v>476</v>
      </c>
      <c r="C219" s="241" t="s">
        <v>477</v>
      </c>
      <c r="D219" s="245" t="s">
        <v>93</v>
      </c>
      <c r="E219" s="244"/>
      <c r="F219" s="248"/>
      <c r="G219" s="242" t="e">
        <f>(G51-F51)/(ABS(F51))</f>
        <v>#DIV/0!</v>
      </c>
      <c r="H219" s="242" t="e">
        <f>(H51-G51)/(ABS(G51))</f>
        <v>#DIV/0!</v>
      </c>
      <c r="I219" s="242" t="e">
        <f>(I51-H51)/(ABS(H51))</f>
        <v>#DIV/0!</v>
      </c>
      <c r="J219" s="242" t="e">
        <f>(J51-I51)/(ABS(I51))</f>
        <v>#DIV/0!</v>
      </c>
      <c r="K219" s="248"/>
      <c r="L219" s="242" t="e">
        <f>(L51-K51)/(ABS(K51))</f>
        <v>#DIV/0!</v>
      </c>
      <c r="M219" s="242" t="e">
        <f>(M51-L51)/(ABS(L51))</f>
        <v>#DIV/0!</v>
      </c>
      <c r="N219" s="242" t="e">
        <f>(N51-M51)/(ABS(M51))</f>
        <v>#DIV/0!</v>
      </c>
      <c r="O219" s="242" t="e">
        <f>(O51-E51)/(ABS(E51))</f>
        <v>#DIV/0!</v>
      </c>
      <c r="P219" s="128"/>
      <c r="R219" s="69" t="s">
        <v>475</v>
      </c>
    </row>
    <row r="220" spans="2:18" x14ac:dyDescent="0.2">
      <c r="B220" s="229" t="s">
        <v>478</v>
      </c>
      <c r="C220" s="241" t="s">
        <v>479</v>
      </c>
      <c r="D220" s="245" t="s">
        <v>93</v>
      </c>
      <c r="E220" s="244"/>
      <c r="F220" s="248"/>
      <c r="G220" s="242" t="e">
        <f>(G93-F93)/F93</f>
        <v>#DIV/0!</v>
      </c>
      <c r="H220" s="242" t="e">
        <f>(H93-G93)/G93</f>
        <v>#DIV/0!</v>
      </c>
      <c r="I220" s="242" t="e">
        <f>(I93-H93)/H93</f>
        <v>#DIV/0!</v>
      </c>
      <c r="J220" s="242" t="e">
        <f>(J93-I93)/I93</f>
        <v>#DIV/0!</v>
      </c>
      <c r="K220" s="248"/>
      <c r="L220" s="242" t="e">
        <f>(L93-K93)/K93</f>
        <v>#DIV/0!</v>
      </c>
      <c r="M220" s="242" t="e">
        <f>(M93-L93)/L93</f>
        <v>#DIV/0!</v>
      </c>
      <c r="N220" s="242" t="e">
        <f>(N93-M93)/M93</f>
        <v>#DIV/0!</v>
      </c>
      <c r="O220" s="242" t="e">
        <f>(O93-F93)/F93</f>
        <v>#DIV/0!</v>
      </c>
      <c r="P220" s="128"/>
      <c r="R220" s="69" t="s">
        <v>475</v>
      </c>
    </row>
    <row r="221" spans="2:18" x14ac:dyDescent="0.2">
      <c r="B221" s="229" t="s">
        <v>480</v>
      </c>
      <c r="C221" s="241" t="s">
        <v>481</v>
      </c>
      <c r="D221" s="245" t="s">
        <v>93</v>
      </c>
      <c r="E221" s="244"/>
      <c r="F221" s="248"/>
      <c r="G221" s="242" t="e">
        <f>((G93-G80)-(F93-F80))/(F93-F80)</f>
        <v>#DIV/0!</v>
      </c>
      <c r="H221" s="242" t="e">
        <f>((H93-H80)-(G93-G80))/(G93-G80)</f>
        <v>#DIV/0!</v>
      </c>
      <c r="I221" s="242" t="e">
        <f>((I93-I80)-(H93-H80))/(H93-H80)</f>
        <v>#DIV/0!</v>
      </c>
      <c r="J221" s="242" t="e">
        <f>((J93-J80)-(I93-I80))/(I93-I80)</f>
        <v>#DIV/0!</v>
      </c>
      <c r="K221" s="248"/>
      <c r="L221" s="242" t="e">
        <f>((L93-L80)-(K93-K80))/(K93-K80)</f>
        <v>#DIV/0!</v>
      </c>
      <c r="M221" s="242" t="e">
        <f>((M93-M80)-(L93-L80))/(L93-L80)</f>
        <v>#DIV/0!</v>
      </c>
      <c r="N221" s="242" t="e">
        <f>((N93-N80)-(M93-M80))/(M93-M80)</f>
        <v>#DIV/0!</v>
      </c>
      <c r="O221" s="242" t="e">
        <f>((O93-O80)-(F93-F80))/(F93-F80)</f>
        <v>#DIV/0!</v>
      </c>
      <c r="P221" s="128"/>
      <c r="R221" s="69" t="s">
        <v>475</v>
      </c>
    </row>
    <row r="222" spans="2:18" x14ac:dyDescent="0.2">
      <c r="B222" s="229"/>
      <c r="C222" s="229"/>
      <c r="D222" s="245"/>
      <c r="E222" s="244"/>
      <c r="F222" s="229"/>
      <c r="G222" s="229"/>
      <c r="H222" s="229"/>
      <c r="I222" s="229"/>
      <c r="J222" s="229"/>
      <c r="K222" s="229"/>
      <c r="L222" s="229"/>
      <c r="M222" s="229"/>
      <c r="N222" s="229"/>
      <c r="O222" s="229"/>
      <c r="P222" s="128"/>
    </row>
    <row r="223" spans="2:18" x14ac:dyDescent="0.2">
      <c r="B223" s="232" t="s">
        <v>482</v>
      </c>
      <c r="C223" s="232" t="s">
        <v>483</v>
      </c>
      <c r="D223" s="245"/>
      <c r="E223" s="244"/>
      <c r="F223" s="229"/>
      <c r="G223" s="229"/>
      <c r="H223" s="229"/>
      <c r="I223" s="229"/>
      <c r="J223" s="229"/>
      <c r="K223" s="229"/>
      <c r="L223" s="229"/>
      <c r="M223" s="229"/>
      <c r="N223" s="229"/>
      <c r="O223" s="229"/>
      <c r="P223" s="128"/>
    </row>
    <row r="224" spans="2:18" x14ac:dyDescent="0.2">
      <c r="B224" s="229" t="s">
        <v>484</v>
      </c>
      <c r="C224" s="241" t="s">
        <v>1225</v>
      </c>
      <c r="D224" s="245" t="s">
        <v>93</v>
      </c>
      <c r="E224" s="244"/>
      <c r="F224" s="242" t="e">
        <f>F51*4/F93</f>
        <v>#DIV/0!</v>
      </c>
      <c r="G224" s="242" t="e">
        <f t="shared" ref="G224:J224" si="69">G51*4/G93</f>
        <v>#DIV/0!</v>
      </c>
      <c r="H224" s="242" t="e">
        <f t="shared" si="69"/>
        <v>#DIV/0!</v>
      </c>
      <c r="I224" s="242" t="e">
        <f t="shared" si="69"/>
        <v>#DIV/0!</v>
      </c>
      <c r="J224" s="242" t="e">
        <f t="shared" si="69"/>
        <v>#DIV/0!</v>
      </c>
      <c r="K224" s="242" t="e">
        <f t="shared" ref="K224:O224" si="70">K51/K93</f>
        <v>#DIV/0!</v>
      </c>
      <c r="L224" s="242" t="e">
        <f t="shared" si="70"/>
        <v>#DIV/0!</v>
      </c>
      <c r="M224" s="242" t="e">
        <f t="shared" si="70"/>
        <v>#DIV/0!</v>
      </c>
      <c r="N224" s="242" t="e">
        <f t="shared" si="70"/>
        <v>#DIV/0!</v>
      </c>
      <c r="O224" s="242" t="e">
        <f t="shared" si="70"/>
        <v>#DIV/0!</v>
      </c>
      <c r="P224" s="128"/>
      <c r="R224" s="6" t="s">
        <v>485</v>
      </c>
    </row>
    <row r="225" spans="2:18" x14ac:dyDescent="0.2">
      <c r="B225" s="229" t="s">
        <v>486</v>
      </c>
      <c r="C225" s="241" t="s">
        <v>1322</v>
      </c>
      <c r="D225" s="245" t="s">
        <v>93</v>
      </c>
      <c r="E225" s="244"/>
      <c r="F225" s="242" t="e">
        <f>F51*4/F120</f>
        <v>#DIV/0!</v>
      </c>
      <c r="G225" s="242" t="e">
        <f>G51*4/G120</f>
        <v>#DIV/0!</v>
      </c>
      <c r="H225" s="242" t="e">
        <f>H51*4/H120</f>
        <v>#DIV/0!</v>
      </c>
      <c r="I225" s="242" t="e">
        <f>I51*4/I120</f>
        <v>#DIV/0!</v>
      </c>
      <c r="J225" s="242" t="e">
        <f>J51*4/J120</f>
        <v>#DIV/0!</v>
      </c>
      <c r="K225" s="242" t="e">
        <f>K51/K120</f>
        <v>#DIV/0!</v>
      </c>
      <c r="L225" s="242" t="e">
        <f>L51/L120</f>
        <v>#DIV/0!</v>
      </c>
      <c r="M225" s="242" t="e">
        <f>M51/M120</f>
        <v>#DIV/0!</v>
      </c>
      <c r="N225" s="242" t="e">
        <f>N51/N120</f>
        <v>#DIV/0!</v>
      </c>
      <c r="O225" s="242" t="e">
        <f>O51/O120</f>
        <v>#DIV/0!</v>
      </c>
      <c r="P225" s="128">
        <f>+$P$173+8</f>
        <v>35</v>
      </c>
      <c r="R225" s="6" t="s">
        <v>487</v>
      </c>
    </row>
    <row r="226" spans="2:18" x14ac:dyDescent="0.2">
      <c r="B226" s="229"/>
      <c r="C226" s="229"/>
      <c r="D226" s="245"/>
      <c r="E226" s="244"/>
      <c r="F226" s="229"/>
      <c r="G226" s="229"/>
      <c r="H226" s="229"/>
      <c r="I226" s="229"/>
      <c r="J226" s="229"/>
      <c r="K226" s="229"/>
      <c r="L226" s="229"/>
      <c r="M226" s="229"/>
      <c r="N226" s="229"/>
      <c r="O226" s="229"/>
      <c r="P226" s="128"/>
    </row>
    <row r="227" spans="2:18" x14ac:dyDescent="0.2">
      <c r="B227" s="232" t="s">
        <v>488</v>
      </c>
      <c r="C227" s="232" t="s">
        <v>489</v>
      </c>
      <c r="D227" s="245"/>
      <c r="E227" s="244"/>
      <c r="F227" s="229"/>
      <c r="G227" s="229"/>
      <c r="H227" s="229"/>
      <c r="I227" s="229"/>
      <c r="J227" s="229"/>
      <c r="K227" s="229"/>
      <c r="L227" s="229"/>
      <c r="M227" s="229"/>
      <c r="N227" s="229"/>
      <c r="O227" s="229"/>
      <c r="P227" s="128"/>
    </row>
    <row r="228" spans="2:18" x14ac:dyDescent="0.2">
      <c r="B228" s="229" t="s">
        <v>490</v>
      </c>
      <c r="C228" s="241" t="s">
        <v>1226</v>
      </c>
      <c r="D228" s="245" t="s">
        <v>118</v>
      </c>
      <c r="E228" s="244"/>
      <c r="F228" s="278" t="e">
        <f>(F43-F37)/F204</f>
        <v>#DIV/0!</v>
      </c>
      <c r="G228" s="278" t="e">
        <f>(G43-G37)/G204</f>
        <v>#DIV/0!</v>
      </c>
      <c r="H228" s="278" t="e">
        <f t="shared" ref="H228:O228" si="71">(H43-H37)/H204</f>
        <v>#DIV/0!</v>
      </c>
      <c r="I228" s="278" t="e">
        <f t="shared" si="71"/>
        <v>#DIV/0!</v>
      </c>
      <c r="J228" s="278" t="e">
        <f t="shared" si="71"/>
        <v>#DIV/0!</v>
      </c>
      <c r="K228" s="278" t="e">
        <f t="shared" si="71"/>
        <v>#DIV/0!</v>
      </c>
      <c r="L228" s="278" t="e">
        <f t="shared" si="71"/>
        <v>#DIV/0!</v>
      </c>
      <c r="M228" s="278" t="e">
        <f t="shared" si="71"/>
        <v>#DIV/0!</v>
      </c>
      <c r="N228" s="278" t="e">
        <f t="shared" si="71"/>
        <v>#DIV/0!</v>
      </c>
      <c r="O228" s="278" t="e">
        <f t="shared" si="71"/>
        <v>#DIV/0!</v>
      </c>
      <c r="P228" s="128"/>
      <c r="R228" s="6" t="s">
        <v>491</v>
      </c>
    </row>
    <row r="229" spans="2:18" x14ac:dyDescent="0.2">
      <c r="B229" s="229" t="s">
        <v>492</v>
      </c>
      <c r="C229" s="241" t="s">
        <v>493</v>
      </c>
      <c r="D229" s="245" t="s">
        <v>118</v>
      </c>
      <c r="E229" s="244"/>
      <c r="F229" s="278" t="e">
        <f>(F43-F37)/-F37</f>
        <v>#DIV/0!</v>
      </c>
      <c r="G229" s="278" t="e">
        <f>(G43-G37)/-G37</f>
        <v>#DIV/0!</v>
      </c>
      <c r="H229" s="278" t="e">
        <f t="shared" ref="H229:O229" si="72">(H43-H37)/-H37</f>
        <v>#DIV/0!</v>
      </c>
      <c r="I229" s="278" t="e">
        <f t="shared" si="72"/>
        <v>#DIV/0!</v>
      </c>
      <c r="J229" s="278" t="e">
        <f t="shared" si="72"/>
        <v>#DIV/0!</v>
      </c>
      <c r="K229" s="278" t="e">
        <f t="shared" si="72"/>
        <v>#DIV/0!</v>
      </c>
      <c r="L229" s="278" t="e">
        <f t="shared" si="72"/>
        <v>#DIV/0!</v>
      </c>
      <c r="M229" s="278" t="e">
        <f t="shared" si="72"/>
        <v>#DIV/0!</v>
      </c>
      <c r="N229" s="278" t="e">
        <f t="shared" si="72"/>
        <v>#DIV/0!</v>
      </c>
      <c r="O229" s="278" t="e">
        <f t="shared" si="72"/>
        <v>#DIV/0!</v>
      </c>
      <c r="P229" s="128"/>
    </row>
    <row r="230" spans="2:18" x14ac:dyDescent="0.2">
      <c r="B230" s="229" t="s">
        <v>494</v>
      </c>
      <c r="C230" s="241" t="s">
        <v>1227</v>
      </c>
      <c r="D230" s="245" t="s">
        <v>118</v>
      </c>
      <c r="E230" s="244"/>
      <c r="F230" s="278" t="e">
        <f>F174/F204</f>
        <v>#DIV/0!</v>
      </c>
      <c r="G230" s="278" t="e">
        <f>G174/G204</f>
        <v>#DIV/0!</v>
      </c>
      <c r="H230" s="278" t="e">
        <f t="shared" ref="H230:O230" si="73">H174/H204</f>
        <v>#DIV/0!</v>
      </c>
      <c r="I230" s="278" t="e">
        <f t="shared" si="73"/>
        <v>#DIV/0!</v>
      </c>
      <c r="J230" s="278" t="e">
        <f t="shared" si="73"/>
        <v>#DIV/0!</v>
      </c>
      <c r="K230" s="278" t="e">
        <f t="shared" si="73"/>
        <v>#DIV/0!</v>
      </c>
      <c r="L230" s="278" t="e">
        <f t="shared" si="73"/>
        <v>#DIV/0!</v>
      </c>
      <c r="M230" s="278" t="e">
        <f t="shared" si="73"/>
        <v>#DIV/0!</v>
      </c>
      <c r="N230" s="278" t="e">
        <f t="shared" si="73"/>
        <v>#DIV/0!</v>
      </c>
      <c r="O230" s="278" t="e">
        <f t="shared" si="73"/>
        <v>#DIV/0!</v>
      </c>
      <c r="P230" s="128"/>
    </row>
    <row r="231" spans="2:18" x14ac:dyDescent="0.2">
      <c r="B231" s="229" t="s">
        <v>495</v>
      </c>
      <c r="C231" s="241" t="s">
        <v>496</v>
      </c>
      <c r="D231" s="245" t="s">
        <v>118</v>
      </c>
      <c r="E231" s="244"/>
      <c r="F231" s="278" t="e">
        <f>F174/-F37</f>
        <v>#DIV/0!</v>
      </c>
      <c r="G231" s="278" t="e">
        <f>G174/-G37</f>
        <v>#DIV/0!</v>
      </c>
      <c r="H231" s="278" t="e">
        <f t="shared" ref="H231:O231" si="74">H174/-H37</f>
        <v>#DIV/0!</v>
      </c>
      <c r="I231" s="278" t="e">
        <f t="shared" si="74"/>
        <v>#DIV/0!</v>
      </c>
      <c r="J231" s="278" t="e">
        <f t="shared" si="74"/>
        <v>#DIV/0!</v>
      </c>
      <c r="K231" s="278" t="e">
        <f t="shared" si="74"/>
        <v>#DIV/0!</v>
      </c>
      <c r="L231" s="278" t="e">
        <f t="shared" si="74"/>
        <v>#DIV/0!</v>
      </c>
      <c r="M231" s="278" t="e">
        <f t="shared" si="74"/>
        <v>#DIV/0!</v>
      </c>
      <c r="N231" s="278" t="e">
        <f t="shared" si="74"/>
        <v>#DIV/0!</v>
      </c>
      <c r="O231" s="278" t="e">
        <f t="shared" si="74"/>
        <v>#DIV/0!</v>
      </c>
      <c r="P231" s="128"/>
    </row>
    <row r="232" spans="2:18" x14ac:dyDescent="0.2">
      <c r="B232" s="229" t="s">
        <v>497</v>
      </c>
      <c r="C232" s="241" t="s">
        <v>1228</v>
      </c>
      <c r="D232" s="245" t="s">
        <v>118</v>
      </c>
      <c r="E232" s="244"/>
      <c r="F232" s="282" t="str">
        <f>IF(OR(F204=0,F203=""),"",F203/F204)</f>
        <v/>
      </c>
      <c r="G232" s="278" t="str">
        <f>IF(OR(G204=0,G203=""),"",G203/G204)</f>
        <v/>
      </c>
      <c r="H232" s="278" t="str">
        <f t="shared" ref="H232:O232" si="75">IF(OR(H204=0,H203=""),"",H203/H204)</f>
        <v/>
      </c>
      <c r="I232" s="278" t="str">
        <f t="shared" si="75"/>
        <v/>
      </c>
      <c r="J232" s="278" t="str">
        <f t="shared" si="75"/>
        <v/>
      </c>
      <c r="K232" s="278" t="str">
        <f t="shared" si="75"/>
        <v/>
      </c>
      <c r="L232" s="278" t="str">
        <f t="shared" si="75"/>
        <v/>
      </c>
      <c r="M232" s="278" t="str">
        <f t="shared" si="75"/>
        <v/>
      </c>
      <c r="N232" s="278" t="str">
        <f t="shared" si="75"/>
        <v/>
      </c>
      <c r="O232" s="278" t="str">
        <f t="shared" si="75"/>
        <v/>
      </c>
      <c r="P232" s="128"/>
      <c r="R232" s="69" t="s">
        <v>475</v>
      </c>
    </row>
    <row r="233" spans="2:18" x14ac:dyDescent="0.2">
      <c r="B233" s="229" t="s">
        <v>498</v>
      </c>
      <c r="C233" s="241" t="s">
        <v>499</v>
      </c>
      <c r="D233" s="245" t="s">
        <v>118</v>
      </c>
      <c r="E233" s="244"/>
      <c r="F233" s="282" t="str">
        <f t="shared" ref="F233:O233" si="76">IF(OR(F37=0,F203=""),"",F203/-F37)</f>
        <v/>
      </c>
      <c r="G233" s="278" t="str">
        <f t="shared" si="76"/>
        <v/>
      </c>
      <c r="H233" s="278" t="str">
        <f t="shared" si="76"/>
        <v/>
      </c>
      <c r="I233" s="278" t="str">
        <f t="shared" si="76"/>
        <v/>
      </c>
      <c r="J233" s="278" t="str">
        <f t="shared" si="76"/>
        <v/>
      </c>
      <c r="K233" s="278" t="str">
        <f t="shared" si="76"/>
        <v/>
      </c>
      <c r="L233" s="278" t="str">
        <f t="shared" si="76"/>
        <v/>
      </c>
      <c r="M233" s="278" t="str">
        <f t="shared" si="76"/>
        <v/>
      </c>
      <c r="N233" s="278" t="str">
        <f t="shared" si="76"/>
        <v/>
      </c>
      <c r="O233" s="278" t="str">
        <f t="shared" si="76"/>
        <v/>
      </c>
      <c r="P233" s="128"/>
      <c r="R233" s="69" t="s">
        <v>475</v>
      </c>
    </row>
    <row r="234" spans="2:18" x14ac:dyDescent="0.2">
      <c r="B234" s="229"/>
      <c r="C234" s="229"/>
      <c r="D234" s="245"/>
      <c r="E234" s="244"/>
      <c r="F234" s="229"/>
      <c r="G234" s="229"/>
      <c r="H234" s="229"/>
      <c r="I234" s="229"/>
      <c r="J234" s="229"/>
      <c r="K234" s="229"/>
      <c r="L234" s="229"/>
      <c r="M234" s="229"/>
      <c r="N234" s="229"/>
      <c r="O234" s="229"/>
      <c r="P234" s="128"/>
    </row>
    <row r="235" spans="2:18" x14ac:dyDescent="0.2">
      <c r="B235" s="232" t="s">
        <v>500</v>
      </c>
      <c r="C235" s="232" t="s">
        <v>501</v>
      </c>
      <c r="D235" s="245"/>
      <c r="E235" s="244"/>
      <c r="F235" s="229"/>
      <c r="G235" s="229"/>
      <c r="H235" s="229"/>
      <c r="I235" s="229"/>
      <c r="J235" s="229"/>
      <c r="K235" s="229"/>
      <c r="L235" s="229"/>
      <c r="M235" s="229"/>
      <c r="N235" s="229"/>
      <c r="O235" s="229"/>
      <c r="P235" s="128"/>
    </row>
    <row r="236" spans="2:18" x14ac:dyDescent="0.2">
      <c r="B236" s="229" t="s">
        <v>502</v>
      </c>
      <c r="C236" s="241" t="s">
        <v>503</v>
      </c>
      <c r="D236" s="245" t="str">
        <f t="shared" ref="D236" si="77">$D$7</f>
        <v>USD Million</v>
      </c>
      <c r="E236" s="244"/>
      <c r="F236" s="27">
        <f>F64-F95</f>
        <v>0</v>
      </c>
      <c r="G236" s="27">
        <f t="shared" ref="G236:O236" si="78">G64-G95</f>
        <v>0</v>
      </c>
      <c r="H236" s="27">
        <f t="shared" si="78"/>
        <v>0</v>
      </c>
      <c r="I236" s="27">
        <f t="shared" si="78"/>
        <v>0</v>
      </c>
      <c r="J236" s="27">
        <f t="shared" si="78"/>
        <v>0</v>
      </c>
      <c r="K236" s="27">
        <f t="shared" si="78"/>
        <v>0</v>
      </c>
      <c r="L236" s="27">
        <f t="shared" si="78"/>
        <v>0</v>
      </c>
      <c r="M236" s="27">
        <f t="shared" si="78"/>
        <v>0</v>
      </c>
      <c r="N236" s="27">
        <f t="shared" si="78"/>
        <v>0</v>
      </c>
      <c r="O236" s="27">
        <f t="shared" si="78"/>
        <v>0</v>
      </c>
      <c r="P236" s="128"/>
    </row>
    <row r="237" spans="2:18" x14ac:dyDescent="0.2">
      <c r="B237" s="229" t="s">
        <v>504</v>
      </c>
      <c r="C237" s="241" t="s">
        <v>505</v>
      </c>
      <c r="D237" s="245" t="s">
        <v>118</v>
      </c>
      <c r="E237" s="244"/>
      <c r="F237" s="278" t="e">
        <f>(F64-F68)/F95</f>
        <v>#DIV/0!</v>
      </c>
      <c r="G237" s="278" t="e">
        <f t="shared" ref="G237:O237" si="79">(G64-G68)/G95</f>
        <v>#DIV/0!</v>
      </c>
      <c r="H237" s="278" t="e">
        <f t="shared" si="79"/>
        <v>#DIV/0!</v>
      </c>
      <c r="I237" s="278" t="e">
        <f t="shared" si="79"/>
        <v>#DIV/0!</v>
      </c>
      <c r="J237" s="278" t="e">
        <f t="shared" si="79"/>
        <v>#DIV/0!</v>
      </c>
      <c r="K237" s="278" t="e">
        <f t="shared" si="79"/>
        <v>#DIV/0!</v>
      </c>
      <c r="L237" s="278" t="e">
        <f t="shared" si="79"/>
        <v>#DIV/0!</v>
      </c>
      <c r="M237" s="278" t="e">
        <f t="shared" si="79"/>
        <v>#DIV/0!</v>
      </c>
      <c r="N237" s="278" t="e">
        <f t="shared" si="79"/>
        <v>#DIV/0!</v>
      </c>
      <c r="O237" s="278" t="e">
        <f t="shared" si="79"/>
        <v>#DIV/0!</v>
      </c>
      <c r="P237" s="128">
        <f>+$P$173+14</f>
        <v>41</v>
      </c>
      <c r="R237" s="6" t="s">
        <v>848</v>
      </c>
    </row>
    <row r="238" spans="2:18" x14ac:dyDescent="0.2">
      <c r="B238" s="229" t="s">
        <v>506</v>
      </c>
      <c r="C238" s="241" t="s">
        <v>105</v>
      </c>
      <c r="D238" s="245" t="s">
        <v>118</v>
      </c>
      <c r="E238" s="244"/>
      <c r="F238" s="278" t="e">
        <f>F191</f>
        <v>#DIV/0!</v>
      </c>
      <c r="G238" s="278" t="e">
        <f t="shared" ref="G238:O238" si="80">G191</f>
        <v>#DIV/0!</v>
      </c>
      <c r="H238" s="278" t="e">
        <f t="shared" si="80"/>
        <v>#DIV/0!</v>
      </c>
      <c r="I238" s="278" t="e">
        <f t="shared" si="80"/>
        <v>#DIV/0!</v>
      </c>
      <c r="J238" s="278" t="e">
        <f t="shared" si="80"/>
        <v>#DIV/0!</v>
      </c>
      <c r="K238" s="278" t="e">
        <f t="shared" si="80"/>
        <v>#DIV/0!</v>
      </c>
      <c r="L238" s="278" t="e">
        <f t="shared" si="80"/>
        <v>#DIV/0!</v>
      </c>
      <c r="M238" s="278" t="e">
        <f t="shared" si="80"/>
        <v>#DIV/0!</v>
      </c>
      <c r="N238" s="278" t="e">
        <f t="shared" si="80"/>
        <v>#DIV/0!</v>
      </c>
      <c r="O238" s="278" t="e">
        <f t="shared" si="80"/>
        <v>#DIV/0!</v>
      </c>
      <c r="P238" s="128"/>
      <c r="R238" s="6" t="s">
        <v>849</v>
      </c>
    </row>
    <row r="239" spans="2:18" x14ac:dyDescent="0.2">
      <c r="B239" s="229" t="s">
        <v>507</v>
      </c>
      <c r="C239" s="241" t="s">
        <v>508</v>
      </c>
      <c r="D239" s="245" t="s">
        <v>93</v>
      </c>
      <c r="E239" s="244"/>
      <c r="F239" s="242" t="e">
        <f>F65/F93</f>
        <v>#DIV/0!</v>
      </c>
      <c r="G239" s="242" t="e">
        <f t="shared" ref="G239:O239" si="81">G65/G93</f>
        <v>#DIV/0!</v>
      </c>
      <c r="H239" s="242" t="e">
        <f t="shared" si="81"/>
        <v>#DIV/0!</v>
      </c>
      <c r="I239" s="242" t="e">
        <f t="shared" si="81"/>
        <v>#DIV/0!</v>
      </c>
      <c r="J239" s="242" t="e">
        <f t="shared" si="81"/>
        <v>#DIV/0!</v>
      </c>
      <c r="K239" s="242" t="e">
        <f t="shared" si="81"/>
        <v>#DIV/0!</v>
      </c>
      <c r="L239" s="242" t="e">
        <f t="shared" si="81"/>
        <v>#DIV/0!</v>
      </c>
      <c r="M239" s="242" t="e">
        <f t="shared" si="81"/>
        <v>#DIV/0!</v>
      </c>
      <c r="N239" s="242" t="e">
        <f t="shared" si="81"/>
        <v>#DIV/0!</v>
      </c>
      <c r="O239" s="242" t="e">
        <f t="shared" si="81"/>
        <v>#DIV/0!</v>
      </c>
      <c r="P239" s="128">
        <f>+$P$173+15</f>
        <v>42</v>
      </c>
      <c r="R239" s="6" t="s">
        <v>509</v>
      </c>
    </row>
    <row r="240" spans="2:18" x14ac:dyDescent="0.2">
      <c r="B240" s="229" t="s">
        <v>510</v>
      </c>
      <c r="C240" s="241" t="s">
        <v>511</v>
      </c>
      <c r="D240" s="245" t="s">
        <v>118</v>
      </c>
      <c r="E240" s="244"/>
      <c r="F240" s="278" t="e">
        <f>F65/F97</f>
        <v>#DIV/0!</v>
      </c>
      <c r="G240" s="278" t="e">
        <f t="shared" ref="G240:O240" si="82">G65/G97</f>
        <v>#DIV/0!</v>
      </c>
      <c r="H240" s="278" t="e">
        <f t="shared" si="82"/>
        <v>#DIV/0!</v>
      </c>
      <c r="I240" s="278" t="e">
        <f t="shared" si="82"/>
        <v>#DIV/0!</v>
      </c>
      <c r="J240" s="278" t="e">
        <f t="shared" si="82"/>
        <v>#DIV/0!</v>
      </c>
      <c r="K240" s="278" t="e">
        <f t="shared" si="82"/>
        <v>#DIV/0!</v>
      </c>
      <c r="L240" s="278" t="e">
        <f t="shared" si="82"/>
        <v>#DIV/0!</v>
      </c>
      <c r="M240" s="278" t="e">
        <f t="shared" si="82"/>
        <v>#DIV/0!</v>
      </c>
      <c r="N240" s="278" t="e">
        <f t="shared" si="82"/>
        <v>#DIV/0!</v>
      </c>
      <c r="O240" s="278" t="e">
        <f t="shared" si="82"/>
        <v>#DIV/0!</v>
      </c>
      <c r="P240" s="128"/>
    </row>
    <row r="241" spans="1:18" x14ac:dyDescent="0.2">
      <c r="B241" s="229" t="s">
        <v>512</v>
      </c>
      <c r="C241" s="241" t="s">
        <v>513</v>
      </c>
      <c r="D241" s="245" t="s">
        <v>93</v>
      </c>
      <c r="E241" s="244"/>
      <c r="F241" s="242" t="e">
        <f>F65/F64</f>
        <v>#DIV/0!</v>
      </c>
      <c r="G241" s="242" t="e">
        <f t="shared" ref="G241:O241" si="83">G65/G64</f>
        <v>#DIV/0!</v>
      </c>
      <c r="H241" s="242" t="e">
        <f t="shared" si="83"/>
        <v>#DIV/0!</v>
      </c>
      <c r="I241" s="242" t="e">
        <f t="shared" si="83"/>
        <v>#DIV/0!</v>
      </c>
      <c r="J241" s="242" t="e">
        <f t="shared" si="83"/>
        <v>#DIV/0!</v>
      </c>
      <c r="K241" s="242" t="e">
        <f t="shared" si="83"/>
        <v>#DIV/0!</v>
      </c>
      <c r="L241" s="242" t="e">
        <f t="shared" si="83"/>
        <v>#DIV/0!</v>
      </c>
      <c r="M241" s="242" t="e">
        <f t="shared" si="83"/>
        <v>#DIV/0!</v>
      </c>
      <c r="N241" s="242" t="e">
        <f t="shared" si="83"/>
        <v>#DIV/0!</v>
      </c>
      <c r="O241" s="242" t="e">
        <f t="shared" si="83"/>
        <v>#DIV/0!</v>
      </c>
      <c r="P241" s="128"/>
    </row>
    <row r="242" spans="1:18" x14ac:dyDescent="0.2">
      <c r="B242" s="229" t="s">
        <v>514</v>
      </c>
      <c r="C242" s="241" t="s">
        <v>515</v>
      </c>
      <c r="D242" s="245" t="s">
        <v>118</v>
      </c>
      <c r="E242" s="244"/>
      <c r="F242" s="278" t="e">
        <f t="shared" ref="F242:O242" si="84">F65/SUM(F96,F97,F101)</f>
        <v>#DIV/0!</v>
      </c>
      <c r="G242" s="278" t="e">
        <f t="shared" si="84"/>
        <v>#DIV/0!</v>
      </c>
      <c r="H242" s="278" t="e">
        <f t="shared" si="84"/>
        <v>#DIV/0!</v>
      </c>
      <c r="I242" s="278" t="e">
        <f t="shared" si="84"/>
        <v>#DIV/0!</v>
      </c>
      <c r="J242" s="278" t="e">
        <f t="shared" si="84"/>
        <v>#DIV/0!</v>
      </c>
      <c r="K242" s="278" t="e">
        <f t="shared" si="84"/>
        <v>#DIV/0!</v>
      </c>
      <c r="L242" s="278" t="e">
        <f t="shared" si="84"/>
        <v>#DIV/0!</v>
      </c>
      <c r="M242" s="278" t="e">
        <f t="shared" si="84"/>
        <v>#DIV/0!</v>
      </c>
      <c r="N242" s="278" t="e">
        <f t="shared" si="84"/>
        <v>#DIV/0!</v>
      </c>
      <c r="O242" s="278" t="e">
        <f t="shared" si="84"/>
        <v>#DIV/0!</v>
      </c>
      <c r="P242" s="128"/>
      <c r="R242" s="6" t="s">
        <v>850</v>
      </c>
    </row>
    <row r="243" spans="1:18" x14ac:dyDescent="0.2">
      <c r="B243" s="229"/>
      <c r="C243" s="229"/>
      <c r="D243" s="245"/>
      <c r="E243" s="244"/>
      <c r="F243" s="229"/>
      <c r="G243" s="229"/>
      <c r="H243" s="229"/>
      <c r="I243" s="229"/>
      <c r="J243" s="229"/>
      <c r="K243" s="229"/>
      <c r="L243" s="229"/>
      <c r="M243" s="229"/>
      <c r="N243" s="229"/>
      <c r="O243" s="229"/>
      <c r="P243" s="128"/>
    </row>
    <row r="244" spans="1:18" x14ac:dyDescent="0.2">
      <c r="B244" s="232" t="s">
        <v>516</v>
      </c>
      <c r="C244" s="232" t="s">
        <v>517</v>
      </c>
      <c r="D244" s="245"/>
      <c r="E244" s="244"/>
      <c r="F244" s="229"/>
      <c r="G244" s="229"/>
      <c r="H244" s="229"/>
      <c r="I244" s="229"/>
      <c r="J244" s="229"/>
      <c r="K244" s="229"/>
      <c r="L244" s="229"/>
      <c r="M244" s="229"/>
      <c r="N244" s="229"/>
      <c r="O244" s="229"/>
      <c r="P244" s="128"/>
    </row>
    <row r="245" spans="1:18" x14ac:dyDescent="0.2">
      <c r="B245" s="229" t="s">
        <v>518</v>
      </c>
      <c r="C245" s="241" t="s">
        <v>519</v>
      </c>
      <c r="D245" s="245" t="s">
        <v>118</v>
      </c>
      <c r="E245" s="244"/>
      <c r="F245" s="278" t="e">
        <f>F118/F215</f>
        <v>#DIV/0!</v>
      </c>
      <c r="G245" s="278" t="e">
        <f t="shared" ref="G245:O245" si="85">G118/G215</f>
        <v>#DIV/0!</v>
      </c>
      <c r="H245" s="278" t="e">
        <f t="shared" si="85"/>
        <v>#DIV/0!</v>
      </c>
      <c r="I245" s="278" t="e">
        <f t="shared" si="85"/>
        <v>#DIV/0!</v>
      </c>
      <c r="J245" s="278" t="e">
        <f t="shared" si="85"/>
        <v>#DIV/0!</v>
      </c>
      <c r="K245" s="278" t="e">
        <f t="shared" si="85"/>
        <v>#DIV/0!</v>
      </c>
      <c r="L245" s="278" t="e">
        <f t="shared" si="85"/>
        <v>#DIV/0!</v>
      </c>
      <c r="M245" s="278" t="e">
        <f t="shared" si="85"/>
        <v>#DIV/0!</v>
      </c>
      <c r="N245" s="278" t="e">
        <f t="shared" si="85"/>
        <v>#DIV/0!</v>
      </c>
      <c r="O245" s="278" t="e">
        <f t="shared" si="85"/>
        <v>#DIV/0!</v>
      </c>
      <c r="P245" s="128"/>
    </row>
    <row r="246" spans="1:18" x14ac:dyDescent="0.2">
      <c r="B246" s="229" t="s">
        <v>520</v>
      </c>
      <c r="C246" s="241" t="s">
        <v>521</v>
      </c>
      <c r="D246" s="245" t="s">
        <v>118</v>
      </c>
      <c r="E246" s="244"/>
      <c r="F246" s="278" t="e">
        <f>(F97+F108-F130)/SUM(F215,F130)</f>
        <v>#DIV/0!</v>
      </c>
      <c r="G246" s="278" t="e">
        <f t="shared" ref="G246:O246" si="86">(G97+G108-G130)/SUM(G215,G130)</f>
        <v>#DIV/0!</v>
      </c>
      <c r="H246" s="278" t="e">
        <f t="shared" si="86"/>
        <v>#DIV/0!</v>
      </c>
      <c r="I246" s="278" t="e">
        <f t="shared" si="86"/>
        <v>#DIV/0!</v>
      </c>
      <c r="J246" s="278" t="e">
        <f t="shared" si="86"/>
        <v>#DIV/0!</v>
      </c>
      <c r="K246" s="278" t="e">
        <f t="shared" si="86"/>
        <v>#DIV/0!</v>
      </c>
      <c r="L246" s="278" t="e">
        <f t="shared" si="86"/>
        <v>#DIV/0!</v>
      </c>
      <c r="M246" s="278" t="e">
        <f t="shared" si="86"/>
        <v>#DIV/0!</v>
      </c>
      <c r="N246" s="278" t="e">
        <f t="shared" si="86"/>
        <v>#DIV/0!</v>
      </c>
      <c r="O246" s="278" t="e">
        <f t="shared" si="86"/>
        <v>#DIV/0!</v>
      </c>
      <c r="P246" s="128"/>
      <c r="R246" s="6" t="s">
        <v>522</v>
      </c>
    </row>
    <row r="247" spans="1:18" x14ac:dyDescent="0.2">
      <c r="B247" s="229"/>
      <c r="C247" s="229"/>
      <c r="D247" s="245"/>
      <c r="E247" s="244"/>
      <c r="F247" s="229"/>
      <c r="G247" s="229"/>
      <c r="H247" s="229"/>
      <c r="I247" s="229"/>
      <c r="J247" s="229"/>
      <c r="K247" s="229"/>
      <c r="L247" s="229"/>
      <c r="M247" s="229"/>
      <c r="N247" s="229"/>
      <c r="O247" s="229"/>
      <c r="P247" s="128"/>
    </row>
    <row r="248" spans="1:18" x14ac:dyDescent="0.2">
      <c r="B248" s="232" t="s">
        <v>523</v>
      </c>
      <c r="C248" s="232" t="s">
        <v>524</v>
      </c>
      <c r="D248" s="245"/>
      <c r="E248" s="244"/>
      <c r="F248" s="229"/>
      <c r="G248" s="229"/>
      <c r="H248" s="229"/>
      <c r="I248" s="229"/>
      <c r="J248" s="229"/>
      <c r="K248" s="229"/>
      <c r="L248" s="229"/>
      <c r="M248" s="229"/>
      <c r="N248" s="229"/>
      <c r="O248" s="229"/>
      <c r="P248" s="128"/>
    </row>
    <row r="249" spans="1:18" x14ac:dyDescent="0.2">
      <c r="B249" s="229" t="s">
        <v>525</v>
      </c>
      <c r="C249" s="241" t="s">
        <v>1219</v>
      </c>
      <c r="D249" s="245" t="s">
        <v>112</v>
      </c>
      <c r="E249" s="244"/>
      <c r="F249" s="239" t="e">
        <f>F187</f>
        <v>#DIV/0!</v>
      </c>
      <c r="G249" s="239" t="e">
        <f t="shared" ref="G249:O251" si="87">G187</f>
        <v>#DIV/0!</v>
      </c>
      <c r="H249" s="239" t="e">
        <f t="shared" si="87"/>
        <v>#DIV/0!</v>
      </c>
      <c r="I249" s="239" t="e">
        <f t="shared" si="87"/>
        <v>#DIV/0!</v>
      </c>
      <c r="J249" s="239" t="e">
        <f t="shared" si="87"/>
        <v>#DIV/0!</v>
      </c>
      <c r="K249" s="239" t="e">
        <f t="shared" si="87"/>
        <v>#DIV/0!</v>
      </c>
      <c r="L249" s="239" t="e">
        <f t="shared" si="87"/>
        <v>#DIV/0!</v>
      </c>
      <c r="M249" s="239" t="e">
        <f t="shared" si="87"/>
        <v>#DIV/0!</v>
      </c>
      <c r="N249" s="239" t="e">
        <f t="shared" si="87"/>
        <v>#DIV/0!</v>
      </c>
      <c r="O249" s="239" t="e">
        <f t="shared" si="87"/>
        <v>#DIV/0!</v>
      </c>
      <c r="P249" s="128"/>
    </row>
    <row r="250" spans="1:18" x14ac:dyDescent="0.2">
      <c r="B250" s="229" t="s">
        <v>526</v>
      </c>
      <c r="C250" s="241" t="s">
        <v>1220</v>
      </c>
      <c r="D250" s="245" t="s">
        <v>112</v>
      </c>
      <c r="E250" s="244"/>
      <c r="F250" s="239" t="e">
        <f>F188</f>
        <v>#DIV/0!</v>
      </c>
      <c r="G250" s="239" t="e">
        <f t="shared" si="87"/>
        <v>#DIV/0!</v>
      </c>
      <c r="H250" s="239" t="e">
        <f t="shared" si="87"/>
        <v>#DIV/0!</v>
      </c>
      <c r="I250" s="239" t="e">
        <f t="shared" si="87"/>
        <v>#DIV/0!</v>
      </c>
      <c r="J250" s="239" t="e">
        <f t="shared" si="87"/>
        <v>#DIV/0!</v>
      </c>
      <c r="K250" s="239" t="e">
        <f t="shared" si="87"/>
        <v>#DIV/0!</v>
      </c>
      <c r="L250" s="239" t="e">
        <f t="shared" si="87"/>
        <v>#DIV/0!</v>
      </c>
      <c r="M250" s="239" t="e">
        <f t="shared" si="87"/>
        <v>#DIV/0!</v>
      </c>
      <c r="N250" s="239" t="e">
        <f t="shared" si="87"/>
        <v>#DIV/0!</v>
      </c>
      <c r="O250" s="239" t="e">
        <f t="shared" si="87"/>
        <v>#DIV/0!</v>
      </c>
      <c r="P250" s="128"/>
    </row>
    <row r="251" spans="1:18" x14ac:dyDescent="0.2">
      <c r="B251" s="229" t="s">
        <v>527</v>
      </c>
      <c r="C251" s="241" t="s">
        <v>1221</v>
      </c>
      <c r="D251" s="245" t="s">
        <v>112</v>
      </c>
      <c r="E251" s="244"/>
      <c r="F251" s="239" t="e">
        <f>F189</f>
        <v>#DIV/0!</v>
      </c>
      <c r="G251" s="239" t="e">
        <f t="shared" si="87"/>
        <v>#DIV/0!</v>
      </c>
      <c r="H251" s="239" t="e">
        <f t="shared" si="87"/>
        <v>#DIV/0!</v>
      </c>
      <c r="I251" s="239" t="e">
        <f t="shared" si="87"/>
        <v>#DIV/0!</v>
      </c>
      <c r="J251" s="239" t="e">
        <f t="shared" si="87"/>
        <v>#DIV/0!</v>
      </c>
      <c r="K251" s="239" t="e">
        <f t="shared" si="87"/>
        <v>#DIV/0!</v>
      </c>
      <c r="L251" s="239" t="e">
        <f t="shared" si="87"/>
        <v>#DIV/0!</v>
      </c>
      <c r="M251" s="239" t="e">
        <f t="shared" si="87"/>
        <v>#DIV/0!</v>
      </c>
      <c r="N251" s="239" t="e">
        <f t="shared" si="87"/>
        <v>#DIV/0!</v>
      </c>
      <c r="O251" s="239" t="e">
        <f t="shared" si="87"/>
        <v>#DIV/0!</v>
      </c>
      <c r="P251" s="128"/>
    </row>
    <row r="252" spans="1:18" x14ac:dyDescent="0.2">
      <c r="B252" s="229" t="s">
        <v>528</v>
      </c>
      <c r="C252" s="241" t="s">
        <v>1229</v>
      </c>
      <c r="D252" s="245" t="s">
        <v>112</v>
      </c>
      <c r="E252" s="244"/>
      <c r="F252" s="27" t="e">
        <f>F68/(F13*4)*365</f>
        <v>#DIV/0!</v>
      </c>
      <c r="G252" s="27" t="e">
        <f>G68/(G13*4)*365</f>
        <v>#DIV/0!</v>
      </c>
      <c r="H252" s="27" t="e">
        <f>H68/(H13*4)*365</f>
        <v>#DIV/0!</v>
      </c>
      <c r="I252" s="27" t="e">
        <f>I68/(I13*4)*365</f>
        <v>#DIV/0!</v>
      </c>
      <c r="J252" s="27" t="e">
        <f>J68/(J13*4)*365</f>
        <v>#DIV/0!</v>
      </c>
      <c r="K252" s="27" t="e">
        <f>K68/K13*365</f>
        <v>#DIV/0!</v>
      </c>
      <c r="L252" s="27" t="e">
        <f>L68/L13*365</f>
        <v>#DIV/0!</v>
      </c>
      <c r="M252" s="27" t="e">
        <f>M68/M13*365</f>
        <v>#DIV/0!</v>
      </c>
      <c r="N252" s="27" t="e">
        <f>N68/N13*365</f>
        <v>#DIV/0!</v>
      </c>
      <c r="O252" s="27" t="e">
        <f>O68/O13*365</f>
        <v>#DIV/0!</v>
      </c>
      <c r="P252" s="128"/>
      <c r="R252" s="6" t="s">
        <v>851</v>
      </c>
    </row>
    <row r="253" spans="1:18" x14ac:dyDescent="0.2">
      <c r="B253" s="229" t="s">
        <v>529</v>
      </c>
      <c r="C253" s="241" t="s">
        <v>1230</v>
      </c>
      <c r="D253" s="245" t="s">
        <v>112</v>
      </c>
      <c r="E253" s="244"/>
      <c r="F253" s="27" t="e">
        <f>F96/(F13*4)*365</f>
        <v>#DIV/0!</v>
      </c>
      <c r="G253" s="27" t="e">
        <f>G96/(G13*4)*365</f>
        <v>#DIV/0!</v>
      </c>
      <c r="H253" s="27" t="e">
        <f>H96/(H13*4)*365</f>
        <v>#DIV/0!</v>
      </c>
      <c r="I253" s="27" t="e">
        <f>I96/(I13*4)*365</f>
        <v>#DIV/0!</v>
      </c>
      <c r="J253" s="27" t="e">
        <f>J96/(J13*4)*365</f>
        <v>#DIV/0!</v>
      </c>
      <c r="K253" s="27" t="e">
        <f>K96/K13*365</f>
        <v>#DIV/0!</v>
      </c>
      <c r="L253" s="27" t="e">
        <f>L96/L13*365</f>
        <v>#DIV/0!</v>
      </c>
      <c r="M253" s="27" t="e">
        <f>M96/M13*365</f>
        <v>#DIV/0!</v>
      </c>
      <c r="N253" s="27" t="e">
        <f>N96/N13*365</f>
        <v>#DIV/0!</v>
      </c>
      <c r="O253" s="27" t="e">
        <f>O96/O13*365</f>
        <v>#DIV/0!</v>
      </c>
      <c r="P253" s="128"/>
      <c r="R253" s="6" t="s">
        <v>852</v>
      </c>
    </row>
    <row r="254" spans="1:18" x14ac:dyDescent="0.2">
      <c r="B254" s="229" t="s">
        <v>530</v>
      </c>
      <c r="C254" s="241" t="s">
        <v>1231</v>
      </c>
      <c r="D254" s="245" t="s">
        <v>93</v>
      </c>
      <c r="E254" s="244"/>
      <c r="F254" s="242" t="e">
        <f>F67/(F13*4)</f>
        <v>#DIV/0!</v>
      </c>
      <c r="G254" s="242" t="e">
        <f>G67/(G13*4)</f>
        <v>#DIV/0!</v>
      </c>
      <c r="H254" s="242" t="e">
        <f>H67/(H13*4)</f>
        <v>#DIV/0!</v>
      </c>
      <c r="I254" s="242" t="e">
        <f>I67/(I13*4)</f>
        <v>#DIV/0!</v>
      </c>
      <c r="J254" s="242" t="e">
        <f>J67/(J13*4)</f>
        <v>#DIV/0!</v>
      </c>
      <c r="K254" s="242" t="e">
        <f>K67/K13</f>
        <v>#DIV/0!</v>
      </c>
      <c r="L254" s="242" t="e">
        <f>L67/L13</f>
        <v>#DIV/0!</v>
      </c>
      <c r="M254" s="242" t="e">
        <f>M67/M13</f>
        <v>#DIV/0!</v>
      </c>
      <c r="N254" s="242" t="e">
        <f>N67/N13</f>
        <v>#DIV/0!</v>
      </c>
      <c r="O254" s="242" t="e">
        <f>O67/O13</f>
        <v>#DIV/0!</v>
      </c>
      <c r="P254" s="128"/>
      <c r="R254" s="6" t="s">
        <v>853</v>
      </c>
    </row>
    <row r="255" spans="1:18" x14ac:dyDescent="0.2">
      <c r="B255" s="229" t="s">
        <v>531</v>
      </c>
      <c r="C255" s="241" t="s">
        <v>532</v>
      </c>
      <c r="D255" s="245" t="s">
        <v>93</v>
      </c>
      <c r="E255" s="244"/>
      <c r="F255" s="242" t="e">
        <f t="shared" ref="F255:O255" si="88">-F18/F13</f>
        <v>#DIV/0!</v>
      </c>
      <c r="G255" s="242" t="e">
        <f t="shared" si="88"/>
        <v>#DIV/0!</v>
      </c>
      <c r="H255" s="242" t="e">
        <f t="shared" si="88"/>
        <v>#DIV/0!</v>
      </c>
      <c r="I255" s="242" t="e">
        <f t="shared" si="88"/>
        <v>#DIV/0!</v>
      </c>
      <c r="J255" s="242" t="e">
        <f t="shared" si="88"/>
        <v>#DIV/0!</v>
      </c>
      <c r="K255" s="242" t="e">
        <f t="shared" si="88"/>
        <v>#DIV/0!</v>
      </c>
      <c r="L255" s="242" t="e">
        <f t="shared" si="88"/>
        <v>#DIV/0!</v>
      </c>
      <c r="M255" s="242" t="e">
        <f t="shared" si="88"/>
        <v>#DIV/0!</v>
      </c>
      <c r="N255" s="242" t="e">
        <f t="shared" si="88"/>
        <v>#DIV/0!</v>
      </c>
      <c r="O255" s="242" t="e">
        <f t="shared" si="88"/>
        <v>#DIV/0!</v>
      </c>
      <c r="P255" s="128"/>
    </row>
    <row r="256" spans="1:18" x14ac:dyDescent="0.2">
      <c r="A256" s="6" t="s">
        <v>700</v>
      </c>
      <c r="B256" s="229" t="s">
        <v>533</v>
      </c>
      <c r="C256" s="241" t="s">
        <v>1323</v>
      </c>
      <c r="D256" s="245" t="s">
        <v>93</v>
      </c>
      <c r="E256" s="244"/>
      <c r="F256" s="242" t="e">
        <f t="shared" ref="F256:O256" si="89">-SUM(F29:F30)/F13</f>
        <v>#DIV/0!</v>
      </c>
      <c r="G256" s="242" t="e">
        <f t="shared" si="89"/>
        <v>#DIV/0!</v>
      </c>
      <c r="H256" s="242" t="e">
        <f t="shared" si="89"/>
        <v>#DIV/0!</v>
      </c>
      <c r="I256" s="242" t="e">
        <f t="shared" si="89"/>
        <v>#DIV/0!</v>
      </c>
      <c r="J256" s="242" t="e">
        <f t="shared" si="89"/>
        <v>#DIV/0!</v>
      </c>
      <c r="K256" s="242" t="e">
        <f t="shared" si="89"/>
        <v>#DIV/0!</v>
      </c>
      <c r="L256" s="242" t="e">
        <f t="shared" si="89"/>
        <v>#DIV/0!</v>
      </c>
      <c r="M256" s="242" t="e">
        <f t="shared" si="89"/>
        <v>#DIV/0!</v>
      </c>
      <c r="N256" s="242" t="e">
        <f t="shared" si="89"/>
        <v>#DIV/0!</v>
      </c>
      <c r="O256" s="242" t="e">
        <f t="shared" si="89"/>
        <v>#DIV/0!</v>
      </c>
      <c r="P256" s="128"/>
    </row>
    <row r="257" spans="1:16" x14ac:dyDescent="0.2">
      <c r="B257" s="229"/>
      <c r="C257" s="229"/>
      <c r="D257" s="245"/>
      <c r="E257" s="244"/>
      <c r="F257" s="229"/>
      <c r="G257" s="229"/>
      <c r="H257" s="229"/>
      <c r="I257" s="229"/>
      <c r="J257" s="229"/>
      <c r="K257" s="229"/>
      <c r="L257" s="229"/>
      <c r="M257" s="229"/>
      <c r="N257" s="229"/>
      <c r="O257" s="229"/>
      <c r="P257" s="128"/>
    </row>
    <row r="258" spans="1:16" x14ac:dyDescent="0.2">
      <c r="B258" s="231"/>
      <c r="C258" s="231"/>
      <c r="D258" s="231"/>
      <c r="E258" s="231"/>
      <c r="F258" s="231"/>
      <c r="G258" s="231"/>
      <c r="H258" s="231"/>
      <c r="I258" s="231"/>
      <c r="J258" s="231"/>
      <c r="K258" s="231"/>
      <c r="L258" s="231"/>
      <c r="M258" s="231"/>
      <c r="N258" s="231"/>
      <c r="O258" s="231"/>
    </row>
    <row r="259" spans="1:16" x14ac:dyDescent="0.2">
      <c r="B259" s="250" t="s">
        <v>334</v>
      </c>
      <c r="C259" s="231"/>
      <c r="D259" s="231"/>
      <c r="E259" s="231"/>
      <c r="F259" s="231"/>
      <c r="G259" s="231"/>
      <c r="H259" s="231"/>
      <c r="I259" s="231"/>
      <c r="J259" s="231"/>
      <c r="K259" s="231"/>
      <c r="L259" s="231"/>
      <c r="M259" s="231"/>
      <c r="N259" s="231"/>
      <c r="O259" s="231"/>
    </row>
    <row r="260" spans="1:16" x14ac:dyDescent="0.2">
      <c r="B260" s="231"/>
      <c r="C260" s="231"/>
      <c r="D260" s="231"/>
      <c r="E260" s="231"/>
      <c r="F260" s="231"/>
      <c r="G260" s="231"/>
      <c r="H260" s="231"/>
      <c r="I260" s="231"/>
      <c r="J260" s="231"/>
      <c r="K260" s="231"/>
      <c r="L260" s="231"/>
      <c r="M260" s="231"/>
      <c r="N260" s="231"/>
      <c r="O260" s="231"/>
    </row>
    <row r="261" spans="1:16" s="28" customFormat="1" x14ac:dyDescent="0.2">
      <c r="B261" s="240"/>
      <c r="C261" s="240"/>
      <c r="D261" s="240"/>
      <c r="E261" s="240"/>
      <c r="F261" s="240"/>
      <c r="G261" s="240"/>
      <c r="H261" s="240"/>
      <c r="I261" s="240"/>
      <c r="J261" s="240"/>
      <c r="K261" s="240"/>
      <c r="L261" s="240"/>
      <c r="M261" s="240"/>
      <c r="N261" s="240"/>
      <c r="O261" s="240"/>
    </row>
    <row r="262" spans="1:16" x14ac:dyDescent="0.2">
      <c r="B262" s="231"/>
      <c r="C262" s="231"/>
      <c r="D262" s="231"/>
      <c r="E262" s="231"/>
      <c r="F262" s="231"/>
      <c r="G262" s="231"/>
      <c r="H262" s="231"/>
      <c r="I262" s="231"/>
      <c r="J262" s="231"/>
      <c r="K262" s="231"/>
      <c r="L262" s="231"/>
      <c r="M262" s="231"/>
      <c r="N262" s="231"/>
      <c r="O262" s="231"/>
    </row>
    <row r="263" spans="1:16" x14ac:dyDescent="0.2">
      <c r="B263" s="234" t="s">
        <v>360</v>
      </c>
      <c r="C263" s="231"/>
      <c r="D263" s="257"/>
      <c r="E263" s="231"/>
      <c r="F263" s="231"/>
      <c r="G263" s="231"/>
      <c r="H263" s="231"/>
      <c r="I263" s="231"/>
      <c r="J263" s="231"/>
      <c r="K263" s="231"/>
      <c r="L263" s="231"/>
      <c r="M263" s="231"/>
      <c r="N263" s="231"/>
      <c r="O263" s="231"/>
    </row>
    <row r="264" spans="1:16" x14ac:dyDescent="0.2">
      <c r="B264" s="251" t="s">
        <v>384</v>
      </c>
      <c r="C264" s="231"/>
      <c r="D264" s="257"/>
      <c r="E264" s="231"/>
      <c r="F264" s="231"/>
      <c r="G264" s="231"/>
      <c r="H264" s="231"/>
      <c r="I264" s="231"/>
      <c r="J264" s="231"/>
      <c r="K264" s="231"/>
      <c r="L264" s="231"/>
      <c r="M264" s="231"/>
      <c r="N264" s="231"/>
      <c r="O264" s="231"/>
    </row>
    <row r="265" spans="1:16" x14ac:dyDescent="0.2">
      <c r="B265" s="251" t="s">
        <v>385</v>
      </c>
      <c r="C265" s="251"/>
      <c r="D265" s="258" t="s">
        <v>379</v>
      </c>
      <c r="E265" s="231"/>
      <c r="F265" s="231"/>
      <c r="G265" s="231"/>
      <c r="H265" s="231"/>
      <c r="I265" s="231"/>
      <c r="J265" s="231"/>
      <c r="K265" s="231"/>
      <c r="L265" s="231"/>
      <c r="M265" s="231"/>
      <c r="N265" s="231"/>
      <c r="O265" s="231"/>
    </row>
    <row r="266" spans="1:16" x14ac:dyDescent="0.2">
      <c r="B266" s="251" t="s">
        <v>386</v>
      </c>
      <c r="C266" s="251"/>
      <c r="D266" s="258" t="s">
        <v>380</v>
      </c>
      <c r="E266" s="231"/>
      <c r="F266" s="231"/>
      <c r="G266" s="231"/>
      <c r="H266" s="231"/>
      <c r="I266" s="231"/>
      <c r="J266" s="231"/>
      <c r="K266" s="231"/>
      <c r="L266" s="231"/>
      <c r="M266" s="231"/>
      <c r="N266" s="231"/>
      <c r="O266" s="231"/>
    </row>
    <row r="267" spans="1:16" s="63" customFormat="1" ht="38.25" x14ac:dyDescent="0.2">
      <c r="B267" s="327"/>
      <c r="C267" s="327" t="s">
        <v>346</v>
      </c>
      <c r="D267" s="327" t="s">
        <v>347</v>
      </c>
      <c r="E267" s="327" t="s">
        <v>362</v>
      </c>
      <c r="F267" s="329" t="str">
        <f>F169</f>
        <v>Quarter Ending</v>
      </c>
      <c r="G267" s="330"/>
      <c r="H267" s="330"/>
      <c r="I267" s="331"/>
      <c r="J267" s="264" t="str">
        <f t="shared" ref="J267:O267" si="90">J169</f>
        <v>Latest Reported Quarter</v>
      </c>
      <c r="K267" s="266" t="str">
        <f t="shared" si="90"/>
        <v>Previous Financial Year -3</v>
      </c>
      <c r="L267" s="266" t="str">
        <f t="shared" si="90"/>
        <v>Previous Financial Year -2</v>
      </c>
      <c r="M267" s="266" t="str">
        <f t="shared" si="90"/>
        <v>Previous Financial Year -1</v>
      </c>
      <c r="N267" s="266" t="str">
        <f t="shared" si="90"/>
        <v>Previous Financial Year</v>
      </c>
      <c r="O267" s="266" t="str">
        <f t="shared" si="90"/>
        <v>Trailing 12 Months</v>
      </c>
    </row>
    <row r="268" spans="1:16" s="16" customFormat="1" x14ac:dyDescent="0.2">
      <c r="B268" s="328"/>
      <c r="C268" s="328"/>
      <c r="D268" s="328"/>
      <c r="E268" s="328"/>
      <c r="F268" s="255">
        <f t="shared" ref="F268:O268" si="91">F11</f>
        <v>41906.600000000006</v>
      </c>
      <c r="G268" s="255">
        <f t="shared" si="91"/>
        <v>41999.200000000004</v>
      </c>
      <c r="H268" s="255">
        <f t="shared" si="91"/>
        <v>42091.8</v>
      </c>
      <c r="I268" s="255">
        <f t="shared" si="91"/>
        <v>42184.4</v>
      </c>
      <c r="J268" s="255">
        <f t="shared" si="91"/>
        <v>42277</v>
      </c>
      <c r="K268" s="265">
        <f t="shared" si="91"/>
        <v>40905</v>
      </c>
      <c r="L268" s="265">
        <f t="shared" si="91"/>
        <v>41271</v>
      </c>
      <c r="M268" s="265">
        <f t="shared" si="91"/>
        <v>41637</v>
      </c>
      <c r="N268" s="265">
        <f t="shared" si="91"/>
        <v>42003</v>
      </c>
      <c r="O268" s="255">
        <f t="shared" si="91"/>
        <v>42277</v>
      </c>
    </row>
    <row r="269" spans="1:16" s="16" customFormat="1" x14ac:dyDescent="0.2">
      <c r="A269" s="6" t="s">
        <v>701</v>
      </c>
      <c r="B269" s="232" t="s">
        <v>142</v>
      </c>
      <c r="C269" s="232" t="s">
        <v>381</v>
      </c>
      <c r="D269" s="254"/>
      <c r="E269" s="254"/>
      <c r="F269" s="255"/>
      <c r="G269" s="255"/>
      <c r="H269" s="255"/>
      <c r="I269" s="255"/>
      <c r="J269" s="255"/>
      <c r="K269" s="255"/>
      <c r="L269" s="255"/>
      <c r="M269" s="255"/>
      <c r="N269" s="255"/>
      <c r="O269" s="255"/>
    </row>
    <row r="270" spans="1:16" x14ac:dyDescent="0.2">
      <c r="B270" s="229" t="str">
        <f>B13</f>
        <v>A</v>
      </c>
      <c r="C270" s="229" t="str">
        <f>C13</f>
        <v>Revenue</v>
      </c>
      <c r="D270" s="252" t="s">
        <v>363</v>
      </c>
      <c r="E270" s="229">
        <v>13</v>
      </c>
      <c r="F270" s="229"/>
      <c r="G270" s="229"/>
      <c r="H270" s="229"/>
      <c r="I270" s="229"/>
      <c r="J270" s="229"/>
      <c r="K270" s="229"/>
      <c r="L270" s="229"/>
      <c r="M270" s="229"/>
      <c r="N270" s="229"/>
      <c r="O270" s="229"/>
    </row>
    <row r="271" spans="1:16" x14ac:dyDescent="0.2">
      <c r="B271" s="229" t="str">
        <f>B18</f>
        <v>B</v>
      </c>
      <c r="C271" s="229" t="str">
        <f>C18</f>
        <v>Cost of Revenue</v>
      </c>
      <c r="D271" s="252" t="s">
        <v>363</v>
      </c>
      <c r="E271" s="229">
        <v>19</v>
      </c>
      <c r="F271" s="229"/>
      <c r="G271" s="229"/>
      <c r="H271" s="229"/>
      <c r="I271" s="229"/>
      <c r="J271" s="229"/>
      <c r="K271" s="229"/>
      <c r="L271" s="229"/>
      <c r="M271" s="229"/>
      <c r="N271" s="229"/>
      <c r="O271" s="229"/>
    </row>
    <row r="272" spans="1:16" x14ac:dyDescent="0.2">
      <c r="B272" s="229" t="str">
        <f>B22</f>
        <v>C</v>
      </c>
      <c r="C272" s="229" t="str">
        <f>C22</f>
        <v>Gross Profit/(Loss)</v>
      </c>
      <c r="D272" s="252" t="s">
        <v>363</v>
      </c>
      <c r="E272" s="229">
        <v>24</v>
      </c>
      <c r="F272" s="229"/>
      <c r="G272" s="229"/>
      <c r="H272" s="229"/>
      <c r="I272" s="229"/>
      <c r="J272" s="229"/>
      <c r="K272" s="229"/>
      <c r="L272" s="229"/>
      <c r="M272" s="229"/>
      <c r="N272" s="229"/>
      <c r="O272" s="229"/>
    </row>
    <row r="273" spans="2:15" x14ac:dyDescent="0.2">
      <c r="B273" s="229" t="str">
        <f>B29</f>
        <v>E.1</v>
      </c>
      <c r="C273" s="229" t="str">
        <f>C29</f>
        <v>Selling &amp; Marketing Expenses</v>
      </c>
      <c r="D273" s="252" t="s">
        <v>363</v>
      </c>
      <c r="E273" s="229">
        <v>31</v>
      </c>
      <c r="F273" s="229"/>
      <c r="G273" s="229"/>
      <c r="H273" s="229"/>
      <c r="I273" s="229"/>
      <c r="J273" s="229"/>
      <c r="K273" s="229"/>
      <c r="L273" s="229"/>
      <c r="M273" s="229"/>
      <c r="N273" s="229"/>
      <c r="O273" s="229"/>
    </row>
    <row r="274" spans="2:15" x14ac:dyDescent="0.2">
      <c r="B274" s="229" t="str">
        <f>B30</f>
        <v>E.2</v>
      </c>
      <c r="C274" s="229" t="str">
        <f>C30</f>
        <v>General &amp; Administrative Expenses</v>
      </c>
      <c r="D274" s="252" t="s">
        <v>363</v>
      </c>
      <c r="E274" s="229">
        <v>32</v>
      </c>
      <c r="F274" s="229"/>
      <c r="G274" s="229"/>
      <c r="H274" s="229"/>
      <c r="I274" s="229"/>
      <c r="J274" s="229"/>
      <c r="K274" s="229"/>
      <c r="L274" s="229"/>
      <c r="M274" s="229"/>
      <c r="N274" s="229"/>
      <c r="O274" s="229"/>
    </row>
    <row r="275" spans="2:15" x14ac:dyDescent="0.2">
      <c r="B275" s="229" t="str">
        <f>B36</f>
        <v>G.1</v>
      </c>
      <c r="C275" s="229" t="str">
        <f>C36</f>
        <v>Financial Income</v>
      </c>
      <c r="D275" s="252" t="s">
        <v>363</v>
      </c>
      <c r="E275" s="229">
        <v>38</v>
      </c>
      <c r="F275" s="229"/>
      <c r="G275" s="229"/>
      <c r="H275" s="229"/>
      <c r="I275" s="229"/>
      <c r="J275" s="229"/>
      <c r="K275" s="229"/>
      <c r="L275" s="229"/>
      <c r="M275" s="229"/>
      <c r="N275" s="229"/>
      <c r="O275" s="229"/>
    </row>
    <row r="276" spans="2:15" x14ac:dyDescent="0.2">
      <c r="B276" s="229" t="str">
        <f>B37</f>
        <v>G.2</v>
      </c>
      <c r="C276" s="229" t="str">
        <f>C37</f>
        <v>Financial Expenses</v>
      </c>
      <c r="D276" s="252" t="s">
        <v>363</v>
      </c>
      <c r="E276" s="229">
        <v>39</v>
      </c>
      <c r="F276" s="229"/>
      <c r="G276" s="229"/>
      <c r="H276" s="229"/>
      <c r="I276" s="229"/>
      <c r="J276" s="229"/>
      <c r="K276" s="229"/>
      <c r="L276" s="229"/>
      <c r="M276" s="229"/>
      <c r="N276" s="229"/>
      <c r="O276" s="229"/>
    </row>
    <row r="277" spans="2:15" x14ac:dyDescent="0.2">
      <c r="B277" s="229" t="str">
        <f>B43</f>
        <v>H</v>
      </c>
      <c r="C277" s="229" t="str">
        <f>C43</f>
        <v>Pretax Profit/(Loss)</v>
      </c>
      <c r="D277" s="252" t="s">
        <v>363</v>
      </c>
      <c r="E277" s="229">
        <v>45</v>
      </c>
      <c r="F277" s="229"/>
      <c r="G277" s="229"/>
      <c r="H277" s="229"/>
      <c r="I277" s="229"/>
      <c r="J277" s="229"/>
      <c r="K277" s="229"/>
      <c r="L277" s="229"/>
      <c r="M277" s="229"/>
      <c r="N277" s="229"/>
      <c r="O277" s="229"/>
    </row>
    <row r="278" spans="2:15" x14ac:dyDescent="0.2">
      <c r="B278" s="229" t="str">
        <f>B45</f>
        <v>I</v>
      </c>
      <c r="C278" s="229" t="str">
        <f>C45</f>
        <v>Income Tax Expense</v>
      </c>
      <c r="D278" s="252" t="s">
        <v>363</v>
      </c>
      <c r="E278" s="229">
        <v>47</v>
      </c>
      <c r="F278" s="229"/>
      <c r="G278" s="229"/>
      <c r="H278" s="229"/>
      <c r="I278" s="229"/>
      <c r="J278" s="229"/>
      <c r="K278" s="229"/>
      <c r="L278" s="229"/>
      <c r="M278" s="229"/>
      <c r="N278" s="229"/>
      <c r="O278" s="229"/>
    </row>
    <row r="279" spans="2:15" x14ac:dyDescent="0.2">
      <c r="B279" s="229" t="str">
        <f>B51</f>
        <v>L</v>
      </c>
      <c r="C279" s="229" t="str">
        <f>C51</f>
        <v>Net Profit/(Loss) for the Year</v>
      </c>
      <c r="D279" s="252" t="s">
        <v>363</v>
      </c>
      <c r="E279" s="229">
        <v>53</v>
      </c>
      <c r="F279" s="229"/>
      <c r="G279" s="229"/>
      <c r="H279" s="229"/>
      <c r="I279" s="229"/>
      <c r="J279" s="229"/>
      <c r="K279" s="229"/>
      <c r="L279" s="229"/>
      <c r="M279" s="229"/>
      <c r="N279" s="229"/>
      <c r="O279" s="229"/>
    </row>
    <row r="280" spans="2:15" x14ac:dyDescent="0.2">
      <c r="B280" s="229" t="str">
        <f>B57</f>
        <v>AA.1</v>
      </c>
      <c r="C280" s="229" t="str">
        <f>C57</f>
        <v>Depreciation &amp; Amortization</v>
      </c>
      <c r="D280" s="252" t="s">
        <v>363</v>
      </c>
      <c r="E280" s="229">
        <v>59</v>
      </c>
      <c r="F280" s="229"/>
      <c r="G280" s="229"/>
      <c r="H280" s="229"/>
      <c r="I280" s="229"/>
      <c r="J280" s="229"/>
      <c r="K280" s="229"/>
      <c r="L280" s="229"/>
      <c r="M280" s="229"/>
      <c r="N280" s="229"/>
      <c r="O280" s="229"/>
    </row>
    <row r="281" spans="2:15" x14ac:dyDescent="0.2">
      <c r="B281" s="229" t="str">
        <f>B64</f>
        <v>M</v>
      </c>
      <c r="C281" s="229" t="str">
        <f>C64</f>
        <v>Current Assets</v>
      </c>
      <c r="D281" s="252" t="s">
        <v>363</v>
      </c>
      <c r="E281" s="229">
        <v>66</v>
      </c>
      <c r="F281" s="229"/>
      <c r="G281" s="229"/>
      <c r="H281" s="229"/>
      <c r="I281" s="229"/>
      <c r="J281" s="229"/>
      <c r="K281" s="229"/>
      <c r="L281" s="229"/>
      <c r="M281" s="229"/>
      <c r="N281" s="229"/>
      <c r="O281" s="229"/>
    </row>
    <row r="282" spans="2:15" x14ac:dyDescent="0.2">
      <c r="B282" s="229" t="str">
        <f>B65</f>
        <v>M.1</v>
      </c>
      <c r="C282" s="229" t="str">
        <f>C65</f>
        <v>Cash &amp; Near Cash Items</v>
      </c>
      <c r="D282" s="252" t="s">
        <v>363</v>
      </c>
      <c r="E282" s="229">
        <v>67</v>
      </c>
      <c r="F282" s="229"/>
      <c r="G282" s="229"/>
      <c r="H282" s="229"/>
      <c r="I282" s="229"/>
      <c r="J282" s="229"/>
      <c r="K282" s="229"/>
      <c r="L282" s="229"/>
      <c r="M282" s="229"/>
      <c r="N282" s="229"/>
      <c r="O282" s="229"/>
    </row>
    <row r="283" spans="2:15" x14ac:dyDescent="0.2">
      <c r="B283" s="229" t="str">
        <f>B67</f>
        <v>M.3</v>
      </c>
      <c r="C283" s="229" t="str">
        <f>C67</f>
        <v>Trade Receivable</v>
      </c>
      <c r="D283" s="252" t="s">
        <v>363</v>
      </c>
      <c r="E283" s="229">
        <v>69</v>
      </c>
      <c r="F283" s="229"/>
      <c r="G283" s="229"/>
      <c r="H283" s="229"/>
      <c r="I283" s="229"/>
      <c r="J283" s="229"/>
      <c r="K283" s="229"/>
      <c r="L283" s="229"/>
      <c r="M283" s="229"/>
      <c r="N283" s="229"/>
      <c r="O283" s="229"/>
    </row>
    <row r="284" spans="2:15" x14ac:dyDescent="0.2">
      <c r="B284" s="229" t="str">
        <f>B68</f>
        <v>M.4</v>
      </c>
      <c r="C284" s="229" t="str">
        <f>C68</f>
        <v>Inventories</v>
      </c>
      <c r="D284" s="252" t="s">
        <v>363</v>
      </c>
      <c r="E284" s="229">
        <v>70</v>
      </c>
      <c r="F284" s="229"/>
      <c r="G284" s="229"/>
      <c r="H284" s="229"/>
      <c r="I284" s="229"/>
      <c r="J284" s="229"/>
      <c r="K284" s="229"/>
      <c r="L284" s="229"/>
      <c r="M284" s="229"/>
      <c r="N284" s="229"/>
      <c r="O284" s="229"/>
    </row>
    <row r="285" spans="2:15" x14ac:dyDescent="0.2">
      <c r="B285" s="229" t="str">
        <f>B80</f>
        <v>O.2</v>
      </c>
      <c r="C285" s="229" t="str">
        <f>C80</f>
        <v>Intangible Assets</v>
      </c>
      <c r="D285" s="252" t="s">
        <v>363</v>
      </c>
      <c r="E285" s="229">
        <v>82</v>
      </c>
      <c r="F285" s="229"/>
      <c r="G285" s="229"/>
      <c r="H285" s="229"/>
      <c r="I285" s="229"/>
      <c r="J285" s="229"/>
      <c r="K285" s="229"/>
      <c r="L285" s="229"/>
      <c r="M285" s="229"/>
      <c r="N285" s="229"/>
      <c r="O285" s="229"/>
    </row>
    <row r="286" spans="2:15" x14ac:dyDescent="0.2">
      <c r="B286" s="229" t="str">
        <f>B93</f>
        <v>P</v>
      </c>
      <c r="C286" s="229" t="str">
        <f>C93</f>
        <v>Total Assets</v>
      </c>
      <c r="D286" s="252" t="s">
        <v>363</v>
      </c>
      <c r="E286" s="229">
        <v>95</v>
      </c>
      <c r="F286" s="253"/>
      <c r="G286" s="253"/>
      <c r="H286" s="253"/>
      <c r="I286" s="253"/>
      <c r="J286" s="253"/>
      <c r="K286" s="253"/>
      <c r="L286" s="253"/>
      <c r="M286" s="253"/>
      <c r="N286" s="253"/>
      <c r="O286" s="253"/>
    </row>
    <row r="287" spans="2:15" x14ac:dyDescent="0.2">
      <c r="B287" s="229" t="str">
        <f t="shared" ref="B287:C289" si="92">B95</f>
        <v>Q</v>
      </c>
      <c r="C287" s="229" t="str">
        <f t="shared" si="92"/>
        <v>Current Liabilities</v>
      </c>
      <c r="D287" s="252" t="s">
        <v>363</v>
      </c>
      <c r="E287" s="229">
        <v>97</v>
      </c>
      <c r="F287" s="229"/>
      <c r="G287" s="229"/>
      <c r="H287" s="229"/>
      <c r="I287" s="229"/>
      <c r="J287" s="229"/>
      <c r="K287" s="229"/>
      <c r="L287" s="229"/>
      <c r="M287" s="229"/>
      <c r="N287" s="229"/>
      <c r="O287" s="229"/>
    </row>
    <row r="288" spans="2:15" x14ac:dyDescent="0.2">
      <c r="B288" s="229" t="str">
        <f t="shared" si="92"/>
        <v>Q.1</v>
      </c>
      <c r="C288" s="229" t="str">
        <f t="shared" si="92"/>
        <v>Trade Payables</v>
      </c>
      <c r="D288" s="252" t="s">
        <v>363</v>
      </c>
      <c r="E288" s="229">
        <v>98</v>
      </c>
      <c r="F288" s="229"/>
      <c r="G288" s="229"/>
      <c r="H288" s="229"/>
      <c r="I288" s="229"/>
      <c r="J288" s="229"/>
      <c r="K288" s="229"/>
      <c r="L288" s="229"/>
      <c r="M288" s="229"/>
      <c r="N288" s="229"/>
      <c r="O288" s="229"/>
    </row>
    <row r="289" spans="2:15" x14ac:dyDescent="0.2">
      <c r="B289" s="229" t="str">
        <f t="shared" si="92"/>
        <v>Q.2</v>
      </c>
      <c r="C289" s="229" t="str">
        <f t="shared" si="92"/>
        <v>Short-Term Borrowings</v>
      </c>
      <c r="D289" s="252" t="s">
        <v>363</v>
      </c>
      <c r="E289" s="229">
        <v>99</v>
      </c>
      <c r="F289" s="229"/>
      <c r="G289" s="229"/>
      <c r="H289" s="229"/>
      <c r="I289" s="229"/>
      <c r="J289" s="229"/>
      <c r="K289" s="229"/>
      <c r="L289" s="229"/>
      <c r="M289" s="229"/>
      <c r="N289" s="229"/>
      <c r="O289" s="229"/>
    </row>
    <row r="290" spans="2:15" x14ac:dyDescent="0.2">
      <c r="B290" s="229" t="str">
        <f>B101</f>
        <v>Q.4.2</v>
      </c>
      <c r="C290" s="229" t="str">
        <f>C101</f>
        <v>Deferred Income Tax Liabilities (Current)</v>
      </c>
      <c r="D290" s="252" t="s">
        <v>363</v>
      </c>
      <c r="E290" s="229">
        <v>103</v>
      </c>
      <c r="F290" s="229"/>
      <c r="G290" s="229"/>
      <c r="H290" s="229"/>
      <c r="I290" s="229"/>
      <c r="J290" s="229"/>
      <c r="K290" s="229"/>
      <c r="L290" s="229"/>
      <c r="M290" s="229"/>
      <c r="N290" s="229"/>
      <c r="O290" s="229"/>
    </row>
    <row r="291" spans="2:15" x14ac:dyDescent="0.2">
      <c r="B291" s="229" t="str">
        <f>B108</f>
        <v>R.1</v>
      </c>
      <c r="C291" s="229" t="str">
        <f>C108</f>
        <v>Long-Term Borrowings</v>
      </c>
      <c r="D291" s="252" t="s">
        <v>363</v>
      </c>
      <c r="E291" s="229">
        <v>110</v>
      </c>
      <c r="F291" s="229"/>
      <c r="G291" s="229"/>
      <c r="H291" s="229"/>
      <c r="I291" s="229"/>
      <c r="J291" s="229"/>
      <c r="K291" s="229"/>
      <c r="L291" s="229"/>
      <c r="M291" s="229"/>
      <c r="N291" s="229"/>
      <c r="O291" s="229"/>
    </row>
    <row r="292" spans="2:15" x14ac:dyDescent="0.2">
      <c r="B292" s="229" t="str">
        <f>B118</f>
        <v>S</v>
      </c>
      <c r="C292" s="229" t="str">
        <f>C118</f>
        <v>Total Liabilities</v>
      </c>
      <c r="D292" s="252" t="s">
        <v>363</v>
      </c>
      <c r="E292" s="229">
        <v>120</v>
      </c>
      <c r="F292" s="229"/>
      <c r="G292" s="229"/>
      <c r="H292" s="229"/>
      <c r="I292" s="229"/>
      <c r="J292" s="229"/>
      <c r="K292" s="229"/>
      <c r="L292" s="229"/>
      <c r="M292" s="229"/>
      <c r="N292" s="229"/>
      <c r="O292" s="229"/>
    </row>
    <row r="293" spans="2:15" x14ac:dyDescent="0.2">
      <c r="B293" s="229" t="str">
        <f>B120</f>
        <v>T</v>
      </c>
      <c r="C293" s="229" t="str">
        <f>C120</f>
        <v>Shareholder Equity</v>
      </c>
      <c r="D293" s="252" t="s">
        <v>363</v>
      </c>
      <c r="E293" s="229">
        <v>122</v>
      </c>
      <c r="F293" s="229"/>
      <c r="G293" s="229"/>
      <c r="H293" s="229"/>
      <c r="I293" s="229"/>
      <c r="J293" s="229"/>
      <c r="K293" s="229"/>
      <c r="L293" s="229"/>
      <c r="M293" s="229"/>
      <c r="N293" s="229"/>
      <c r="O293" s="229"/>
    </row>
    <row r="294" spans="2:15" x14ac:dyDescent="0.2">
      <c r="B294" s="229" t="str">
        <f>B130</f>
        <v>BB</v>
      </c>
      <c r="C294" s="229" t="str">
        <f>C130</f>
        <v>Total Subordinated Debts</v>
      </c>
      <c r="D294" s="252" t="s">
        <v>363</v>
      </c>
      <c r="E294" s="229">
        <v>132</v>
      </c>
      <c r="F294" s="229"/>
      <c r="G294" s="229"/>
      <c r="H294" s="229"/>
      <c r="I294" s="229"/>
      <c r="J294" s="229"/>
      <c r="K294" s="229"/>
      <c r="L294" s="229"/>
      <c r="M294" s="229"/>
      <c r="N294" s="229"/>
      <c r="O294" s="229"/>
    </row>
    <row r="295" spans="2:15" x14ac:dyDescent="0.2">
      <c r="B295" s="229" t="str">
        <f>B142</f>
        <v>V.3</v>
      </c>
      <c r="C295" s="229" t="str">
        <f>C142</f>
        <v>Add: Changes in Working Capital</v>
      </c>
      <c r="D295" s="252" t="s">
        <v>363</v>
      </c>
      <c r="E295" s="252">
        <v>144</v>
      </c>
      <c r="F295" s="229"/>
      <c r="G295" s="229"/>
      <c r="H295" s="229"/>
      <c r="I295" s="229"/>
      <c r="J295" s="229"/>
      <c r="K295" s="229"/>
      <c r="L295" s="229"/>
      <c r="M295" s="229"/>
      <c r="N295" s="229"/>
      <c r="O295" s="229"/>
    </row>
    <row r="296" spans="2:15" x14ac:dyDescent="0.2">
      <c r="B296" s="229" t="str">
        <f>B153</f>
        <v>W.1</v>
      </c>
      <c r="C296" s="229" t="str">
        <f>C153</f>
        <v>Net Proceed/(Expenses) on Sale of Assets/Capex</v>
      </c>
      <c r="D296" s="252" t="s">
        <v>363</v>
      </c>
      <c r="E296" s="229">
        <v>155</v>
      </c>
      <c r="F296" s="229"/>
      <c r="G296" s="229"/>
      <c r="H296" s="229"/>
      <c r="I296" s="229"/>
      <c r="J296" s="229"/>
      <c r="K296" s="229"/>
      <c r="L296" s="229"/>
      <c r="M296" s="229"/>
      <c r="N296" s="229"/>
      <c r="O296" s="229"/>
    </row>
    <row r="297" spans="2:15" x14ac:dyDescent="0.2">
      <c r="B297" s="229" t="str">
        <f>B158</f>
        <v>X.1</v>
      </c>
      <c r="C297" s="229" t="str">
        <f>C158</f>
        <v>Change in Share Capital</v>
      </c>
      <c r="D297" s="252" t="s">
        <v>363</v>
      </c>
      <c r="E297" s="252">
        <v>160</v>
      </c>
      <c r="F297" s="229"/>
      <c r="G297" s="229"/>
      <c r="H297" s="229"/>
      <c r="I297" s="229"/>
      <c r="J297" s="229"/>
      <c r="K297" s="229"/>
      <c r="L297" s="229"/>
      <c r="M297" s="229"/>
      <c r="N297" s="229"/>
      <c r="O297" s="229"/>
    </row>
    <row r="298" spans="2:15" x14ac:dyDescent="0.2">
      <c r="B298" s="229" t="str">
        <f>B160</f>
        <v>X.3</v>
      </c>
      <c r="C298" s="229" t="str">
        <f>C160</f>
        <v>Change in Borrowings</v>
      </c>
      <c r="D298" s="252" t="s">
        <v>363</v>
      </c>
      <c r="E298" s="252">
        <v>162</v>
      </c>
      <c r="F298" s="229"/>
      <c r="G298" s="229"/>
      <c r="H298" s="229"/>
      <c r="I298" s="229"/>
      <c r="J298" s="229"/>
      <c r="K298" s="229"/>
      <c r="L298" s="229"/>
      <c r="M298" s="229"/>
      <c r="N298" s="229"/>
      <c r="O298" s="229"/>
    </row>
    <row r="299" spans="2:15" x14ac:dyDescent="0.2">
      <c r="B299" s="229" t="str">
        <f>B164</f>
        <v>AB</v>
      </c>
      <c r="C299" s="229" t="str">
        <f>C164</f>
        <v>Ending Cash</v>
      </c>
      <c r="D299" s="252" t="s">
        <v>363</v>
      </c>
      <c r="E299" s="252">
        <v>166</v>
      </c>
      <c r="F299" s="229"/>
      <c r="G299" s="229"/>
      <c r="H299" s="229"/>
      <c r="I299" s="229"/>
      <c r="J299" s="229"/>
      <c r="K299" s="229"/>
      <c r="L299" s="229"/>
      <c r="M299" s="229"/>
      <c r="N299" s="229"/>
      <c r="O299" s="229"/>
    </row>
    <row r="300" spans="2:15" x14ac:dyDescent="0.2">
      <c r="B300" s="232"/>
      <c r="C300" s="229"/>
      <c r="D300" s="252"/>
      <c r="E300" s="252"/>
      <c r="F300" s="229"/>
      <c r="G300" s="229"/>
      <c r="H300" s="229"/>
      <c r="I300" s="229"/>
      <c r="J300" s="229"/>
      <c r="K300" s="229"/>
      <c r="L300" s="229"/>
      <c r="M300" s="229"/>
      <c r="N300" s="229"/>
      <c r="O300" s="229"/>
    </row>
    <row r="301" spans="2:15" x14ac:dyDescent="0.2">
      <c r="B301" s="232"/>
      <c r="C301" s="229"/>
      <c r="D301" s="252"/>
      <c r="E301" s="252"/>
      <c r="F301" s="229"/>
      <c r="G301" s="229"/>
      <c r="H301" s="229"/>
      <c r="I301" s="229"/>
      <c r="J301" s="229"/>
      <c r="K301" s="229"/>
      <c r="L301" s="229"/>
      <c r="M301" s="229"/>
      <c r="N301" s="229"/>
      <c r="O301" s="229"/>
    </row>
    <row r="302" spans="2:15" x14ac:dyDescent="0.2">
      <c r="B302" s="232" t="s">
        <v>361</v>
      </c>
      <c r="C302" s="232" t="s">
        <v>365</v>
      </c>
      <c r="D302" s="252"/>
      <c r="E302" s="252"/>
      <c r="F302" s="229"/>
      <c r="G302" s="229"/>
      <c r="H302" s="229"/>
      <c r="I302" s="229"/>
      <c r="J302" s="229"/>
      <c r="K302" s="229"/>
      <c r="L302" s="229"/>
      <c r="M302" s="229"/>
      <c r="N302" s="229"/>
      <c r="O302" s="229"/>
    </row>
    <row r="303" spans="2:15" x14ac:dyDescent="0.2">
      <c r="B303" s="229" t="s">
        <v>348</v>
      </c>
      <c r="C303" s="229" t="str">
        <f>C65</f>
        <v>Cash &amp; Near Cash Items</v>
      </c>
      <c r="D303" s="252" t="s">
        <v>394</v>
      </c>
      <c r="E303" s="252">
        <v>67</v>
      </c>
      <c r="F303" s="253">
        <f>IF(ISNUMBER(F164),ROUND(F65-F164,0),0)</f>
        <v>0</v>
      </c>
      <c r="G303" s="253">
        <f t="shared" ref="G303:O303" si="93">IF(ISNUMBER(G164),ROUND(G65-G164,0),0)</f>
        <v>0</v>
      </c>
      <c r="H303" s="253">
        <f t="shared" si="93"/>
        <v>0</v>
      </c>
      <c r="I303" s="253">
        <f t="shared" si="93"/>
        <v>0</v>
      </c>
      <c r="J303" s="253">
        <f t="shared" si="93"/>
        <v>0</v>
      </c>
      <c r="K303" s="253">
        <f t="shared" si="93"/>
        <v>0</v>
      </c>
      <c r="L303" s="253">
        <f t="shared" si="93"/>
        <v>0</v>
      </c>
      <c r="M303" s="253">
        <f t="shared" si="93"/>
        <v>0</v>
      </c>
      <c r="N303" s="253">
        <f t="shared" si="93"/>
        <v>0</v>
      </c>
      <c r="O303" s="319">
        <f t="shared" si="93"/>
        <v>0</v>
      </c>
    </row>
    <row r="304" spans="2:15" ht="12.75" customHeight="1" x14ac:dyDescent="0.2">
      <c r="B304" s="229" t="s">
        <v>349</v>
      </c>
      <c r="C304" s="229" t="str">
        <f>C128</f>
        <v>Total Liabilities &amp; Equity</v>
      </c>
      <c r="D304" s="252" t="s">
        <v>395</v>
      </c>
      <c r="E304" s="252">
        <v>130</v>
      </c>
      <c r="F304" s="253">
        <f>IF(ISNUMBER(F128),ROUND(F118+F120-F128,0),0)</f>
        <v>0</v>
      </c>
      <c r="G304" s="253">
        <f t="shared" ref="G304:O304" si="94">IF(ISNUMBER(G128),ROUND(G118+G120-G128,0),0)</f>
        <v>0</v>
      </c>
      <c r="H304" s="253">
        <f t="shared" si="94"/>
        <v>0</v>
      </c>
      <c r="I304" s="253">
        <f t="shared" si="94"/>
        <v>0</v>
      </c>
      <c r="J304" s="253">
        <f t="shared" si="94"/>
        <v>0</v>
      </c>
      <c r="K304" s="253">
        <f t="shared" si="94"/>
        <v>0</v>
      </c>
      <c r="L304" s="253">
        <f t="shared" si="94"/>
        <v>0</v>
      </c>
      <c r="M304" s="253">
        <f t="shared" si="94"/>
        <v>0</v>
      </c>
      <c r="N304" s="253">
        <f t="shared" si="94"/>
        <v>0</v>
      </c>
      <c r="O304" s="253">
        <f t="shared" si="94"/>
        <v>0</v>
      </c>
    </row>
    <row r="305" spans="2:15" x14ac:dyDescent="0.2">
      <c r="B305" s="229"/>
      <c r="C305" s="229"/>
      <c r="D305" s="252"/>
      <c r="E305" s="252"/>
      <c r="F305" s="229"/>
      <c r="G305" s="229"/>
      <c r="H305" s="229"/>
      <c r="I305" s="229"/>
      <c r="J305" s="229"/>
      <c r="K305" s="229"/>
      <c r="L305" s="229"/>
      <c r="M305" s="229"/>
      <c r="N305" s="229"/>
      <c r="O305" s="229"/>
    </row>
    <row r="306" spans="2:15" x14ac:dyDescent="0.2">
      <c r="B306" s="232" t="s">
        <v>364</v>
      </c>
      <c r="C306" s="232" t="str">
        <f t="shared" ref="C306:C311" si="95">C172</f>
        <v>Typical Financial Size Metric</v>
      </c>
      <c r="D306" s="252"/>
      <c r="E306" s="229"/>
      <c r="F306" s="229"/>
      <c r="G306" s="229"/>
      <c r="H306" s="229"/>
      <c r="I306" s="229"/>
      <c r="J306" s="229"/>
      <c r="K306" s="229"/>
      <c r="L306" s="229"/>
      <c r="M306" s="229"/>
      <c r="N306" s="229"/>
      <c r="O306" s="229"/>
    </row>
    <row r="307" spans="2:15" x14ac:dyDescent="0.2">
      <c r="B307" s="229" t="s">
        <v>350</v>
      </c>
      <c r="C307" s="229" t="str">
        <f t="shared" si="95"/>
        <v>Revenue</v>
      </c>
      <c r="D307" s="252" t="s">
        <v>396</v>
      </c>
      <c r="E307" s="229">
        <v>175</v>
      </c>
      <c r="F307" s="253">
        <f t="shared" ref="F307:O307" si="96">IF(ISNUMBER(F173),ROUND(F13-F173,0),0)</f>
        <v>0</v>
      </c>
      <c r="G307" s="253">
        <f t="shared" si="96"/>
        <v>0</v>
      </c>
      <c r="H307" s="253">
        <f t="shared" si="96"/>
        <v>0</v>
      </c>
      <c r="I307" s="253">
        <f t="shared" si="96"/>
        <v>0</v>
      </c>
      <c r="J307" s="253">
        <f t="shared" si="96"/>
        <v>0</v>
      </c>
      <c r="K307" s="253">
        <f t="shared" si="96"/>
        <v>0</v>
      </c>
      <c r="L307" s="253">
        <f t="shared" si="96"/>
        <v>0</v>
      </c>
      <c r="M307" s="253">
        <f t="shared" si="96"/>
        <v>0</v>
      </c>
      <c r="N307" s="253">
        <f t="shared" si="96"/>
        <v>0</v>
      </c>
      <c r="O307" s="253">
        <f t="shared" si="96"/>
        <v>0</v>
      </c>
    </row>
    <row r="308" spans="2:15" ht="15" customHeight="1" x14ac:dyDescent="0.2">
      <c r="B308" s="229" t="s">
        <v>351</v>
      </c>
      <c r="C308" s="229" t="str">
        <f t="shared" si="95"/>
        <v>EBITDA (Operating &amp; Non-Operating Cashflow)</v>
      </c>
      <c r="D308" s="252" t="s">
        <v>397</v>
      </c>
      <c r="E308" s="229">
        <f>E307+1</f>
        <v>176</v>
      </c>
      <c r="F308" s="253">
        <f>IF(ISNUMBER(F174),ROUND(F43-F37+F57-F174,0),0)</f>
        <v>0</v>
      </c>
      <c r="G308" s="253">
        <f t="shared" ref="G308:O308" si="97">IF(ISNUMBER(G174),ROUND(G43-G37+G57-G174,0),0)</f>
        <v>0</v>
      </c>
      <c r="H308" s="253">
        <f t="shared" si="97"/>
        <v>0</v>
      </c>
      <c r="I308" s="253">
        <f t="shared" si="97"/>
        <v>0</v>
      </c>
      <c r="J308" s="253">
        <f t="shared" si="97"/>
        <v>0</v>
      </c>
      <c r="K308" s="253">
        <f t="shared" si="97"/>
        <v>0</v>
      </c>
      <c r="L308" s="253">
        <f t="shared" si="97"/>
        <v>0</v>
      </c>
      <c r="M308" s="253">
        <f t="shared" si="97"/>
        <v>0</v>
      </c>
      <c r="N308" s="253">
        <f t="shared" si="97"/>
        <v>0</v>
      </c>
      <c r="O308" s="253">
        <f t="shared" si="97"/>
        <v>0</v>
      </c>
    </row>
    <row r="309" spans="2:15" x14ac:dyDescent="0.2">
      <c r="B309" s="229" t="s">
        <v>352</v>
      </c>
      <c r="C309" s="229" t="str">
        <f t="shared" si="95"/>
        <v>Net Profit/(Loss)</v>
      </c>
      <c r="D309" s="252" t="s">
        <v>398</v>
      </c>
      <c r="E309" s="229">
        <f>E308+1</f>
        <v>177</v>
      </c>
      <c r="F309" s="253">
        <f>IF(ISNUMBER(F175),ROUND(F51-F175,0),0)</f>
        <v>0</v>
      </c>
      <c r="G309" s="253">
        <f t="shared" ref="G309:O309" si="98">IF(ISNUMBER(G175),ROUND(G51-G175,0),0)</f>
        <v>0</v>
      </c>
      <c r="H309" s="253">
        <f t="shared" si="98"/>
        <v>0</v>
      </c>
      <c r="I309" s="253">
        <f t="shared" si="98"/>
        <v>0</v>
      </c>
      <c r="J309" s="253">
        <f t="shared" si="98"/>
        <v>0</v>
      </c>
      <c r="K309" s="253">
        <f t="shared" si="98"/>
        <v>0</v>
      </c>
      <c r="L309" s="253">
        <f t="shared" si="98"/>
        <v>0</v>
      </c>
      <c r="M309" s="253">
        <f t="shared" si="98"/>
        <v>0</v>
      </c>
      <c r="N309" s="253">
        <f t="shared" si="98"/>
        <v>0</v>
      </c>
      <c r="O309" s="253">
        <f t="shared" si="98"/>
        <v>0</v>
      </c>
    </row>
    <row r="310" spans="2:15" ht="15" customHeight="1" x14ac:dyDescent="0.2">
      <c r="B310" s="229" t="s">
        <v>353</v>
      </c>
      <c r="C310" s="229" t="str">
        <f t="shared" si="95"/>
        <v>Net Assets</v>
      </c>
      <c r="D310" s="252" t="s">
        <v>399</v>
      </c>
      <c r="E310" s="229">
        <f>E309+1</f>
        <v>178</v>
      </c>
      <c r="F310" s="253">
        <f>IF(ISNUMBER(F176),ROUND(F93-F118-F176,0),0)</f>
        <v>0</v>
      </c>
      <c r="G310" s="253">
        <f t="shared" ref="G310:O310" si="99">IF(ISNUMBER(G176),ROUND(G93-G118-G176,0),0)</f>
        <v>0</v>
      </c>
      <c r="H310" s="253">
        <f t="shared" si="99"/>
        <v>0</v>
      </c>
      <c r="I310" s="253">
        <f t="shared" si="99"/>
        <v>0</v>
      </c>
      <c r="J310" s="253">
        <f t="shared" si="99"/>
        <v>0</v>
      </c>
      <c r="K310" s="253">
        <f t="shared" si="99"/>
        <v>0</v>
      </c>
      <c r="L310" s="253">
        <f t="shared" si="99"/>
        <v>0</v>
      </c>
      <c r="M310" s="253">
        <f t="shared" si="99"/>
        <v>0</v>
      </c>
      <c r="N310" s="253">
        <f t="shared" si="99"/>
        <v>0</v>
      </c>
      <c r="O310" s="253">
        <f t="shared" si="99"/>
        <v>0</v>
      </c>
    </row>
    <row r="311" spans="2:15" ht="27.75" customHeight="1" x14ac:dyDescent="0.2">
      <c r="B311" s="229" t="s">
        <v>354</v>
      </c>
      <c r="C311" s="229" t="str">
        <f t="shared" si="95"/>
        <v>Working Capital</v>
      </c>
      <c r="D311" s="252" t="s">
        <v>400</v>
      </c>
      <c r="E311" s="229">
        <f>E310+1</f>
        <v>179</v>
      </c>
      <c r="F311" s="253">
        <f>IF(ISNUMBER(F177),ROUND((F64-F95)-F177,0),0)</f>
        <v>0</v>
      </c>
      <c r="G311" s="253">
        <f t="shared" ref="G311:O311" si="100">IF(ISNUMBER(G177),ROUND((G64-G95)-G177,0),0)</f>
        <v>0</v>
      </c>
      <c r="H311" s="253">
        <f t="shared" si="100"/>
        <v>0</v>
      </c>
      <c r="I311" s="253">
        <f t="shared" si="100"/>
        <v>0</v>
      </c>
      <c r="J311" s="253">
        <f t="shared" si="100"/>
        <v>0</v>
      </c>
      <c r="K311" s="253">
        <f t="shared" si="100"/>
        <v>0</v>
      </c>
      <c r="L311" s="253">
        <f t="shared" si="100"/>
        <v>0</v>
      </c>
      <c r="M311" s="253">
        <f t="shared" si="100"/>
        <v>0</v>
      </c>
      <c r="N311" s="253">
        <f t="shared" si="100"/>
        <v>0</v>
      </c>
      <c r="O311" s="253">
        <f t="shared" si="100"/>
        <v>0</v>
      </c>
    </row>
    <row r="312" spans="2:15" x14ac:dyDescent="0.2">
      <c r="B312" s="229"/>
      <c r="C312" s="229"/>
      <c r="D312" s="252"/>
      <c r="E312" s="229"/>
      <c r="F312" s="229"/>
      <c r="G312" s="229"/>
      <c r="H312" s="229"/>
      <c r="I312" s="229"/>
      <c r="J312" s="229"/>
      <c r="K312" s="229"/>
      <c r="L312" s="229"/>
      <c r="M312" s="229"/>
      <c r="N312" s="229"/>
      <c r="O312" s="229"/>
    </row>
    <row r="313" spans="2:15" x14ac:dyDescent="0.2">
      <c r="B313" s="232" t="s">
        <v>366</v>
      </c>
      <c r="C313" s="232" t="str">
        <f t="shared" ref="C313:C318" si="101">C179</f>
        <v>Profitability Ratios Comparison</v>
      </c>
      <c r="D313" s="252"/>
      <c r="E313" s="229"/>
      <c r="F313" s="229"/>
      <c r="G313" s="229"/>
      <c r="H313" s="229"/>
      <c r="I313" s="229"/>
      <c r="J313" s="229"/>
      <c r="K313" s="229"/>
      <c r="L313" s="229"/>
      <c r="M313" s="229"/>
      <c r="N313" s="229"/>
      <c r="O313" s="229"/>
    </row>
    <row r="314" spans="2:15" ht="16.5" customHeight="1" x14ac:dyDescent="0.2">
      <c r="B314" s="229" t="s">
        <v>355</v>
      </c>
      <c r="C314" s="229" t="str">
        <f t="shared" si="101"/>
        <v>Gross Profit Margin</v>
      </c>
      <c r="D314" s="252" t="s">
        <v>401</v>
      </c>
      <c r="E314" s="229">
        <v>182</v>
      </c>
      <c r="F314" s="229">
        <f t="shared" ref="F314:O314" si="102">IF(ISNUMBER(F180),ROUND(F22/F13-F180,0),0)</f>
        <v>0</v>
      </c>
      <c r="G314" s="229">
        <f t="shared" si="102"/>
        <v>0</v>
      </c>
      <c r="H314" s="229">
        <f t="shared" si="102"/>
        <v>0</v>
      </c>
      <c r="I314" s="229">
        <f t="shared" si="102"/>
        <v>0</v>
      </c>
      <c r="J314" s="229">
        <f t="shared" si="102"/>
        <v>0</v>
      </c>
      <c r="K314" s="229">
        <f t="shared" si="102"/>
        <v>0</v>
      </c>
      <c r="L314" s="229">
        <f t="shared" si="102"/>
        <v>0</v>
      </c>
      <c r="M314" s="229">
        <f t="shared" si="102"/>
        <v>0</v>
      </c>
      <c r="N314" s="229">
        <f t="shared" si="102"/>
        <v>0</v>
      </c>
      <c r="O314" s="229">
        <f t="shared" si="102"/>
        <v>0</v>
      </c>
    </row>
    <row r="315" spans="2:15" ht="16.5" customHeight="1" x14ac:dyDescent="0.2">
      <c r="B315" s="229" t="s">
        <v>356</v>
      </c>
      <c r="C315" s="229" t="str">
        <f t="shared" si="101"/>
        <v>EBITDA (Operating Cash Flow) Margin</v>
      </c>
      <c r="D315" s="252" t="s">
        <v>402</v>
      </c>
      <c r="E315" s="229">
        <f>E314+1</f>
        <v>183</v>
      </c>
      <c r="F315" s="229">
        <f t="shared" ref="F315:O315" si="103">IF(ISNUMBER(F181),ROUND(F174/F13-F181,1),0)</f>
        <v>0</v>
      </c>
      <c r="G315" s="229">
        <f t="shared" si="103"/>
        <v>0</v>
      </c>
      <c r="H315" s="229">
        <f t="shared" si="103"/>
        <v>0</v>
      </c>
      <c r="I315" s="229">
        <f t="shared" si="103"/>
        <v>0</v>
      </c>
      <c r="J315" s="229">
        <f t="shared" si="103"/>
        <v>0</v>
      </c>
      <c r="K315" s="229">
        <f t="shared" si="103"/>
        <v>0</v>
      </c>
      <c r="L315" s="229">
        <f t="shared" si="103"/>
        <v>0</v>
      </c>
      <c r="M315" s="229">
        <f t="shared" si="103"/>
        <v>0</v>
      </c>
      <c r="N315" s="229">
        <f t="shared" si="103"/>
        <v>0</v>
      </c>
      <c r="O315" s="229">
        <f t="shared" si="103"/>
        <v>0</v>
      </c>
    </row>
    <row r="316" spans="2:15" ht="16.5" customHeight="1" x14ac:dyDescent="0.2">
      <c r="B316" s="229" t="s">
        <v>357</v>
      </c>
      <c r="C316" s="229" t="str">
        <f t="shared" si="101"/>
        <v>Net Profit Margin</v>
      </c>
      <c r="D316" s="252" t="s">
        <v>403</v>
      </c>
      <c r="E316" s="229">
        <f>E315+1</f>
        <v>184</v>
      </c>
      <c r="F316" s="229">
        <f t="shared" ref="F316:O316" si="104">IF(ISNUMBER(F182),ROUND(F51/F13-F182,0),0)</f>
        <v>0</v>
      </c>
      <c r="G316" s="229">
        <f t="shared" si="104"/>
        <v>0</v>
      </c>
      <c r="H316" s="229">
        <f t="shared" si="104"/>
        <v>0</v>
      </c>
      <c r="I316" s="229">
        <f t="shared" si="104"/>
        <v>0</v>
      </c>
      <c r="J316" s="229">
        <f t="shared" si="104"/>
        <v>0</v>
      </c>
      <c r="K316" s="229">
        <f t="shared" si="104"/>
        <v>0</v>
      </c>
      <c r="L316" s="229">
        <f t="shared" si="104"/>
        <v>0</v>
      </c>
      <c r="M316" s="229">
        <f t="shared" si="104"/>
        <v>0</v>
      </c>
      <c r="N316" s="229">
        <f t="shared" si="104"/>
        <v>0</v>
      </c>
      <c r="O316" s="229">
        <f t="shared" si="104"/>
        <v>0</v>
      </c>
    </row>
    <row r="317" spans="2:15" ht="32.25" customHeight="1" x14ac:dyDescent="0.2">
      <c r="B317" s="229" t="s">
        <v>358</v>
      </c>
      <c r="C317" s="229" t="str">
        <f t="shared" si="101"/>
        <v>Return on Capital Employed (Annualized)</v>
      </c>
      <c r="D317" s="252" t="s">
        <v>428</v>
      </c>
      <c r="E317" s="229">
        <f>E316+1</f>
        <v>185</v>
      </c>
      <c r="F317" s="229">
        <f>IF(ISNUMBER(F183),ROUND((F43-F36-F37)*4/(F93-F95)-(F183),1),0)</f>
        <v>0</v>
      </c>
      <c r="G317" s="229">
        <f>IF(ISNUMBER(G183),ROUND((G43-G36-G37)*4/(G93-G95)-(G183),1),0)</f>
        <v>0</v>
      </c>
      <c r="H317" s="229">
        <f t="shared" ref="H317:J317" si="105">IF(ISNUMBER(H183),ROUND((H43-H36-H37)*4/(H93-H95)-(H183),1),0)</f>
        <v>0</v>
      </c>
      <c r="I317" s="229">
        <f t="shared" si="105"/>
        <v>0</v>
      </c>
      <c r="J317" s="229">
        <f t="shared" si="105"/>
        <v>0</v>
      </c>
      <c r="K317" s="229">
        <f t="shared" ref="K317:O317" si="106">IF(ISNUMBER(K183),ROUND((K43-K36-K37)/(K93-K95)-K183,1),0)</f>
        <v>0</v>
      </c>
      <c r="L317" s="229">
        <f t="shared" si="106"/>
        <v>0</v>
      </c>
      <c r="M317" s="229">
        <f t="shared" si="106"/>
        <v>0</v>
      </c>
      <c r="N317" s="229">
        <f t="shared" si="106"/>
        <v>0</v>
      </c>
      <c r="O317" s="229">
        <f t="shared" si="106"/>
        <v>0</v>
      </c>
    </row>
    <row r="318" spans="2:15" ht="33.75" customHeight="1" x14ac:dyDescent="0.2">
      <c r="B318" s="229" t="s">
        <v>359</v>
      </c>
      <c r="C318" s="229" t="str">
        <f t="shared" si="101"/>
        <v>Return on Total Assets (Annualized)</v>
      </c>
      <c r="D318" s="252" t="s">
        <v>429</v>
      </c>
      <c r="E318" s="229">
        <f>E317+1</f>
        <v>186</v>
      </c>
      <c r="F318" s="229">
        <f>IF(ISNUMBER(F184),ROUND((F43-F36-F37)*4/F93-F184,1),0)</f>
        <v>0</v>
      </c>
      <c r="G318" s="229">
        <f>IF(ISNUMBER(G184),ROUND((G43-G36-G37)*4/G93-G184,1),0)</f>
        <v>0</v>
      </c>
      <c r="H318" s="229">
        <f t="shared" ref="H318:J318" si="107">IF(ISNUMBER(H184),ROUND((H43-H36-H37)*4/H93-H184,1),0)</f>
        <v>0</v>
      </c>
      <c r="I318" s="229">
        <f t="shared" si="107"/>
        <v>0</v>
      </c>
      <c r="J318" s="229">
        <f t="shared" si="107"/>
        <v>0</v>
      </c>
      <c r="K318" s="229">
        <f t="shared" ref="K318:O318" si="108">IF(ISNUMBER(K184),ROUND((K43-K36-K37)/K93-K184,1),0)</f>
        <v>0</v>
      </c>
      <c r="L318" s="229">
        <f t="shared" si="108"/>
        <v>0</v>
      </c>
      <c r="M318" s="229">
        <f t="shared" si="108"/>
        <v>0</v>
      </c>
      <c r="N318" s="229">
        <f t="shared" si="108"/>
        <v>0</v>
      </c>
      <c r="O318" s="229">
        <f t="shared" si="108"/>
        <v>0</v>
      </c>
    </row>
    <row r="319" spans="2:15" x14ac:dyDescent="0.2">
      <c r="B319" s="229"/>
      <c r="C319" s="229"/>
      <c r="D319" s="252"/>
      <c r="E319" s="229"/>
      <c r="F319" s="229"/>
      <c r="G319" s="229"/>
      <c r="H319" s="229"/>
      <c r="I319" s="229"/>
      <c r="J319" s="229"/>
      <c r="K319" s="229"/>
      <c r="L319" s="229"/>
      <c r="M319" s="229"/>
      <c r="N319" s="229"/>
      <c r="O319" s="229"/>
    </row>
    <row r="320" spans="2:15" x14ac:dyDescent="0.2">
      <c r="B320" s="232" t="s">
        <v>367</v>
      </c>
      <c r="C320" s="232" t="str">
        <f t="shared" ref="C320:C328" si="109">C186</f>
        <v>Liquidity Ratios Comparison</v>
      </c>
      <c r="D320" s="252"/>
      <c r="E320" s="229"/>
      <c r="F320" s="229"/>
      <c r="G320" s="229"/>
      <c r="H320" s="229"/>
      <c r="I320" s="229"/>
      <c r="J320" s="229"/>
      <c r="K320" s="229"/>
      <c r="L320" s="229"/>
      <c r="M320" s="229"/>
      <c r="N320" s="229"/>
      <c r="O320" s="229"/>
    </row>
    <row r="321" spans="2:18" ht="37.5" customHeight="1" x14ac:dyDescent="0.2">
      <c r="B321" s="229" t="s">
        <v>368</v>
      </c>
      <c r="C321" s="229" t="str">
        <f t="shared" si="109"/>
        <v>Trade Receivable Turnover Period (Annualized)</v>
      </c>
      <c r="D321" s="252" t="s">
        <v>534</v>
      </c>
      <c r="E321" s="229">
        <v>189</v>
      </c>
      <c r="F321" s="229">
        <f>IF(ISNUMBER(F187),ROUND(F192/F13*365/4-F187,0),0)</f>
        <v>0</v>
      </c>
      <c r="G321" s="229">
        <f>IF(ISNUMBER(G187),ROUND(G192/G13*365/4-G187,0),0)</f>
        <v>0</v>
      </c>
      <c r="H321" s="229">
        <f>IF(ISNUMBER(H187),ROUND(H192/H13*365/4-H187,0),0)</f>
        <v>0</v>
      </c>
      <c r="I321" s="229">
        <f>IF(ISNUMBER(I187),ROUND(I192/I13*365/4-I187,0),0)</f>
        <v>0</v>
      </c>
      <c r="J321" s="229">
        <f>IF(ISNUMBER(J187),ROUND(J192/J13*365/4-J187,0),0)</f>
        <v>0</v>
      </c>
      <c r="K321" s="229">
        <f>IF(ISNUMBER(K187),ROUND(K192/K13*365-K187,0),0)</f>
        <v>0</v>
      </c>
      <c r="L321" s="229">
        <f>IF(ISNUMBER(L187),ROUND(L192/L13*365-L187,0),0)</f>
        <v>0</v>
      </c>
      <c r="M321" s="229">
        <f>IF(ISNUMBER(M187),ROUND(M192/M13*365-M187,0),0)</f>
        <v>0</v>
      </c>
      <c r="N321" s="229">
        <f>IF(ISNUMBER(N187),ROUND(N192/N13*365-N187,0),0)</f>
        <v>0</v>
      </c>
      <c r="O321" s="320">
        <f>IF(ISNUMBER(O187),ROUND(O192/O13*365-O187,0),0)</f>
        <v>0</v>
      </c>
    </row>
    <row r="322" spans="2:18" ht="38.25" x14ac:dyDescent="0.2">
      <c r="B322" s="229" t="s">
        <v>369</v>
      </c>
      <c r="C322" s="229" t="str">
        <f t="shared" si="109"/>
        <v>Inventory Turnover Period (Annualized)</v>
      </c>
      <c r="D322" s="252" t="s">
        <v>535</v>
      </c>
      <c r="E322" s="229">
        <f>E321+1</f>
        <v>190</v>
      </c>
      <c r="F322" s="229">
        <f>IF(ISNUMBER(F188),ROUND(-F193/F18*365/4-F188,0),0)</f>
        <v>0</v>
      </c>
      <c r="G322" s="229">
        <f>IF(ISNUMBER(G188),ROUND(-G193/G18*365/4-G188,0),0)</f>
        <v>0</v>
      </c>
      <c r="H322" s="229">
        <f>IF(ISNUMBER(H188),ROUND(-H193/H18*365/4-H188,0),0)</f>
        <v>0</v>
      </c>
      <c r="I322" s="229">
        <f>IF(ISNUMBER(I188),ROUND(-I193/I18*365/4-I188,0),0)</f>
        <v>0</v>
      </c>
      <c r="J322" s="229">
        <f>IF(ISNUMBER(J188),ROUND(-J193/J18*365/4-J188,0),0)</f>
        <v>0</v>
      </c>
      <c r="K322" s="229">
        <f>IF(ISNUMBER(K188),ROUND(-K193/K18*365-K188,0),0)</f>
        <v>0</v>
      </c>
      <c r="L322" s="229">
        <f>IF(ISNUMBER(L188),ROUND(-L193/L18*365-L188,0),0)</f>
        <v>0</v>
      </c>
      <c r="M322" s="229">
        <f>IF(ISNUMBER(M188),ROUND(-M193/M18*365-M188,0),0)</f>
        <v>0</v>
      </c>
      <c r="N322" s="229">
        <f>IF(ISNUMBER(N188),ROUND(-N193/N18*365-N188,0),0)</f>
        <v>0</v>
      </c>
      <c r="O322" s="320">
        <f>IF(ISNUMBER(O188),ROUND(-O193/O18*365-O188,0),0)</f>
        <v>0</v>
      </c>
    </row>
    <row r="323" spans="2:18" ht="38.25" x14ac:dyDescent="0.2">
      <c r="B323" s="229" t="s">
        <v>404</v>
      </c>
      <c r="C323" s="229" t="str">
        <f t="shared" si="109"/>
        <v>Trade Payables Turnover Period (Annualized)</v>
      </c>
      <c r="D323" s="252" t="s">
        <v>405</v>
      </c>
      <c r="E323" s="229">
        <f t="shared" ref="E323:E328" si="110">E322+1</f>
        <v>191</v>
      </c>
      <c r="F323" s="229">
        <f>IF(ISNUMBER(F189),ROUND(-F194/F18*365/4-F189,0),0)</f>
        <v>0</v>
      </c>
      <c r="G323" s="229">
        <f>IF(ISNUMBER(G189),ROUND(-G194/G18*365/4-G189,0),0)</f>
        <v>0</v>
      </c>
      <c r="H323" s="229">
        <f>IF(ISNUMBER(H189),ROUND(-H194/H18*365/4-H189,0),0)</f>
        <v>0</v>
      </c>
      <c r="I323" s="229">
        <f>IF(ISNUMBER(I189),ROUND(-I194/I18*365/4-I189,0),0)</f>
        <v>0</v>
      </c>
      <c r="J323" s="229">
        <f>IF(ISNUMBER(J189),ROUND(-J194/J18*365/4-J189,0),0)</f>
        <v>0</v>
      </c>
      <c r="K323" s="229">
        <f>IF(ISNUMBER(K189),ROUND(-K194/K18*365-K189,0),0)</f>
        <v>0</v>
      </c>
      <c r="L323" s="229">
        <f>IF(ISNUMBER(L189),ROUND(-L194/L18*365-L189,0),0)</f>
        <v>0</v>
      </c>
      <c r="M323" s="229">
        <f>IF(ISNUMBER(M189),ROUND(-M194/M18*365-M189,0),0)</f>
        <v>0</v>
      </c>
      <c r="N323" s="229">
        <f>IF(ISNUMBER(N189),ROUND(-N194/N18*365-N189,0),0)</f>
        <v>0</v>
      </c>
      <c r="O323" s="320">
        <f>IF(ISNUMBER(O189),ROUND(-O194/O18*365-O189,0),0)</f>
        <v>0</v>
      </c>
    </row>
    <row r="324" spans="2:18" x14ac:dyDescent="0.2">
      <c r="B324" s="229" t="s">
        <v>406</v>
      </c>
      <c r="C324" s="229" t="str">
        <f t="shared" si="109"/>
        <v>Cash Conversion Cycle (Annualized)</v>
      </c>
      <c r="D324" s="252" t="s">
        <v>407</v>
      </c>
      <c r="E324" s="229">
        <f t="shared" si="110"/>
        <v>192</v>
      </c>
      <c r="F324" s="253">
        <f t="shared" ref="F324:O324" si="111">IF(ISNUMBER(F190),ROUND((F187+F188-F189)-F190,0),0)</f>
        <v>0</v>
      </c>
      <c r="G324" s="253">
        <f t="shared" si="111"/>
        <v>0</v>
      </c>
      <c r="H324" s="253">
        <f t="shared" si="111"/>
        <v>0</v>
      </c>
      <c r="I324" s="253">
        <f t="shared" si="111"/>
        <v>0</v>
      </c>
      <c r="J324" s="253">
        <f t="shared" si="111"/>
        <v>0</v>
      </c>
      <c r="K324" s="253">
        <f t="shared" si="111"/>
        <v>0</v>
      </c>
      <c r="L324" s="253">
        <f t="shared" si="111"/>
        <v>0</v>
      </c>
      <c r="M324" s="253">
        <f t="shared" si="111"/>
        <v>0</v>
      </c>
      <c r="N324" s="253">
        <f t="shared" si="111"/>
        <v>0</v>
      </c>
      <c r="O324" s="253">
        <f t="shared" si="111"/>
        <v>0</v>
      </c>
    </row>
    <row r="325" spans="2:18" x14ac:dyDescent="0.2">
      <c r="B325" s="229" t="s">
        <v>408</v>
      </c>
      <c r="C325" s="229" t="str">
        <f t="shared" si="109"/>
        <v>Current Ratio</v>
      </c>
      <c r="D325" s="252" t="s">
        <v>409</v>
      </c>
      <c r="E325" s="229">
        <f t="shared" si="110"/>
        <v>193</v>
      </c>
      <c r="F325" s="229">
        <f t="shared" ref="F325:O325" si="112">IF(ISNUMBER(F191),ROUND((F64/F95)-F191,1),0)</f>
        <v>0</v>
      </c>
      <c r="G325" s="229">
        <f t="shared" si="112"/>
        <v>0</v>
      </c>
      <c r="H325" s="229">
        <f t="shared" si="112"/>
        <v>0</v>
      </c>
      <c r="I325" s="229">
        <f t="shared" si="112"/>
        <v>0</v>
      </c>
      <c r="J325" s="229">
        <f t="shared" si="112"/>
        <v>0</v>
      </c>
      <c r="K325" s="229">
        <f t="shared" si="112"/>
        <v>0</v>
      </c>
      <c r="L325" s="229">
        <f t="shared" si="112"/>
        <v>0</v>
      </c>
      <c r="M325" s="229">
        <f t="shared" si="112"/>
        <v>0</v>
      </c>
      <c r="N325" s="229">
        <f t="shared" si="112"/>
        <v>0</v>
      </c>
      <c r="O325" s="229">
        <f t="shared" si="112"/>
        <v>0</v>
      </c>
    </row>
    <row r="326" spans="2:18" ht="55.5" customHeight="1" x14ac:dyDescent="0.2">
      <c r="B326" s="229" t="s">
        <v>410</v>
      </c>
      <c r="C326" s="229" t="str">
        <f t="shared" si="109"/>
        <v>Average Trade Receivables</v>
      </c>
      <c r="D326" s="252" t="s">
        <v>536</v>
      </c>
      <c r="E326" s="229">
        <f t="shared" si="110"/>
        <v>194</v>
      </c>
      <c r="F326" s="253">
        <f>IF(ISNUMBER(F192),ROUND(F67-F192,0),0)</f>
        <v>0</v>
      </c>
      <c r="G326" s="253">
        <f t="shared" ref="G326:J327" si="113">IF(ISNUMBER(G192),ROUND(SUM(F67:G67)/2-G192,0),0)</f>
        <v>0</v>
      </c>
      <c r="H326" s="253">
        <f t="shared" si="113"/>
        <v>0</v>
      </c>
      <c r="I326" s="253">
        <f t="shared" si="113"/>
        <v>0</v>
      </c>
      <c r="J326" s="253">
        <f t="shared" si="113"/>
        <v>0</v>
      </c>
      <c r="K326" s="253">
        <f>IF(ISNUMBER(K192),ROUND(K67-K192,0),0)</f>
        <v>0</v>
      </c>
      <c r="L326" s="253">
        <f t="shared" ref="L326:N327" si="114">IF(ISNUMBER(L192),ROUND(SUM(K67:L67)/2-L192,0),0)</f>
        <v>0</v>
      </c>
      <c r="M326" s="253">
        <f t="shared" si="114"/>
        <v>0</v>
      </c>
      <c r="N326" s="253">
        <f t="shared" si="114"/>
        <v>0</v>
      </c>
      <c r="O326" s="319">
        <f>IF(ISNUMBER(O192),ROUND(SUM(F67,O67)/2-O192,0),0)</f>
        <v>0</v>
      </c>
      <c r="R326" s="46" t="s">
        <v>411</v>
      </c>
    </row>
    <row r="327" spans="2:18" ht="53.25" customHeight="1" x14ac:dyDescent="0.2">
      <c r="B327" s="229" t="s">
        <v>412</v>
      </c>
      <c r="C327" s="229" t="str">
        <f t="shared" si="109"/>
        <v>Average Inventory</v>
      </c>
      <c r="D327" s="252" t="s">
        <v>537</v>
      </c>
      <c r="E327" s="229">
        <f t="shared" si="110"/>
        <v>195</v>
      </c>
      <c r="F327" s="253">
        <f>IF(ISNUMBER(F193),ROUND(F68-F193,0),0)</f>
        <v>0</v>
      </c>
      <c r="G327" s="253">
        <f t="shared" si="113"/>
        <v>0</v>
      </c>
      <c r="H327" s="253">
        <f t="shared" si="113"/>
        <v>0</v>
      </c>
      <c r="I327" s="253">
        <f t="shared" si="113"/>
        <v>0</v>
      </c>
      <c r="J327" s="253">
        <f t="shared" si="113"/>
        <v>0</v>
      </c>
      <c r="K327" s="253">
        <f>IF(ISNUMBER(K193),ROUND(K68-K193,0),0)</f>
        <v>0</v>
      </c>
      <c r="L327" s="253">
        <f t="shared" si="114"/>
        <v>0</v>
      </c>
      <c r="M327" s="253">
        <f t="shared" si="114"/>
        <v>0</v>
      </c>
      <c r="N327" s="253">
        <f t="shared" si="114"/>
        <v>0</v>
      </c>
      <c r="O327" s="319">
        <f>IF(ISNUMBER(O193),ROUND(SUM(F68,O68)/2-O193,0),0)</f>
        <v>0</v>
      </c>
      <c r="R327" s="46" t="s">
        <v>413</v>
      </c>
    </row>
    <row r="328" spans="2:18" ht="48.75" customHeight="1" x14ac:dyDescent="0.2">
      <c r="B328" s="229" t="s">
        <v>414</v>
      </c>
      <c r="C328" s="229" t="str">
        <f t="shared" si="109"/>
        <v>Average Trade Payables</v>
      </c>
      <c r="D328" s="252" t="s">
        <v>538</v>
      </c>
      <c r="E328" s="229">
        <f t="shared" si="110"/>
        <v>196</v>
      </c>
      <c r="F328" s="253">
        <f>IF(ISNUMBER(F194),ROUND(F96-F194,0),0)</f>
        <v>0</v>
      </c>
      <c r="G328" s="253">
        <f>IF(ISNUMBER(G194),ROUND(SUM(F96:G96)/2-G194,0),0)</f>
        <v>0</v>
      </c>
      <c r="H328" s="253">
        <f>IF(ISNUMBER(H194),ROUND(SUM(G96:H96)/2-H194,0),0)</f>
        <v>0</v>
      </c>
      <c r="I328" s="253">
        <f>IF(ISNUMBER(I194),ROUND(SUM(H96:I96)/2-I194,0),0)</f>
        <v>0</v>
      </c>
      <c r="J328" s="253">
        <f>IF(ISNUMBER(J194),ROUND(SUM(I96:J96)/2-J194,0),0)</f>
        <v>0</v>
      </c>
      <c r="K328" s="253">
        <f>IF(ISNUMBER(K194),ROUND(K96-K194,0),0)</f>
        <v>0</v>
      </c>
      <c r="L328" s="253">
        <f>IF(ISNUMBER(L194),ROUND(SUM(K96:L96)/2-L194,0),0)</f>
        <v>0</v>
      </c>
      <c r="M328" s="253">
        <f>IF(ISNUMBER(M194),ROUND(SUM(L96:M96)/2-M194,0),0)</f>
        <v>0</v>
      </c>
      <c r="N328" s="253">
        <f>IF(ISNUMBER(N194),ROUND(SUM(M96:N96)/2-N194,0),0)</f>
        <v>0</v>
      </c>
      <c r="O328" s="319">
        <f>IF(ISNUMBER(O194),ROUND(SUM(F96,O96)/2-O194,0),0)</f>
        <v>0</v>
      </c>
      <c r="R328" s="46" t="s">
        <v>415</v>
      </c>
    </row>
    <row r="329" spans="2:18" x14ac:dyDescent="0.2">
      <c r="B329" s="229"/>
      <c r="C329" s="229"/>
      <c r="D329" s="252"/>
      <c r="E329" s="229"/>
      <c r="F329" s="229"/>
      <c r="G329" s="229"/>
      <c r="H329" s="229"/>
      <c r="I329" s="229"/>
      <c r="J329" s="229"/>
      <c r="K329" s="229"/>
      <c r="L329" s="229"/>
      <c r="M329" s="229"/>
      <c r="N329" s="229"/>
      <c r="O329" s="320"/>
    </row>
    <row r="330" spans="2:18" x14ac:dyDescent="0.2">
      <c r="B330" s="232" t="s">
        <v>370</v>
      </c>
      <c r="C330" s="232" t="str">
        <f>C196</f>
        <v>Leveraging Ratios Comparison</v>
      </c>
      <c r="D330" s="252"/>
      <c r="E330" s="229"/>
      <c r="F330" s="229"/>
      <c r="G330" s="229"/>
      <c r="H330" s="229"/>
      <c r="I330" s="229"/>
      <c r="J330" s="229"/>
      <c r="K330" s="229"/>
      <c r="L330" s="229"/>
      <c r="M330" s="229"/>
      <c r="N330" s="229"/>
      <c r="O330" s="320"/>
    </row>
    <row r="331" spans="2:18" x14ac:dyDescent="0.2">
      <c r="B331" s="229" t="s">
        <v>371</v>
      </c>
      <c r="C331" s="229" t="str">
        <f t="shared" ref="C331:C390" si="115">C197</f>
        <v>Debt Service Coverage Ratio (DSCR) (Annualized)</v>
      </c>
      <c r="D331" s="252" t="s">
        <v>416</v>
      </c>
      <c r="E331" s="229">
        <v>199</v>
      </c>
      <c r="F331" s="235">
        <f>IF(ISNUMBER(F197),IF(F204=0,0,ROUND((F203/F204)-F197,1)),0)</f>
        <v>0</v>
      </c>
      <c r="G331" s="235">
        <f t="shared" ref="G331:O331" si="116">IF(ISNUMBER(G197),IF(G204=0,0,ROUND((G203/G204)-G197,1)),0)</f>
        <v>0</v>
      </c>
      <c r="H331" s="235">
        <f t="shared" si="116"/>
        <v>0</v>
      </c>
      <c r="I331" s="235">
        <f t="shared" si="116"/>
        <v>0</v>
      </c>
      <c r="J331" s="235">
        <f t="shared" si="116"/>
        <v>0</v>
      </c>
      <c r="K331" s="235">
        <f t="shared" si="116"/>
        <v>0</v>
      </c>
      <c r="L331" s="235">
        <f t="shared" si="116"/>
        <v>0</v>
      </c>
      <c r="M331" s="235">
        <f t="shared" si="116"/>
        <v>0</v>
      </c>
      <c r="N331" s="235">
        <f t="shared" si="116"/>
        <v>0</v>
      </c>
      <c r="O331" s="235">
        <f t="shared" si="116"/>
        <v>0</v>
      </c>
    </row>
    <row r="332" spans="2:18" ht="25.5" x14ac:dyDescent="0.2">
      <c r="B332" s="229" t="s">
        <v>372</v>
      </c>
      <c r="C332" s="229" t="str">
        <f t="shared" si="115"/>
        <v>Interest Coverage Ratio</v>
      </c>
      <c r="D332" s="252" t="s">
        <v>417</v>
      </c>
      <c r="E332" s="229">
        <f>E331+1</f>
        <v>200</v>
      </c>
      <c r="F332" s="235">
        <f>IF(ISNUMBER(F198),ROUND((F174/-F37)-F198,1),0)</f>
        <v>0</v>
      </c>
      <c r="G332" s="235">
        <f t="shared" ref="G332:O332" si="117">IF(ISNUMBER(G198),ROUND((G174/-G37)-G198,1),0)</f>
        <v>0</v>
      </c>
      <c r="H332" s="235">
        <f t="shared" si="117"/>
        <v>0</v>
      </c>
      <c r="I332" s="235">
        <f t="shared" si="117"/>
        <v>0</v>
      </c>
      <c r="J332" s="235">
        <f t="shared" si="117"/>
        <v>0</v>
      </c>
      <c r="K332" s="235">
        <f t="shared" si="117"/>
        <v>0</v>
      </c>
      <c r="L332" s="235">
        <f t="shared" si="117"/>
        <v>0</v>
      </c>
      <c r="M332" s="235">
        <f t="shared" si="117"/>
        <v>0</v>
      </c>
      <c r="N332" s="235">
        <f t="shared" si="117"/>
        <v>0</v>
      </c>
      <c r="O332" s="235">
        <f t="shared" si="117"/>
        <v>0</v>
      </c>
    </row>
    <row r="333" spans="2:18" ht="38.25" x14ac:dyDescent="0.2">
      <c r="B333" s="229" t="s">
        <v>373</v>
      </c>
      <c r="C333" s="229" t="str">
        <f t="shared" si="115"/>
        <v>Gross Debt to EBITDA (Annualized)</v>
      </c>
      <c r="D333" s="252" t="s">
        <v>418</v>
      </c>
      <c r="E333" s="229">
        <f t="shared" ref="E333:E338" si="118">E332+1</f>
        <v>201</v>
      </c>
      <c r="F333" s="229">
        <f>IF(ISNUMBER(F199),ROUND((F202/(F174*4)-F199),1),0)</f>
        <v>0</v>
      </c>
      <c r="G333" s="229">
        <f>IF(ISNUMBER(G199),ROUND((G202/(G174*4)-G199),1),0)</f>
        <v>0</v>
      </c>
      <c r="H333" s="229">
        <f>IF(ISNUMBER(H199),ROUND((H202/(H174*4)-H199),1),0)</f>
        <v>0</v>
      </c>
      <c r="I333" s="229">
        <f>IF(ISNUMBER(I199),ROUND((I202/(I174*4)-I199),1),0)</f>
        <v>0</v>
      </c>
      <c r="J333" s="229">
        <f>IF(ISNUMBER(J199),ROUND((J202/(J174*4)-J199),1),0)</f>
        <v>0</v>
      </c>
      <c r="K333" s="229">
        <f>IF(ISNUMBER(K199),ROUND((K202/K174-K199),1),0)</f>
        <v>0</v>
      </c>
      <c r="L333" s="229">
        <f>IF(ISNUMBER(L199),ROUND((L202/L174-L199),1),0)</f>
        <v>0</v>
      </c>
      <c r="M333" s="229">
        <f>IF(ISNUMBER(M199),ROUND((M202/M174-M199),1),0)</f>
        <v>0</v>
      </c>
      <c r="N333" s="229">
        <f>IF(ISNUMBER(N199),ROUND((N202/N174-N199),1),0)</f>
        <v>0</v>
      </c>
      <c r="O333" s="229">
        <f>IF(ISNUMBER(O199),ROUND((O202/O174-O199),1),0)</f>
        <v>0</v>
      </c>
    </row>
    <row r="334" spans="2:18" x14ac:dyDescent="0.2">
      <c r="B334" s="229" t="s">
        <v>374</v>
      </c>
      <c r="C334" s="229" t="str">
        <f t="shared" si="115"/>
        <v>Total Liabilities to Total Assets Ratio</v>
      </c>
      <c r="D334" s="252" t="s">
        <v>419</v>
      </c>
      <c r="E334" s="229">
        <f t="shared" si="118"/>
        <v>202</v>
      </c>
      <c r="F334" s="229">
        <f>IF(ISNUMBER(F200),ROUND((F118/F93)-F200,1),0)</f>
        <v>0</v>
      </c>
      <c r="G334" s="229">
        <f t="shared" ref="G334:O334" si="119">IF(ISNUMBER(G200),ROUND((G118/G93)-G200,1),0)</f>
        <v>0</v>
      </c>
      <c r="H334" s="229">
        <f t="shared" si="119"/>
        <v>0</v>
      </c>
      <c r="I334" s="229">
        <f t="shared" si="119"/>
        <v>0</v>
      </c>
      <c r="J334" s="229">
        <f t="shared" si="119"/>
        <v>0</v>
      </c>
      <c r="K334" s="229">
        <f t="shared" si="119"/>
        <v>0</v>
      </c>
      <c r="L334" s="229">
        <f t="shared" si="119"/>
        <v>0</v>
      </c>
      <c r="M334" s="229">
        <f t="shared" si="119"/>
        <v>0</v>
      </c>
      <c r="N334" s="229">
        <f t="shared" si="119"/>
        <v>0</v>
      </c>
      <c r="O334" s="229">
        <f t="shared" si="119"/>
        <v>0</v>
      </c>
    </row>
    <row r="335" spans="2:18" x14ac:dyDescent="0.2">
      <c r="B335" s="229" t="s">
        <v>375</v>
      </c>
      <c r="C335" s="229" t="str">
        <f t="shared" si="115"/>
        <v>Gross Debt to Equity Ratio</v>
      </c>
      <c r="D335" s="252" t="s">
        <v>420</v>
      </c>
      <c r="E335" s="229">
        <f t="shared" si="118"/>
        <v>203</v>
      </c>
      <c r="F335" s="229">
        <f>IF(ISNUMBER(F201),ROUND((F202/F120)-F201,1),0)</f>
        <v>0</v>
      </c>
      <c r="G335" s="229">
        <f t="shared" ref="G335:O335" si="120">IF(ISNUMBER(G201),ROUND((G202/G120)-G201,1),0)</f>
        <v>0</v>
      </c>
      <c r="H335" s="229">
        <f t="shared" si="120"/>
        <v>0</v>
      </c>
      <c r="I335" s="229">
        <f t="shared" si="120"/>
        <v>0</v>
      </c>
      <c r="J335" s="229">
        <f t="shared" si="120"/>
        <v>0</v>
      </c>
      <c r="K335" s="229">
        <f t="shared" si="120"/>
        <v>0</v>
      </c>
      <c r="L335" s="229">
        <f t="shared" si="120"/>
        <v>0</v>
      </c>
      <c r="M335" s="229">
        <f t="shared" si="120"/>
        <v>0</v>
      </c>
      <c r="N335" s="229">
        <f t="shared" si="120"/>
        <v>0</v>
      </c>
      <c r="O335" s="229">
        <f t="shared" si="120"/>
        <v>0</v>
      </c>
    </row>
    <row r="336" spans="2:18" ht="25.5" x14ac:dyDescent="0.2">
      <c r="B336" s="229" t="s">
        <v>376</v>
      </c>
      <c r="C336" s="229" t="str">
        <f t="shared" si="115"/>
        <v>Gross Debt</v>
      </c>
      <c r="D336" s="252" t="s">
        <v>421</v>
      </c>
      <c r="E336" s="229">
        <f t="shared" si="118"/>
        <v>204</v>
      </c>
      <c r="F336" s="253">
        <f>IF(ISNUMBER(F202),ROUND(F97+F108-F202,0),0)</f>
        <v>0</v>
      </c>
      <c r="G336" s="253">
        <f t="shared" ref="G336:O336" si="121">IF(ISNUMBER(G202),ROUND(G97+G108-G202,0),0)</f>
        <v>0</v>
      </c>
      <c r="H336" s="253">
        <f t="shared" si="121"/>
        <v>0</v>
      </c>
      <c r="I336" s="253">
        <f t="shared" si="121"/>
        <v>0</v>
      </c>
      <c r="J336" s="253">
        <f t="shared" si="121"/>
        <v>0</v>
      </c>
      <c r="K336" s="253">
        <f t="shared" si="121"/>
        <v>0</v>
      </c>
      <c r="L336" s="253">
        <f t="shared" si="121"/>
        <v>0</v>
      </c>
      <c r="M336" s="253">
        <f t="shared" si="121"/>
        <v>0</v>
      </c>
      <c r="N336" s="253">
        <f t="shared" si="121"/>
        <v>0</v>
      </c>
      <c r="O336" s="253">
        <f t="shared" si="121"/>
        <v>0</v>
      </c>
    </row>
    <row r="337" spans="2:19" x14ac:dyDescent="0.2">
      <c r="B337" s="229" t="s">
        <v>377</v>
      </c>
      <c r="C337" s="229" t="str">
        <f t="shared" si="115"/>
        <v>Cash Available for Debt Servicing (CADS)</v>
      </c>
      <c r="D337" s="252" t="s">
        <v>424</v>
      </c>
      <c r="E337" s="229">
        <f t="shared" si="118"/>
        <v>205</v>
      </c>
      <c r="F337" s="253">
        <f>IF(ISNUMBER(F203),ROUND(SUM(F174,F45,F142)-F203,0),0)</f>
        <v>0</v>
      </c>
      <c r="G337" s="253">
        <f t="shared" ref="G337:N337" si="122">IF(ISNUMBER(G203),ROUND(SUM(G174,G45,G142)-G203,0),0)</f>
        <v>0</v>
      </c>
      <c r="H337" s="253">
        <f t="shared" si="122"/>
        <v>0</v>
      </c>
      <c r="I337" s="253">
        <f t="shared" si="122"/>
        <v>0</v>
      </c>
      <c r="J337" s="253">
        <f t="shared" si="122"/>
        <v>0</v>
      </c>
      <c r="K337" s="253">
        <f t="shared" si="122"/>
        <v>0</v>
      </c>
      <c r="L337" s="253">
        <f t="shared" si="122"/>
        <v>0</v>
      </c>
      <c r="M337" s="253">
        <f t="shared" si="122"/>
        <v>0</v>
      </c>
      <c r="N337" s="253">
        <f t="shared" si="122"/>
        <v>0</v>
      </c>
      <c r="O337" s="319">
        <f>IF(ISNUMBER(O203),ROUND(SUM(O174,O45,O142)-O203,0),0)</f>
        <v>0</v>
      </c>
    </row>
    <row r="338" spans="2:19" ht="38.25" x14ac:dyDescent="0.2">
      <c r="B338" s="229" t="s">
        <v>378</v>
      </c>
      <c r="C338" s="229" t="str">
        <f t="shared" si="115"/>
        <v>Debt Servicing Amount (Short-Term Borrowings &amp; Interest)</v>
      </c>
      <c r="D338" s="252" t="s">
        <v>425</v>
      </c>
      <c r="E338" s="229">
        <f t="shared" si="118"/>
        <v>206</v>
      </c>
      <c r="F338" s="253">
        <f>IF(ISNUMBER(F204),ROUND((F97/4-F37)-F204,0),0)</f>
        <v>0</v>
      </c>
      <c r="G338" s="253">
        <f>IF(ISNUMBER(G204),ROUND((G97/4-G37)-G204,0),0)</f>
        <v>0</v>
      </c>
      <c r="H338" s="253">
        <f>IF(ISNUMBER(H204),ROUND((H97/4-H37)-H204,0),0)</f>
        <v>0</v>
      </c>
      <c r="I338" s="253">
        <f>IF(ISNUMBER(I204),ROUND((I97/4-I37)-I204,0),0)</f>
        <v>0</v>
      </c>
      <c r="J338" s="253">
        <f>IF(ISNUMBER(J204),ROUND((J97/4-J37)-J204,0),0)</f>
        <v>0</v>
      </c>
      <c r="K338" s="253">
        <f>IF(ISNUMBER(K204),ROUND((K97-K37)-K204,0),0)</f>
        <v>0</v>
      </c>
      <c r="L338" s="253">
        <f>IF(ISNUMBER(L204),ROUND((L97-L37)-L204,0),0)</f>
        <v>0</v>
      </c>
      <c r="M338" s="253">
        <f>IF(ISNUMBER(M204),ROUND((M97-M37)-M204,0),0)</f>
        <v>0</v>
      </c>
      <c r="N338" s="253">
        <f>IF(ISNUMBER(N204),ROUND((N97-N37)-N204,0),0)</f>
        <v>0</v>
      </c>
      <c r="O338" s="253">
        <f>IF(ISNUMBER(O204),ROUND((O97-O37)-O204,0),0)</f>
        <v>0</v>
      </c>
    </row>
    <row r="339" spans="2:19" x14ac:dyDescent="0.2">
      <c r="B339" s="229"/>
      <c r="C339" s="229"/>
      <c r="D339" s="252"/>
      <c r="E339" s="229"/>
      <c r="F339" s="253"/>
      <c r="G339" s="253"/>
      <c r="H339" s="253"/>
      <c r="I339" s="253"/>
      <c r="J339" s="253"/>
      <c r="K339" s="253"/>
      <c r="L339" s="253"/>
      <c r="M339" s="253"/>
      <c r="N339" s="253"/>
      <c r="O339" s="253"/>
    </row>
    <row r="340" spans="2:19" x14ac:dyDescent="0.2">
      <c r="B340" s="229"/>
      <c r="C340" s="232" t="str">
        <f t="shared" si="115"/>
        <v>Common Financial Ratios Reviewed by Lenders</v>
      </c>
      <c r="D340" s="252"/>
      <c r="E340" s="229"/>
      <c r="F340" s="253"/>
      <c r="G340" s="253"/>
      <c r="H340" s="253"/>
      <c r="I340" s="253"/>
      <c r="J340" s="253"/>
      <c r="K340" s="253"/>
      <c r="L340" s="253"/>
      <c r="M340" s="253"/>
      <c r="N340" s="253"/>
      <c r="O340" s="253"/>
    </row>
    <row r="341" spans="2:19" x14ac:dyDescent="0.2">
      <c r="B341" s="232" t="s">
        <v>539</v>
      </c>
      <c r="C341" s="232" t="str">
        <f t="shared" si="115"/>
        <v>Risk Grading Ratios</v>
      </c>
      <c r="D341" s="252"/>
      <c r="E341" s="229"/>
      <c r="F341" s="253"/>
      <c r="G341" s="253"/>
      <c r="H341" s="253"/>
      <c r="I341" s="253"/>
      <c r="J341" s="253"/>
      <c r="K341" s="253"/>
      <c r="L341" s="253"/>
      <c r="M341" s="253"/>
      <c r="N341" s="253"/>
      <c r="O341" s="253"/>
    </row>
    <row r="342" spans="2:19" x14ac:dyDescent="0.2">
      <c r="B342" s="229" t="s">
        <v>540</v>
      </c>
      <c r="C342" s="229" t="str">
        <f t="shared" si="115"/>
        <v>Net Profit Margin</v>
      </c>
      <c r="D342" s="252" t="s">
        <v>541</v>
      </c>
      <c r="E342" s="229">
        <v>210</v>
      </c>
      <c r="F342" s="253">
        <f>IF(ISNUMBER(F208),ROUND(F182-F208,0),0)</f>
        <v>0</v>
      </c>
      <c r="G342" s="253">
        <f t="shared" ref="G342:O342" si="123">IF(ISNUMBER(G208),ROUND(G182-G208,0),0)</f>
        <v>0</v>
      </c>
      <c r="H342" s="253">
        <f t="shared" si="123"/>
        <v>0</v>
      </c>
      <c r="I342" s="253">
        <f t="shared" si="123"/>
        <v>0</v>
      </c>
      <c r="J342" s="253">
        <f t="shared" si="123"/>
        <v>0</v>
      </c>
      <c r="K342" s="253">
        <f t="shared" si="123"/>
        <v>0</v>
      </c>
      <c r="L342" s="253">
        <f t="shared" si="123"/>
        <v>0</v>
      </c>
      <c r="M342" s="253">
        <f t="shared" si="123"/>
        <v>0</v>
      </c>
      <c r="N342" s="253">
        <f t="shared" si="123"/>
        <v>0</v>
      </c>
      <c r="O342" s="253">
        <f t="shared" si="123"/>
        <v>0</v>
      </c>
    </row>
    <row r="343" spans="2:19" ht="38.25" x14ac:dyDescent="0.2">
      <c r="B343" s="229" t="s">
        <v>542</v>
      </c>
      <c r="C343" s="229" t="str">
        <f t="shared" si="115"/>
        <v>Leverage = TNW/Debt Servicing Amount</v>
      </c>
      <c r="D343" s="252" t="s">
        <v>543</v>
      </c>
      <c r="E343" s="229">
        <f>E342+1</f>
        <v>211</v>
      </c>
      <c r="F343" s="253">
        <f>IF(ISNUMBER(F209),ROUND(F215/(F204*4)-F209,0),0)</f>
        <v>0</v>
      </c>
      <c r="G343" s="253">
        <f>IF(ISNUMBER(G209),ROUND(G215/(G204*4)-G209,0),0)</f>
        <v>0</v>
      </c>
      <c r="H343" s="253">
        <f>IF(ISNUMBER(H209),ROUND(H215/(H204*4)-H209,0),0)</f>
        <v>0</v>
      </c>
      <c r="I343" s="253">
        <f>IF(ISNUMBER(I209),ROUND(I215/(I204*4)-I209,0),0)</f>
        <v>0</v>
      </c>
      <c r="J343" s="253">
        <f>IF(ISNUMBER(J209),ROUND(J215/(J204*4)-J209,0),0)</f>
        <v>0</v>
      </c>
      <c r="K343" s="253">
        <f>IF(ISNUMBER(K209),ROUND(K215/(K204)-K209,0),0)</f>
        <v>0</v>
      </c>
      <c r="L343" s="253">
        <f>IF(ISNUMBER(L209),ROUND(L215/(L204)-L209,0),0)</f>
        <v>0</v>
      </c>
      <c r="M343" s="253">
        <f>IF(ISNUMBER(M209),ROUND(M215/(M204)-M209,0),0)</f>
        <v>0</v>
      </c>
      <c r="N343" s="253">
        <f>IF(ISNUMBER(N209),ROUND(N215/(N204)-N209,0),0)</f>
        <v>0</v>
      </c>
      <c r="O343" s="253">
        <f>IF(ISNUMBER(O209),ROUND(O215/(O204)-O209,0),0)</f>
        <v>0</v>
      </c>
    </row>
    <row r="344" spans="2:19" x14ac:dyDescent="0.2">
      <c r="B344" s="229" t="s">
        <v>544</v>
      </c>
      <c r="C344" s="229" t="str">
        <f t="shared" si="115"/>
        <v>Leverage = Total Liabilities/TNW</v>
      </c>
      <c r="D344" s="252" t="s">
        <v>545</v>
      </c>
      <c r="E344" s="229">
        <f t="shared" ref="E344:E349" si="124">E343+1</f>
        <v>212</v>
      </c>
      <c r="F344" s="253">
        <f>IF(ISNUMBER(F210),ROUND(F118/F215-F210,0),0)</f>
        <v>0</v>
      </c>
      <c r="G344" s="253">
        <f t="shared" ref="G344:O344" si="125">IF(ISNUMBER(G210),ROUND(G118/G215-G210,0),0)</f>
        <v>0</v>
      </c>
      <c r="H344" s="253">
        <f t="shared" si="125"/>
        <v>0</v>
      </c>
      <c r="I344" s="253">
        <f t="shared" si="125"/>
        <v>0</v>
      </c>
      <c r="J344" s="253">
        <f t="shared" si="125"/>
        <v>0</v>
      </c>
      <c r="K344" s="253">
        <f t="shared" si="125"/>
        <v>0</v>
      </c>
      <c r="L344" s="253">
        <f t="shared" si="125"/>
        <v>0</v>
      </c>
      <c r="M344" s="253">
        <f t="shared" si="125"/>
        <v>0</v>
      </c>
      <c r="N344" s="253">
        <f t="shared" si="125"/>
        <v>0</v>
      </c>
      <c r="O344" s="253">
        <f t="shared" si="125"/>
        <v>0</v>
      </c>
    </row>
    <row r="345" spans="2:19" x14ac:dyDescent="0.2">
      <c r="B345" s="229" t="s">
        <v>546</v>
      </c>
      <c r="C345" s="229" t="str">
        <f t="shared" si="115"/>
        <v>Cash Flow = CADS/Debt Servicing Amount</v>
      </c>
      <c r="D345" s="252" t="s">
        <v>547</v>
      </c>
      <c r="E345" s="229">
        <f t="shared" si="124"/>
        <v>213</v>
      </c>
      <c r="F345" s="253">
        <f>IF(ISNUMBER(F211),ROUND(F232-F211,0),0)</f>
        <v>0</v>
      </c>
      <c r="G345" s="253">
        <f t="shared" ref="G345:O345" si="126">IF(ISNUMBER(G211),ROUND(G232-G211,0),0)</f>
        <v>0</v>
      </c>
      <c r="H345" s="253">
        <f t="shared" si="126"/>
        <v>0</v>
      </c>
      <c r="I345" s="253">
        <f t="shared" si="126"/>
        <v>0</v>
      </c>
      <c r="J345" s="253">
        <f t="shared" si="126"/>
        <v>0</v>
      </c>
      <c r="K345" s="253">
        <f t="shared" si="126"/>
        <v>0</v>
      </c>
      <c r="L345" s="253">
        <f t="shared" si="126"/>
        <v>0</v>
      </c>
      <c r="M345" s="253">
        <f t="shared" si="126"/>
        <v>0</v>
      </c>
      <c r="N345" s="253">
        <f t="shared" si="126"/>
        <v>0</v>
      </c>
      <c r="O345" s="253">
        <f t="shared" si="126"/>
        <v>0</v>
      </c>
    </row>
    <row r="346" spans="2:19" x14ac:dyDescent="0.2">
      <c r="B346" s="229" t="s">
        <v>548</v>
      </c>
      <c r="C346" s="229" t="str">
        <f t="shared" si="115"/>
        <v>Activity = Sales/Total Assets (Annualized)</v>
      </c>
      <c r="D346" s="252" t="s">
        <v>549</v>
      </c>
      <c r="E346" s="229">
        <f t="shared" si="124"/>
        <v>214</v>
      </c>
      <c r="F346" s="253">
        <f>IF(ISNUMBER(F212),ROUND(F13*4/F93-F212,0),0)</f>
        <v>0</v>
      </c>
      <c r="G346" s="253">
        <f>IF(ISNUMBER(G212),ROUND(G13*4/G93-G212,0),0)</f>
        <v>0</v>
      </c>
      <c r="H346" s="253">
        <f>IF(ISNUMBER(H212),ROUND(H13*4/H93-H212,0),0)</f>
        <v>0</v>
      </c>
      <c r="I346" s="253">
        <f>IF(ISNUMBER(I212),ROUND(I13*4/I93-I212,0),0)</f>
        <v>0</v>
      </c>
      <c r="J346" s="253">
        <f>IF(ISNUMBER(J212),ROUND(J13*4/J93-J212,0),0)</f>
        <v>0</v>
      </c>
      <c r="K346" s="253">
        <f>IF(ISNUMBER(K212),ROUND(K13/K93-K212,0),0)</f>
        <v>0</v>
      </c>
      <c r="L346" s="253">
        <f>IF(ISNUMBER(L212),ROUND(L13/L93-L212,0),0)</f>
        <v>0</v>
      </c>
      <c r="M346" s="253">
        <f>IF(ISNUMBER(M212),ROUND(M13/M93-M212,0),0)</f>
        <v>0</v>
      </c>
      <c r="N346" s="253">
        <f>IF(ISNUMBER(N212),ROUND(N13/N93-N212,0),0)</f>
        <v>0</v>
      </c>
      <c r="O346" s="253">
        <f>IF(ISNUMBER(O212),ROUND(O13/O93-O212,0),0)</f>
        <v>0</v>
      </c>
    </row>
    <row r="347" spans="2:19" x14ac:dyDescent="0.2">
      <c r="B347" s="229" t="s">
        <v>550</v>
      </c>
      <c r="C347" s="229" t="str">
        <f t="shared" si="115"/>
        <v>Activity = Net Sales Growth</v>
      </c>
      <c r="D347" s="252" t="s">
        <v>551</v>
      </c>
      <c r="E347" s="229">
        <f t="shared" si="124"/>
        <v>215</v>
      </c>
      <c r="F347" s="253">
        <f>IF(ISNUMBER(F213),ROUND(F218-F213,0),0)</f>
        <v>0</v>
      </c>
      <c r="G347" s="253">
        <f t="shared" ref="G347:O347" si="127">IF(ISNUMBER(G213),ROUND(G218-G213,0),0)</f>
        <v>0</v>
      </c>
      <c r="H347" s="253">
        <f t="shared" si="127"/>
        <v>0</v>
      </c>
      <c r="I347" s="253">
        <f t="shared" si="127"/>
        <v>0</v>
      </c>
      <c r="J347" s="253">
        <f t="shared" si="127"/>
        <v>0</v>
      </c>
      <c r="K347" s="253">
        <f t="shared" si="127"/>
        <v>0</v>
      </c>
      <c r="L347" s="253">
        <f t="shared" si="127"/>
        <v>0</v>
      </c>
      <c r="M347" s="253">
        <f t="shared" si="127"/>
        <v>0</v>
      </c>
      <c r="N347" s="253">
        <f t="shared" si="127"/>
        <v>0</v>
      </c>
      <c r="O347" s="319">
        <f t="shared" si="127"/>
        <v>0</v>
      </c>
    </row>
    <row r="348" spans="2:19" x14ac:dyDescent="0.2">
      <c r="B348" s="229" t="s">
        <v>552</v>
      </c>
      <c r="C348" s="229" t="str">
        <f t="shared" si="115"/>
        <v>Liquidity = Liquid Assets/Adjusted Current Liabilities</v>
      </c>
      <c r="D348" s="252" t="s">
        <v>553</v>
      </c>
      <c r="E348" s="229">
        <f t="shared" si="124"/>
        <v>216</v>
      </c>
      <c r="F348" s="253">
        <f>IF(ISNUMBER(F214),ROUND(F242-F214,0),0)</f>
        <v>0</v>
      </c>
      <c r="G348" s="253">
        <f t="shared" ref="G348:O348" si="128">IF(ISNUMBER(G214),ROUND(G242-G214,0),0)</f>
        <v>0</v>
      </c>
      <c r="H348" s="253">
        <f t="shared" si="128"/>
        <v>0</v>
      </c>
      <c r="I348" s="253">
        <f t="shared" si="128"/>
        <v>0</v>
      </c>
      <c r="J348" s="253">
        <f t="shared" si="128"/>
        <v>0</v>
      </c>
      <c r="K348" s="253">
        <f t="shared" si="128"/>
        <v>0</v>
      </c>
      <c r="L348" s="253">
        <f t="shared" si="128"/>
        <v>0</v>
      </c>
      <c r="M348" s="253">
        <f t="shared" si="128"/>
        <v>0</v>
      </c>
      <c r="N348" s="253">
        <f t="shared" si="128"/>
        <v>0</v>
      </c>
      <c r="O348" s="253">
        <f t="shared" si="128"/>
        <v>0</v>
      </c>
    </row>
    <row r="349" spans="2:19" ht="25.5" x14ac:dyDescent="0.2">
      <c r="B349" s="229" t="s">
        <v>554</v>
      </c>
      <c r="C349" s="229" t="str">
        <f t="shared" si="115"/>
        <v>Size = Tangible Net Worth (TNW)</v>
      </c>
      <c r="D349" s="252" t="s">
        <v>555</v>
      </c>
      <c r="E349" s="229">
        <f t="shared" si="124"/>
        <v>217</v>
      </c>
      <c r="F349" s="253">
        <f>IF(ISNUMBER(F215),ROUND(F93-F80-F118-F215,0),0)</f>
        <v>0</v>
      </c>
      <c r="G349" s="253">
        <f t="shared" ref="G349:O349" si="129">IF(ISNUMBER(G215),ROUND(G93-G80-G118-G215,0),0)</f>
        <v>0</v>
      </c>
      <c r="H349" s="253">
        <f t="shared" si="129"/>
        <v>0</v>
      </c>
      <c r="I349" s="253">
        <f t="shared" si="129"/>
        <v>0</v>
      </c>
      <c r="J349" s="253">
        <f t="shared" si="129"/>
        <v>0</v>
      </c>
      <c r="K349" s="253">
        <f t="shared" si="129"/>
        <v>0</v>
      </c>
      <c r="L349" s="253">
        <f t="shared" si="129"/>
        <v>0</v>
      </c>
      <c r="M349" s="253">
        <f t="shared" si="129"/>
        <v>0</v>
      </c>
      <c r="N349" s="253">
        <f t="shared" si="129"/>
        <v>0</v>
      </c>
      <c r="O349" s="253">
        <f t="shared" si="129"/>
        <v>0</v>
      </c>
    </row>
    <row r="350" spans="2:19" x14ac:dyDescent="0.2">
      <c r="B350" s="229"/>
      <c r="C350" s="229"/>
      <c r="D350" s="252"/>
      <c r="E350" s="229"/>
      <c r="F350" s="253"/>
      <c r="G350" s="253"/>
      <c r="H350" s="253"/>
      <c r="I350" s="253"/>
      <c r="J350" s="253"/>
      <c r="K350" s="253"/>
      <c r="L350" s="253"/>
      <c r="M350" s="253"/>
      <c r="N350" s="253"/>
      <c r="O350" s="319"/>
    </row>
    <row r="351" spans="2:19" x14ac:dyDescent="0.2">
      <c r="B351" s="232" t="s">
        <v>556</v>
      </c>
      <c r="C351" s="232" t="str">
        <f t="shared" si="115"/>
        <v>Growth Ratios</v>
      </c>
      <c r="D351" s="252"/>
      <c r="E351" s="229"/>
      <c r="F351" s="253"/>
      <c r="G351" s="253"/>
      <c r="H351" s="253"/>
      <c r="I351" s="253"/>
      <c r="J351" s="253"/>
      <c r="K351" s="253"/>
      <c r="L351" s="253"/>
      <c r="M351" s="253"/>
      <c r="N351" s="253"/>
      <c r="O351" s="319"/>
    </row>
    <row r="352" spans="2:19" ht="38.25" x14ac:dyDescent="0.2">
      <c r="B352" s="229" t="s">
        <v>557</v>
      </c>
      <c r="C352" s="229" t="str">
        <f t="shared" si="115"/>
        <v>Sales Growth</v>
      </c>
      <c r="D352" s="252" t="s">
        <v>558</v>
      </c>
      <c r="E352" s="229">
        <v>220</v>
      </c>
      <c r="F352" s="248"/>
      <c r="G352" s="253">
        <f>IF(ISNUMBER(G218),ROUND((G13-F13)/F13-G218,0),0)</f>
        <v>0</v>
      </c>
      <c r="H352" s="253">
        <f>IF(ISNUMBER(H218),ROUND((H13-G13)/G13-H218,0),0)</f>
        <v>0</v>
      </c>
      <c r="I352" s="253">
        <f>IF(ISNUMBER(I218),ROUND((I13-H13)/H13-I218,0),0)</f>
        <v>0</v>
      </c>
      <c r="J352" s="253">
        <f>IF(ISNUMBER(J218),ROUND((J13-I13)/I13-J218,0),0)</f>
        <v>0</v>
      </c>
      <c r="K352" s="248"/>
      <c r="L352" s="253">
        <f>IF(ISNUMBER(L218),ROUND((L13-K13)/K13-L218,0),0)</f>
        <v>0</v>
      </c>
      <c r="M352" s="253">
        <f>IF(ISNUMBER(M218),ROUND((M13-L13)/L13-M218,0),0)</f>
        <v>0</v>
      </c>
      <c r="N352" s="253">
        <f>IF(ISNUMBER(N218),ROUND((N13-M13)/M13-N218,0),0)</f>
        <v>0</v>
      </c>
      <c r="O352" s="319">
        <f>IF(ISNUMBER(O218),ROUND((O13-E13)/E13-O218,0),0)</f>
        <v>0</v>
      </c>
      <c r="S352" s="69" t="s">
        <v>475</v>
      </c>
    </row>
    <row r="353" spans="2:19" ht="38.25" x14ac:dyDescent="0.2">
      <c r="B353" s="229" t="s">
        <v>559</v>
      </c>
      <c r="C353" s="229" t="str">
        <f t="shared" si="115"/>
        <v xml:space="preserve">Net Income Growth </v>
      </c>
      <c r="D353" s="252" t="s">
        <v>560</v>
      </c>
      <c r="E353" s="229">
        <f>E352+1</f>
        <v>221</v>
      </c>
      <c r="F353" s="248"/>
      <c r="G353" s="253">
        <f>IF(ISNUMBER(G219),ROUND((G51-F51)/(ABS(F51))-G219,0),0)</f>
        <v>0</v>
      </c>
      <c r="H353" s="253">
        <f>IF(ISNUMBER(H219),ROUND((H51-G51)/(ABS(G51))-H219,0),0)</f>
        <v>0</v>
      </c>
      <c r="I353" s="253">
        <f>IF(ISNUMBER(I219),ROUND((I51-H51)/(ABS(H51))-I219,0),0)</f>
        <v>0</v>
      </c>
      <c r="J353" s="253">
        <f>IF(ISNUMBER(J219),ROUND((J51-I51)/(ABS(I51))-J219,0),0)</f>
        <v>0</v>
      </c>
      <c r="K353" s="248"/>
      <c r="L353" s="253">
        <f>IF(ISNUMBER(L219),ROUND((L51-K51)/(ABS(K51))-L219,0),0)</f>
        <v>0</v>
      </c>
      <c r="M353" s="253">
        <f>IF(ISNUMBER(M219),ROUND((M51-L51)/(ABS(L51))-M219,0),0)</f>
        <v>0</v>
      </c>
      <c r="N353" s="253">
        <f>IF(ISNUMBER(N219),ROUND((N51-M51)/(ABS(M51))-N219,0),0)</f>
        <v>0</v>
      </c>
      <c r="O353" s="319">
        <f>IF(ISNUMBER(O219),ROUND((O51-E51)/(ABS(E51))-O219,0),0)</f>
        <v>0</v>
      </c>
      <c r="S353" s="69" t="s">
        <v>475</v>
      </c>
    </row>
    <row r="354" spans="2:19" ht="38.25" x14ac:dyDescent="0.2">
      <c r="B354" s="229" t="s">
        <v>561</v>
      </c>
      <c r="C354" s="229" t="str">
        <f t="shared" si="115"/>
        <v>Total Assets Growth</v>
      </c>
      <c r="D354" s="252" t="s">
        <v>562</v>
      </c>
      <c r="E354" s="229">
        <f>E353+1</f>
        <v>222</v>
      </c>
      <c r="F354" s="248"/>
      <c r="G354" s="253">
        <f>IF(ISNUMBER(G220),ROUND((G93-F93)/F93-G220,0),0)</f>
        <v>0</v>
      </c>
      <c r="H354" s="253">
        <f>IF(ISNUMBER(H220),ROUND((H93-G93)/G93-H220,0),0)</f>
        <v>0</v>
      </c>
      <c r="I354" s="253">
        <f>IF(ISNUMBER(I220),ROUND((I93-H93)/H93-I220,0),0)</f>
        <v>0</v>
      </c>
      <c r="J354" s="253">
        <f>IF(ISNUMBER(J220),ROUND((J93-I93)/I93-J220,0),0)</f>
        <v>0</v>
      </c>
      <c r="K354" s="248"/>
      <c r="L354" s="253">
        <f>IF(ISNUMBER(L220),ROUND((L93-K93)/K93-L220,0),0)</f>
        <v>0</v>
      </c>
      <c r="M354" s="253">
        <f>IF(ISNUMBER(M220),ROUND((M93-L93)/L93-M220,0),0)</f>
        <v>0</v>
      </c>
      <c r="N354" s="253">
        <f>IF(ISNUMBER(N220),ROUND((N93-M93)/M93-N220,0),0)</f>
        <v>0</v>
      </c>
      <c r="O354" s="319">
        <f>IF(ISNUMBER(O220),ROUND((O93-F93)/F93-O220,0),0)</f>
        <v>0</v>
      </c>
      <c r="S354" s="69" t="s">
        <v>475</v>
      </c>
    </row>
    <row r="355" spans="2:19" ht="51" x14ac:dyDescent="0.2">
      <c r="B355" s="229" t="s">
        <v>563</v>
      </c>
      <c r="C355" s="229" t="str">
        <f t="shared" si="115"/>
        <v>Total Tangible Assets Growth</v>
      </c>
      <c r="D355" s="252" t="s">
        <v>564</v>
      </c>
      <c r="E355" s="229">
        <f>E354+1</f>
        <v>223</v>
      </c>
      <c r="F355" s="248"/>
      <c r="G355" s="253">
        <f>IF(ISNUMBER(G221),ROUND(((G93-G80)-(F93-F80))/(F93-F80)-G221,0),0)</f>
        <v>0</v>
      </c>
      <c r="H355" s="253">
        <f>IF(ISNUMBER(H221),ROUND(((H93-H80)-(G93-G80))/(G93-G80)-H221,0),0)</f>
        <v>0</v>
      </c>
      <c r="I355" s="253">
        <f>IF(ISNUMBER(I221),ROUND(((I93-I80)-(H93-H80))/(H93-H80)-I221,0),0)</f>
        <v>0</v>
      </c>
      <c r="J355" s="253">
        <f>IF(ISNUMBER(J221),ROUND(((J93-J80)-(I93-I80))/(I93-I80)-J221,0),0)</f>
        <v>0</v>
      </c>
      <c r="K355" s="248"/>
      <c r="L355" s="253">
        <f>IF(ISNUMBER(L221),ROUND(((L93-L80)-(K93-K80))/(K93-K80)-L221,0),0)</f>
        <v>0</v>
      </c>
      <c r="M355" s="253">
        <f>IF(ISNUMBER(M221),ROUND(((M93-M80)-(L93-L80))/(L93-L80)-M221,0),0)</f>
        <v>0</v>
      </c>
      <c r="N355" s="253">
        <f>IF(ISNUMBER(N221),ROUND(((N93-N80)-(M93-M80))/(M93-M80)-N221,0),0)</f>
        <v>0</v>
      </c>
      <c r="O355" s="319">
        <f>IF(ISNUMBER(O221),ROUND(((O93-O80)-(F93-F80))/(F93-F80)-O221,0),0)</f>
        <v>0</v>
      </c>
      <c r="S355" s="69" t="s">
        <v>475</v>
      </c>
    </row>
    <row r="356" spans="2:19" x14ac:dyDescent="0.2">
      <c r="B356" s="229"/>
      <c r="C356" s="229"/>
      <c r="D356" s="252"/>
      <c r="E356" s="229"/>
      <c r="F356" s="253"/>
      <c r="G356" s="253"/>
      <c r="H356" s="253"/>
      <c r="I356" s="253"/>
      <c r="J356" s="253"/>
      <c r="K356" s="253"/>
      <c r="L356" s="253"/>
      <c r="M356" s="253"/>
      <c r="N356" s="253"/>
      <c r="O356" s="319"/>
    </row>
    <row r="357" spans="2:19" x14ac:dyDescent="0.2">
      <c r="B357" s="232" t="s">
        <v>565</v>
      </c>
      <c r="C357" s="232" t="str">
        <f t="shared" si="115"/>
        <v>Performance Ratios</v>
      </c>
      <c r="D357" s="252"/>
      <c r="E357" s="229"/>
      <c r="F357" s="253"/>
      <c r="G357" s="253"/>
      <c r="H357" s="253"/>
      <c r="I357" s="253"/>
      <c r="J357" s="253"/>
      <c r="K357" s="253"/>
      <c r="L357" s="253"/>
      <c r="M357" s="253"/>
      <c r="N357" s="253"/>
      <c r="O357" s="319"/>
    </row>
    <row r="358" spans="2:19" x14ac:dyDescent="0.2">
      <c r="B358" s="229" t="s">
        <v>566</v>
      </c>
      <c r="C358" s="229" t="str">
        <f t="shared" si="115"/>
        <v>Return on Assets = Net Profit/Total Assets (Annualized)</v>
      </c>
      <c r="D358" s="252" t="s">
        <v>567</v>
      </c>
      <c r="E358" s="229">
        <v>226</v>
      </c>
      <c r="F358" s="253">
        <f>IF(ISNUMBER(F224),ROUND(F51*4/F93-F224,0),0)</f>
        <v>0</v>
      </c>
      <c r="G358" s="253">
        <f t="shared" ref="G358:J358" si="130">IF(ISNUMBER(G224),ROUND(G51*4/G93-G224,0),0)</f>
        <v>0</v>
      </c>
      <c r="H358" s="253">
        <f t="shared" si="130"/>
        <v>0</v>
      </c>
      <c r="I358" s="253">
        <f t="shared" si="130"/>
        <v>0</v>
      </c>
      <c r="J358" s="253">
        <f t="shared" si="130"/>
        <v>0</v>
      </c>
      <c r="K358" s="253">
        <f t="shared" ref="K358:O358" si="131">IF(ISNUMBER(K224),ROUND(K51/K93-K224,0),0)</f>
        <v>0</v>
      </c>
      <c r="L358" s="253">
        <f t="shared" si="131"/>
        <v>0</v>
      </c>
      <c r="M358" s="253">
        <f t="shared" si="131"/>
        <v>0</v>
      </c>
      <c r="N358" s="253">
        <f t="shared" si="131"/>
        <v>0</v>
      </c>
      <c r="O358" s="319">
        <f t="shared" si="131"/>
        <v>0</v>
      </c>
    </row>
    <row r="359" spans="2:19" x14ac:dyDescent="0.2">
      <c r="B359" s="229" t="s">
        <v>568</v>
      </c>
      <c r="C359" s="229" t="str">
        <f t="shared" si="115"/>
        <v>Return on Tangible Equity = Net Profit/TNW (Annualized)</v>
      </c>
      <c r="D359" s="252" t="s">
        <v>569</v>
      </c>
      <c r="E359" s="229">
        <f>E358+1</f>
        <v>227</v>
      </c>
      <c r="F359" s="253">
        <f>IF(ISNUMBER(F225),ROUND(F51*4/F120-F225,0),0)</f>
        <v>0</v>
      </c>
      <c r="G359" s="253">
        <f>IF(ISNUMBER(G225),ROUND(G51*4/G120-G225,0),0)</f>
        <v>0</v>
      </c>
      <c r="H359" s="253">
        <f>IF(ISNUMBER(H225),ROUND(H51*4/H120-H225,0),0)</f>
        <v>0</v>
      </c>
      <c r="I359" s="253">
        <f>IF(ISNUMBER(I225),ROUND(I51*4/I120-I225,0),0)</f>
        <v>0</v>
      </c>
      <c r="J359" s="253">
        <f>IF(ISNUMBER(J225),ROUND(J51*4/J120-J225,0),0)</f>
        <v>0</v>
      </c>
      <c r="K359" s="253">
        <f>IF(ISNUMBER(K225),ROUND(K51/K120-K225,0),0)</f>
        <v>0</v>
      </c>
      <c r="L359" s="253">
        <f>IF(ISNUMBER(L225),ROUND(L51/L120-L225,0),0)</f>
        <v>0</v>
      </c>
      <c r="M359" s="253">
        <f>IF(ISNUMBER(M225),ROUND(M51/M120-M225,0),0)</f>
        <v>0</v>
      </c>
      <c r="N359" s="253">
        <f>IF(ISNUMBER(N225),ROUND(N51/N120-N225,0),0)</f>
        <v>0</v>
      </c>
      <c r="O359" s="319">
        <f t="shared" ref="O359" si="132">IF(ISNUMBER(O225),ROUND(O51/O120-O225,0),0)</f>
        <v>0</v>
      </c>
    </row>
    <row r="360" spans="2:19" x14ac:dyDescent="0.2">
      <c r="B360" s="229"/>
      <c r="C360" s="229"/>
      <c r="D360" s="252"/>
      <c r="E360" s="229"/>
      <c r="F360" s="253"/>
      <c r="G360" s="253"/>
      <c r="H360" s="253"/>
      <c r="I360" s="253"/>
      <c r="J360" s="253"/>
      <c r="K360" s="253"/>
      <c r="L360" s="253"/>
      <c r="M360" s="253"/>
      <c r="N360" s="253"/>
      <c r="O360" s="319"/>
    </row>
    <row r="361" spans="2:19" x14ac:dyDescent="0.2">
      <c r="B361" s="232" t="s">
        <v>570</v>
      </c>
      <c r="C361" s="232" t="str">
        <f t="shared" si="115"/>
        <v>Coverage Ratio</v>
      </c>
      <c r="D361" s="252"/>
      <c r="E361" s="229"/>
      <c r="F361" s="253"/>
      <c r="G361" s="253"/>
      <c r="H361" s="253"/>
      <c r="I361" s="253"/>
      <c r="J361" s="253"/>
      <c r="K361" s="253"/>
      <c r="L361" s="253"/>
      <c r="M361" s="253"/>
      <c r="N361" s="253"/>
      <c r="O361" s="319"/>
    </row>
    <row r="362" spans="2:19" ht="25.5" x14ac:dyDescent="0.2">
      <c r="B362" s="229" t="s">
        <v>571</v>
      </c>
      <c r="C362" s="229" t="str">
        <f t="shared" si="115"/>
        <v>EBIT/Debt Servicing Amount (Annualized)</v>
      </c>
      <c r="D362" s="252" t="s">
        <v>572</v>
      </c>
      <c r="E362" s="229">
        <v>230</v>
      </c>
      <c r="F362" s="253">
        <f>IF(ISNUMBER(F228),ROUND((F43-F37)/F204-F228,0),0)</f>
        <v>0</v>
      </c>
      <c r="G362" s="253">
        <f t="shared" ref="G362:O362" si="133">IF(ISNUMBER(G228),ROUND((G43-G37)/G204-G228,0),0)</f>
        <v>0</v>
      </c>
      <c r="H362" s="253">
        <f t="shared" si="133"/>
        <v>0</v>
      </c>
      <c r="I362" s="253">
        <f t="shared" si="133"/>
        <v>0</v>
      </c>
      <c r="J362" s="253">
        <f t="shared" si="133"/>
        <v>0</v>
      </c>
      <c r="K362" s="253">
        <f t="shared" si="133"/>
        <v>0</v>
      </c>
      <c r="L362" s="253">
        <f t="shared" si="133"/>
        <v>0</v>
      </c>
      <c r="M362" s="253">
        <f t="shared" si="133"/>
        <v>0</v>
      </c>
      <c r="N362" s="253">
        <f t="shared" si="133"/>
        <v>0</v>
      </c>
      <c r="O362" s="319">
        <f t="shared" si="133"/>
        <v>0</v>
      </c>
    </row>
    <row r="363" spans="2:19" ht="25.5" x14ac:dyDescent="0.2">
      <c r="B363" s="229" t="s">
        <v>573</v>
      </c>
      <c r="C363" s="229" t="str">
        <f t="shared" si="115"/>
        <v>EBIT/Interest Expenses</v>
      </c>
      <c r="D363" s="252" t="s">
        <v>574</v>
      </c>
      <c r="E363" s="229">
        <f>E362+1</f>
        <v>231</v>
      </c>
      <c r="F363" s="253">
        <f>IF(ISNUMBER(F229),ROUND((F43-F37)/-F37-F229,0),0)</f>
        <v>0</v>
      </c>
      <c r="G363" s="253">
        <f t="shared" ref="G363:O363" si="134">IF(ISNUMBER(G229),ROUND((G43-G37)/-G37-G229,0),0)</f>
        <v>0</v>
      </c>
      <c r="H363" s="253">
        <f t="shared" si="134"/>
        <v>0</v>
      </c>
      <c r="I363" s="253">
        <f t="shared" si="134"/>
        <v>0</v>
      </c>
      <c r="J363" s="253">
        <f t="shared" si="134"/>
        <v>0</v>
      </c>
      <c r="K363" s="253">
        <f t="shared" si="134"/>
        <v>0</v>
      </c>
      <c r="L363" s="253">
        <f t="shared" si="134"/>
        <v>0</v>
      </c>
      <c r="M363" s="253">
        <f t="shared" si="134"/>
        <v>0</v>
      </c>
      <c r="N363" s="253">
        <f t="shared" si="134"/>
        <v>0</v>
      </c>
      <c r="O363" s="319">
        <f t="shared" si="134"/>
        <v>0</v>
      </c>
    </row>
    <row r="364" spans="2:19" x14ac:dyDescent="0.2">
      <c r="B364" s="229" t="s">
        <v>575</v>
      </c>
      <c r="C364" s="229" t="str">
        <f t="shared" si="115"/>
        <v>EBITDA/Debt Servicing Amount (Annualized)</v>
      </c>
      <c r="D364" s="252" t="s">
        <v>576</v>
      </c>
      <c r="E364" s="229">
        <f>E363+1</f>
        <v>232</v>
      </c>
      <c r="F364" s="253">
        <f>IF(ISNUMBER(F230),ROUND(F174/F204-F230,0),0)</f>
        <v>0</v>
      </c>
      <c r="G364" s="253">
        <f t="shared" ref="G364:O364" si="135">IF(ISNUMBER(G230),ROUND(G174/G204-G230,0),0)</f>
        <v>0</v>
      </c>
      <c r="H364" s="253">
        <f t="shared" si="135"/>
        <v>0</v>
      </c>
      <c r="I364" s="253">
        <f t="shared" si="135"/>
        <v>0</v>
      </c>
      <c r="J364" s="253">
        <f t="shared" si="135"/>
        <v>0</v>
      </c>
      <c r="K364" s="253">
        <f t="shared" si="135"/>
        <v>0</v>
      </c>
      <c r="L364" s="253">
        <f t="shared" si="135"/>
        <v>0</v>
      </c>
      <c r="M364" s="253">
        <f t="shared" si="135"/>
        <v>0</v>
      </c>
      <c r="N364" s="253">
        <f t="shared" si="135"/>
        <v>0</v>
      </c>
      <c r="O364" s="319">
        <f t="shared" si="135"/>
        <v>0</v>
      </c>
    </row>
    <row r="365" spans="2:19" x14ac:dyDescent="0.2">
      <c r="B365" s="229" t="s">
        <v>577</v>
      </c>
      <c r="C365" s="229" t="str">
        <f t="shared" si="115"/>
        <v>EBITDA/Interest Expenses</v>
      </c>
      <c r="D365" s="252" t="s">
        <v>578</v>
      </c>
      <c r="E365" s="229">
        <f>E364+1</f>
        <v>233</v>
      </c>
      <c r="F365" s="253">
        <f>IF(ISNUMBER(F231),ROUND(F174/-F37-F231,0),0)</f>
        <v>0</v>
      </c>
      <c r="G365" s="253">
        <f t="shared" ref="G365:O365" si="136">IF(ISNUMBER(G231),ROUND(G174/-G37-G231,0),0)</f>
        <v>0</v>
      </c>
      <c r="H365" s="253">
        <f t="shared" si="136"/>
        <v>0</v>
      </c>
      <c r="I365" s="253">
        <f t="shared" si="136"/>
        <v>0</v>
      </c>
      <c r="J365" s="253">
        <f t="shared" si="136"/>
        <v>0</v>
      </c>
      <c r="K365" s="253">
        <f t="shared" si="136"/>
        <v>0</v>
      </c>
      <c r="L365" s="253">
        <f t="shared" si="136"/>
        <v>0</v>
      </c>
      <c r="M365" s="253">
        <f t="shared" si="136"/>
        <v>0</v>
      </c>
      <c r="N365" s="253">
        <f t="shared" si="136"/>
        <v>0</v>
      </c>
      <c r="O365" s="319">
        <f t="shared" si="136"/>
        <v>0</v>
      </c>
    </row>
    <row r="366" spans="2:19" x14ac:dyDescent="0.2">
      <c r="B366" s="229" t="s">
        <v>579</v>
      </c>
      <c r="C366" s="229" t="str">
        <f t="shared" si="115"/>
        <v>CADS/Debt Servicing Amount (Annualized)</v>
      </c>
      <c r="D366" s="252" t="s">
        <v>580</v>
      </c>
      <c r="E366" s="229">
        <f>E365+1</f>
        <v>234</v>
      </c>
      <c r="F366" s="253">
        <f t="shared" ref="F366:O366" si="137">IF(ISNUMBER(F232),ROUND(F203/F204-F232,0),0)</f>
        <v>0</v>
      </c>
      <c r="G366" s="253">
        <f t="shared" si="137"/>
        <v>0</v>
      </c>
      <c r="H366" s="253">
        <f t="shared" si="137"/>
        <v>0</v>
      </c>
      <c r="I366" s="253">
        <f t="shared" si="137"/>
        <v>0</v>
      </c>
      <c r="J366" s="253">
        <f t="shared" si="137"/>
        <v>0</v>
      </c>
      <c r="K366" s="253">
        <f t="shared" si="137"/>
        <v>0</v>
      </c>
      <c r="L366" s="253">
        <f t="shared" si="137"/>
        <v>0</v>
      </c>
      <c r="M366" s="253">
        <f t="shared" si="137"/>
        <v>0</v>
      </c>
      <c r="N366" s="253">
        <f t="shared" si="137"/>
        <v>0</v>
      </c>
      <c r="O366" s="253">
        <f t="shared" si="137"/>
        <v>0</v>
      </c>
      <c r="S366" s="69" t="s">
        <v>475</v>
      </c>
    </row>
    <row r="367" spans="2:19" x14ac:dyDescent="0.2">
      <c r="B367" s="229" t="s">
        <v>581</v>
      </c>
      <c r="C367" s="229" t="str">
        <f t="shared" si="115"/>
        <v>CADS/Interest Expenses</v>
      </c>
      <c r="D367" s="252" t="s">
        <v>582</v>
      </c>
      <c r="E367" s="229">
        <f>E366+1</f>
        <v>235</v>
      </c>
      <c r="F367" s="253">
        <f t="shared" ref="F367:O367" si="138">IF(ISNUMBER(F233),ROUND(F203/-F37-F233,0),0)</f>
        <v>0</v>
      </c>
      <c r="G367" s="253">
        <f t="shared" si="138"/>
        <v>0</v>
      </c>
      <c r="H367" s="253">
        <f t="shared" si="138"/>
        <v>0</v>
      </c>
      <c r="I367" s="253">
        <f t="shared" si="138"/>
        <v>0</v>
      </c>
      <c r="J367" s="253">
        <f t="shared" si="138"/>
        <v>0</v>
      </c>
      <c r="K367" s="253">
        <f t="shared" si="138"/>
        <v>0</v>
      </c>
      <c r="L367" s="253">
        <f t="shared" si="138"/>
        <v>0</v>
      </c>
      <c r="M367" s="253">
        <f t="shared" si="138"/>
        <v>0</v>
      </c>
      <c r="N367" s="253">
        <f t="shared" si="138"/>
        <v>0</v>
      </c>
      <c r="O367" s="253">
        <f t="shared" si="138"/>
        <v>0</v>
      </c>
      <c r="S367" s="69" t="s">
        <v>475</v>
      </c>
    </row>
    <row r="368" spans="2:19" x14ac:dyDescent="0.2">
      <c r="B368" s="229"/>
      <c r="C368" s="229"/>
      <c r="D368" s="252"/>
      <c r="E368" s="229"/>
      <c r="F368" s="253"/>
      <c r="G368" s="253"/>
      <c r="H368" s="253"/>
      <c r="I368" s="253"/>
      <c r="J368" s="253"/>
      <c r="K368" s="253"/>
      <c r="L368" s="253"/>
      <c r="M368" s="253"/>
      <c r="N368" s="253"/>
      <c r="O368" s="253"/>
    </row>
    <row r="369" spans="2:15" x14ac:dyDescent="0.2">
      <c r="B369" s="232" t="s">
        <v>583</v>
      </c>
      <c r="C369" s="232" t="str">
        <f t="shared" si="115"/>
        <v>Liquidity Ratios</v>
      </c>
      <c r="D369" s="252"/>
      <c r="E369" s="229"/>
      <c r="F369" s="253"/>
      <c r="G369" s="253"/>
      <c r="H369" s="253"/>
      <c r="I369" s="253"/>
      <c r="J369" s="253"/>
      <c r="K369" s="253"/>
      <c r="L369" s="253"/>
      <c r="M369" s="253"/>
      <c r="N369" s="253"/>
      <c r="O369" s="253"/>
    </row>
    <row r="370" spans="2:15" x14ac:dyDescent="0.2">
      <c r="B370" s="229" t="s">
        <v>584</v>
      </c>
      <c r="C370" s="229" t="str">
        <f t="shared" si="115"/>
        <v>Working Capital = Current Assets - Current Liabilities</v>
      </c>
      <c r="D370" s="252" t="s">
        <v>585</v>
      </c>
      <c r="E370" s="229">
        <v>238</v>
      </c>
      <c r="F370" s="253">
        <f>IF(ISNUMBER(F236),ROUND(F64-F95-F236,0),0)</f>
        <v>0</v>
      </c>
      <c r="G370" s="253">
        <f t="shared" ref="G370:O370" si="139">IF(ISNUMBER(G236),ROUND(G64-G95-G236,0),0)</f>
        <v>0</v>
      </c>
      <c r="H370" s="253">
        <f t="shared" si="139"/>
        <v>0</v>
      </c>
      <c r="I370" s="253">
        <f t="shared" si="139"/>
        <v>0</v>
      </c>
      <c r="J370" s="253">
        <f t="shared" si="139"/>
        <v>0</v>
      </c>
      <c r="K370" s="253">
        <f t="shared" si="139"/>
        <v>0</v>
      </c>
      <c r="L370" s="253">
        <f t="shared" si="139"/>
        <v>0</v>
      </c>
      <c r="M370" s="253">
        <f t="shared" si="139"/>
        <v>0</v>
      </c>
      <c r="N370" s="253">
        <f t="shared" si="139"/>
        <v>0</v>
      </c>
      <c r="O370" s="253">
        <f t="shared" si="139"/>
        <v>0</v>
      </c>
    </row>
    <row r="371" spans="2:15" ht="25.5" x14ac:dyDescent="0.2">
      <c r="B371" s="229" t="s">
        <v>586</v>
      </c>
      <c r="C371" s="229" t="str">
        <f t="shared" si="115"/>
        <v>Quick Ratio</v>
      </c>
      <c r="D371" s="252" t="s">
        <v>587</v>
      </c>
      <c r="E371" s="229">
        <f t="shared" ref="E371:E376" si="140">E370+1</f>
        <v>239</v>
      </c>
      <c r="F371" s="253">
        <f>IF(ISNUMBER(F237),ROUND((F64-F68)/F95-F237,0),0)</f>
        <v>0</v>
      </c>
      <c r="G371" s="253">
        <f t="shared" ref="G371:O371" si="141">IF(ISNUMBER(G237),ROUND((G64-G68)/G95-G237,0),0)</f>
        <v>0</v>
      </c>
      <c r="H371" s="253">
        <f t="shared" si="141"/>
        <v>0</v>
      </c>
      <c r="I371" s="253">
        <f t="shared" si="141"/>
        <v>0</v>
      </c>
      <c r="J371" s="253">
        <f t="shared" si="141"/>
        <v>0</v>
      </c>
      <c r="K371" s="253">
        <f t="shared" si="141"/>
        <v>0</v>
      </c>
      <c r="L371" s="253">
        <f t="shared" si="141"/>
        <v>0</v>
      </c>
      <c r="M371" s="253">
        <f t="shared" si="141"/>
        <v>0</v>
      </c>
      <c r="N371" s="253">
        <f t="shared" si="141"/>
        <v>0</v>
      </c>
      <c r="O371" s="253">
        <f t="shared" si="141"/>
        <v>0</v>
      </c>
    </row>
    <row r="372" spans="2:15" x14ac:dyDescent="0.2">
      <c r="B372" s="229" t="s">
        <v>588</v>
      </c>
      <c r="C372" s="229" t="str">
        <f t="shared" si="115"/>
        <v>Current Ratio</v>
      </c>
      <c r="D372" s="252" t="s">
        <v>589</v>
      </c>
      <c r="E372" s="229">
        <f t="shared" si="140"/>
        <v>240</v>
      </c>
      <c r="F372" s="253">
        <f>IF(ISNUMBER(F238),ROUND(F191-F238,0),0)</f>
        <v>0</v>
      </c>
      <c r="G372" s="253">
        <f t="shared" ref="G372:O372" si="142">IF(ISNUMBER(G238),ROUND(G191-G238,0),0)</f>
        <v>0</v>
      </c>
      <c r="H372" s="253">
        <f t="shared" si="142"/>
        <v>0</v>
      </c>
      <c r="I372" s="253">
        <f t="shared" si="142"/>
        <v>0</v>
      </c>
      <c r="J372" s="253">
        <f t="shared" si="142"/>
        <v>0</v>
      </c>
      <c r="K372" s="253">
        <f t="shared" si="142"/>
        <v>0</v>
      </c>
      <c r="L372" s="253">
        <f t="shared" si="142"/>
        <v>0</v>
      </c>
      <c r="M372" s="253">
        <f t="shared" si="142"/>
        <v>0</v>
      </c>
      <c r="N372" s="253">
        <f t="shared" si="142"/>
        <v>0</v>
      </c>
      <c r="O372" s="253">
        <f t="shared" si="142"/>
        <v>0</v>
      </c>
    </row>
    <row r="373" spans="2:15" x14ac:dyDescent="0.2">
      <c r="B373" s="229" t="s">
        <v>590</v>
      </c>
      <c r="C373" s="229" t="str">
        <f t="shared" si="115"/>
        <v>Liquid Assets/Total Assets</v>
      </c>
      <c r="D373" s="252" t="s">
        <v>591</v>
      </c>
      <c r="E373" s="229">
        <f t="shared" si="140"/>
        <v>241</v>
      </c>
      <c r="F373" s="253">
        <f>IF(ISNUMBER(F239),ROUND(F65/F93-F239,0),0)</f>
        <v>0</v>
      </c>
      <c r="G373" s="253">
        <f t="shared" ref="G373:O373" si="143">IF(ISNUMBER(G239),ROUND(G65/G93-G239,0),0)</f>
        <v>0</v>
      </c>
      <c r="H373" s="253">
        <f t="shared" si="143"/>
        <v>0</v>
      </c>
      <c r="I373" s="253">
        <f t="shared" si="143"/>
        <v>0</v>
      </c>
      <c r="J373" s="253">
        <f t="shared" si="143"/>
        <v>0</v>
      </c>
      <c r="K373" s="253">
        <f t="shared" si="143"/>
        <v>0</v>
      </c>
      <c r="L373" s="253">
        <f t="shared" si="143"/>
        <v>0</v>
      </c>
      <c r="M373" s="253">
        <f t="shared" si="143"/>
        <v>0</v>
      </c>
      <c r="N373" s="253">
        <f t="shared" si="143"/>
        <v>0</v>
      </c>
      <c r="O373" s="253">
        <f t="shared" si="143"/>
        <v>0</v>
      </c>
    </row>
    <row r="374" spans="2:15" ht="25.5" x14ac:dyDescent="0.2">
      <c r="B374" s="229" t="s">
        <v>592</v>
      </c>
      <c r="C374" s="229" t="str">
        <f t="shared" si="115"/>
        <v>Liquid Assets/(ST Debt + Current Portion of LT Debt)</v>
      </c>
      <c r="D374" s="252" t="s">
        <v>593</v>
      </c>
      <c r="E374" s="229">
        <f t="shared" si="140"/>
        <v>242</v>
      </c>
      <c r="F374" s="253">
        <f>IF(ISNUMBER(F240),ROUND(F65/F97-F240,0),0)</f>
        <v>0</v>
      </c>
      <c r="G374" s="253">
        <f t="shared" ref="G374:O374" si="144">IF(ISNUMBER(G240),ROUND(G65/G97-G240,0),0)</f>
        <v>0</v>
      </c>
      <c r="H374" s="253">
        <f t="shared" si="144"/>
        <v>0</v>
      </c>
      <c r="I374" s="253">
        <f t="shared" si="144"/>
        <v>0</v>
      </c>
      <c r="J374" s="253">
        <f t="shared" si="144"/>
        <v>0</v>
      </c>
      <c r="K374" s="253">
        <f t="shared" si="144"/>
        <v>0</v>
      </c>
      <c r="L374" s="253">
        <f t="shared" si="144"/>
        <v>0</v>
      </c>
      <c r="M374" s="253">
        <f t="shared" si="144"/>
        <v>0</v>
      </c>
      <c r="N374" s="253">
        <f t="shared" si="144"/>
        <v>0</v>
      </c>
      <c r="O374" s="253">
        <f t="shared" si="144"/>
        <v>0</v>
      </c>
    </row>
    <row r="375" spans="2:15" ht="25.5" customHeight="1" x14ac:dyDescent="0.2">
      <c r="B375" s="229" t="s">
        <v>594</v>
      </c>
      <c r="C375" s="229" t="str">
        <f t="shared" si="115"/>
        <v>Liquid Assets/Total Current Assets</v>
      </c>
      <c r="D375" s="252" t="s">
        <v>595</v>
      </c>
      <c r="E375" s="229">
        <f t="shared" si="140"/>
        <v>243</v>
      </c>
      <c r="F375" s="253">
        <f>IF(ISNUMBER(F241),ROUND(F65/F64-F241,0),0)</f>
        <v>0</v>
      </c>
      <c r="G375" s="253">
        <f t="shared" ref="G375:O375" si="145">IF(ISNUMBER(G241),ROUND(G65/G64-G241,0),0)</f>
        <v>0</v>
      </c>
      <c r="H375" s="253">
        <f t="shared" si="145"/>
        <v>0</v>
      </c>
      <c r="I375" s="253">
        <f t="shared" si="145"/>
        <v>0</v>
      </c>
      <c r="J375" s="253">
        <f t="shared" si="145"/>
        <v>0</v>
      </c>
      <c r="K375" s="253">
        <f t="shared" si="145"/>
        <v>0</v>
      </c>
      <c r="L375" s="253">
        <f t="shared" si="145"/>
        <v>0</v>
      </c>
      <c r="M375" s="253">
        <f t="shared" si="145"/>
        <v>0</v>
      </c>
      <c r="N375" s="253">
        <f t="shared" si="145"/>
        <v>0</v>
      </c>
      <c r="O375" s="319">
        <f t="shared" si="145"/>
        <v>0</v>
      </c>
    </row>
    <row r="376" spans="2:15" ht="25.5" x14ac:dyDescent="0.2">
      <c r="B376" s="229" t="s">
        <v>596</v>
      </c>
      <c r="C376" s="229" t="str">
        <f t="shared" si="115"/>
        <v>Liquid Assets/Adjusted Current Liabilities</v>
      </c>
      <c r="D376" s="252" t="s">
        <v>597</v>
      </c>
      <c r="E376" s="229">
        <f t="shared" si="140"/>
        <v>244</v>
      </c>
      <c r="F376" s="253">
        <f t="shared" ref="F376:O376" si="146">IF(ISNUMBER(F242),ROUND((F65/SUM(F96,F97,F101))-F242,0),0)</f>
        <v>0</v>
      </c>
      <c r="G376" s="253">
        <f t="shared" si="146"/>
        <v>0</v>
      </c>
      <c r="H376" s="253">
        <f t="shared" si="146"/>
        <v>0</v>
      </c>
      <c r="I376" s="253">
        <f t="shared" si="146"/>
        <v>0</v>
      </c>
      <c r="J376" s="253">
        <f t="shared" si="146"/>
        <v>0</v>
      </c>
      <c r="K376" s="253">
        <f t="shared" si="146"/>
        <v>0</v>
      </c>
      <c r="L376" s="253">
        <f t="shared" si="146"/>
        <v>0</v>
      </c>
      <c r="M376" s="253">
        <f t="shared" si="146"/>
        <v>0</v>
      </c>
      <c r="N376" s="253">
        <f t="shared" si="146"/>
        <v>0</v>
      </c>
      <c r="O376" s="319">
        <f t="shared" si="146"/>
        <v>0</v>
      </c>
    </row>
    <row r="377" spans="2:15" x14ac:dyDescent="0.2">
      <c r="B377" s="229"/>
      <c r="C377" s="229"/>
      <c r="D377" s="252"/>
      <c r="E377" s="229"/>
      <c r="F377" s="253"/>
      <c r="G377" s="253"/>
      <c r="H377" s="253"/>
      <c r="I377" s="253"/>
      <c r="J377" s="253"/>
      <c r="K377" s="253"/>
      <c r="L377" s="253"/>
      <c r="M377" s="253"/>
      <c r="N377" s="253"/>
      <c r="O377" s="319"/>
    </row>
    <row r="378" spans="2:15" x14ac:dyDescent="0.2">
      <c r="B378" s="232" t="s">
        <v>598</v>
      </c>
      <c r="C378" s="232" t="str">
        <f t="shared" si="115"/>
        <v>Leverage Ratios</v>
      </c>
      <c r="D378" s="252"/>
      <c r="E378" s="229"/>
      <c r="F378" s="253"/>
      <c r="G378" s="253"/>
      <c r="H378" s="253"/>
      <c r="I378" s="253"/>
      <c r="J378" s="253"/>
      <c r="K378" s="253"/>
      <c r="L378" s="253"/>
      <c r="M378" s="253"/>
      <c r="N378" s="253"/>
      <c r="O378" s="319"/>
    </row>
    <row r="379" spans="2:15" x14ac:dyDescent="0.2">
      <c r="B379" s="229" t="s">
        <v>599</v>
      </c>
      <c r="C379" s="229" t="str">
        <f t="shared" si="115"/>
        <v>Total Liabilities/Tangible Net Worth</v>
      </c>
      <c r="D379" s="252" t="s">
        <v>600</v>
      </c>
      <c r="E379" s="229">
        <v>247</v>
      </c>
      <c r="F379" s="253">
        <f>IF(ISNUMBER(F245),ROUND(F118/F215-F245,0),0)</f>
        <v>0</v>
      </c>
      <c r="G379" s="253">
        <f t="shared" ref="G379:O379" si="147">IF(ISNUMBER(G245),ROUND(G118/G215-G245,0),0)</f>
        <v>0</v>
      </c>
      <c r="H379" s="253">
        <f t="shared" si="147"/>
        <v>0</v>
      </c>
      <c r="I379" s="253">
        <f t="shared" si="147"/>
        <v>0</v>
      </c>
      <c r="J379" s="253">
        <f t="shared" si="147"/>
        <v>0</v>
      </c>
      <c r="K379" s="253">
        <f t="shared" si="147"/>
        <v>0</v>
      </c>
      <c r="L379" s="253">
        <f t="shared" si="147"/>
        <v>0</v>
      </c>
      <c r="M379" s="253">
        <f t="shared" si="147"/>
        <v>0</v>
      </c>
      <c r="N379" s="253">
        <f t="shared" si="147"/>
        <v>0</v>
      </c>
      <c r="O379" s="319">
        <f t="shared" si="147"/>
        <v>0</v>
      </c>
    </row>
    <row r="380" spans="2:15" ht="25.5" x14ac:dyDescent="0.2">
      <c r="B380" s="229" t="s">
        <v>601</v>
      </c>
      <c r="C380" s="229" t="str">
        <f t="shared" si="115"/>
        <v>Total Senior Liabilities/(TNW + Subordinated Debt)</v>
      </c>
      <c r="D380" s="252" t="s">
        <v>602</v>
      </c>
      <c r="E380" s="229">
        <f>E379+1</f>
        <v>248</v>
      </c>
      <c r="F380" s="253">
        <f>IF(ISNUMBER(F246),ROUND(((F97+F108-F130)/SUM(F130,F215))-F246,0),0)</f>
        <v>0</v>
      </c>
      <c r="G380" s="253">
        <f t="shared" ref="G380:O380" si="148">IF(ISNUMBER(G246),ROUND(((G97+G108-G130)/SUM(G130,G215))-G246,0),0)</f>
        <v>0</v>
      </c>
      <c r="H380" s="253">
        <f t="shared" si="148"/>
        <v>0</v>
      </c>
      <c r="I380" s="253">
        <f t="shared" si="148"/>
        <v>0</v>
      </c>
      <c r="J380" s="253">
        <f t="shared" si="148"/>
        <v>0</v>
      </c>
      <c r="K380" s="253">
        <f t="shared" si="148"/>
        <v>0</v>
      </c>
      <c r="L380" s="253">
        <f t="shared" si="148"/>
        <v>0</v>
      </c>
      <c r="M380" s="253">
        <f t="shared" si="148"/>
        <v>0</v>
      </c>
      <c r="N380" s="253">
        <f t="shared" si="148"/>
        <v>0</v>
      </c>
      <c r="O380" s="253">
        <f t="shared" si="148"/>
        <v>0</v>
      </c>
    </row>
    <row r="381" spans="2:15" x14ac:dyDescent="0.2">
      <c r="B381" s="229"/>
      <c r="C381" s="229"/>
      <c r="D381" s="252"/>
      <c r="E381" s="229"/>
      <c r="F381" s="253"/>
      <c r="G381" s="253"/>
      <c r="H381" s="253"/>
      <c r="I381" s="253"/>
      <c r="J381" s="253"/>
      <c r="K381" s="253"/>
      <c r="L381" s="253"/>
      <c r="M381" s="253"/>
      <c r="N381" s="253"/>
      <c r="O381" s="253"/>
    </row>
    <row r="382" spans="2:15" x14ac:dyDescent="0.2">
      <c r="B382" s="232" t="s">
        <v>603</v>
      </c>
      <c r="C382" s="232" t="str">
        <f t="shared" si="115"/>
        <v>Activity Ratios</v>
      </c>
      <c r="D382" s="252"/>
      <c r="E382" s="229"/>
      <c r="F382" s="253"/>
      <c r="G382" s="253"/>
      <c r="H382" s="253"/>
      <c r="I382" s="253"/>
      <c r="J382" s="253"/>
      <c r="K382" s="253"/>
      <c r="L382" s="253"/>
      <c r="M382" s="253"/>
      <c r="N382" s="253"/>
      <c r="O382" s="253"/>
    </row>
    <row r="383" spans="2:15" x14ac:dyDescent="0.2">
      <c r="B383" s="229" t="s">
        <v>604</v>
      </c>
      <c r="C383" s="229" t="str">
        <f t="shared" si="115"/>
        <v>Trade Receivable Turnover Period (Annualized)</v>
      </c>
      <c r="D383" s="252" t="s">
        <v>605</v>
      </c>
      <c r="E383" s="229">
        <v>251</v>
      </c>
      <c r="F383" s="253">
        <f>IF(ISNUMBER(F249),ROUND(F187-F249,0),0)</f>
        <v>0</v>
      </c>
      <c r="G383" s="253">
        <f t="shared" ref="G383:O385" si="149">IF(ISNUMBER(G249),ROUND(G187-G249,0),0)</f>
        <v>0</v>
      </c>
      <c r="H383" s="253">
        <f t="shared" si="149"/>
        <v>0</v>
      </c>
      <c r="I383" s="253">
        <f t="shared" si="149"/>
        <v>0</v>
      </c>
      <c r="J383" s="253">
        <f t="shared" si="149"/>
        <v>0</v>
      </c>
      <c r="K383" s="253">
        <f t="shared" si="149"/>
        <v>0</v>
      </c>
      <c r="L383" s="253">
        <f t="shared" si="149"/>
        <v>0</v>
      </c>
      <c r="M383" s="253">
        <f t="shared" si="149"/>
        <v>0</v>
      </c>
      <c r="N383" s="253">
        <f t="shared" si="149"/>
        <v>0</v>
      </c>
      <c r="O383" s="253">
        <f t="shared" si="149"/>
        <v>0</v>
      </c>
    </row>
    <row r="384" spans="2:15" x14ac:dyDescent="0.2">
      <c r="B384" s="229" t="s">
        <v>606</v>
      </c>
      <c r="C384" s="229" t="str">
        <f t="shared" si="115"/>
        <v>Inventory Turnover Period (Annualized)</v>
      </c>
      <c r="D384" s="252" t="s">
        <v>607</v>
      </c>
      <c r="E384" s="229">
        <f>E383+1</f>
        <v>252</v>
      </c>
      <c r="F384" s="253">
        <f>IF(ISNUMBER(F250),ROUND(F188-F250,0),0)</f>
        <v>0</v>
      </c>
      <c r="G384" s="253">
        <f t="shared" si="149"/>
        <v>0</v>
      </c>
      <c r="H384" s="253">
        <f t="shared" si="149"/>
        <v>0</v>
      </c>
      <c r="I384" s="253">
        <f t="shared" si="149"/>
        <v>0</v>
      </c>
      <c r="J384" s="253">
        <f t="shared" si="149"/>
        <v>0</v>
      </c>
      <c r="K384" s="253">
        <f t="shared" si="149"/>
        <v>0</v>
      </c>
      <c r="L384" s="253">
        <f t="shared" si="149"/>
        <v>0</v>
      </c>
      <c r="M384" s="253">
        <f t="shared" si="149"/>
        <v>0</v>
      </c>
      <c r="N384" s="253">
        <f t="shared" si="149"/>
        <v>0</v>
      </c>
      <c r="O384" s="253">
        <f t="shared" si="149"/>
        <v>0</v>
      </c>
    </row>
    <row r="385" spans="1:15" x14ac:dyDescent="0.2">
      <c r="B385" s="229" t="s">
        <v>608</v>
      </c>
      <c r="C385" s="229" t="str">
        <f t="shared" si="115"/>
        <v>Trade Payables Turnover Period (Annualized)</v>
      </c>
      <c r="D385" s="252" t="s">
        <v>609</v>
      </c>
      <c r="E385" s="229">
        <f t="shared" ref="E385:E390" si="150">E384+1</f>
        <v>253</v>
      </c>
      <c r="F385" s="253">
        <f>IF(ISNUMBER(F251),ROUND(F189-F251,0),0)</f>
        <v>0</v>
      </c>
      <c r="G385" s="253">
        <f t="shared" si="149"/>
        <v>0</v>
      </c>
      <c r="H385" s="253">
        <f t="shared" si="149"/>
        <v>0</v>
      </c>
      <c r="I385" s="253">
        <f t="shared" si="149"/>
        <v>0</v>
      </c>
      <c r="J385" s="253">
        <f t="shared" si="149"/>
        <v>0</v>
      </c>
      <c r="K385" s="253">
        <f t="shared" si="149"/>
        <v>0</v>
      </c>
      <c r="L385" s="253">
        <f t="shared" si="149"/>
        <v>0</v>
      </c>
      <c r="M385" s="253">
        <f t="shared" si="149"/>
        <v>0</v>
      </c>
      <c r="N385" s="253">
        <f t="shared" si="149"/>
        <v>0</v>
      </c>
      <c r="O385" s="319">
        <f t="shared" si="149"/>
        <v>0</v>
      </c>
    </row>
    <row r="386" spans="1:15" ht="38.25" x14ac:dyDescent="0.2">
      <c r="B386" s="229" t="s">
        <v>610</v>
      </c>
      <c r="C386" s="229" t="str">
        <f t="shared" si="115"/>
        <v>Inventory Turnover Period over Sales (Annualized)</v>
      </c>
      <c r="D386" s="252" t="s">
        <v>611</v>
      </c>
      <c r="E386" s="229">
        <f t="shared" si="150"/>
        <v>254</v>
      </c>
      <c r="F386" s="253">
        <f>IF(ISNUMBER(F252),ROUND(F68/(F13*4)*365-F252,0),0)</f>
        <v>0</v>
      </c>
      <c r="G386" s="253">
        <f>IF(ISNUMBER(G252),ROUND(G68/(G13*4)*365-G252,0),0)</f>
        <v>0</v>
      </c>
      <c r="H386" s="253">
        <f>IF(ISNUMBER(H252),ROUND(H68/(H13*4)*365-H252,0),0)</f>
        <v>0</v>
      </c>
      <c r="I386" s="253">
        <f>IF(ISNUMBER(I252),ROUND(I68/(I13*4)*365-I252,0),0)</f>
        <v>0</v>
      </c>
      <c r="J386" s="253">
        <f>IF(ISNUMBER(J252),ROUND(J68/(J13*4)*365-J252,0),0)</f>
        <v>0</v>
      </c>
      <c r="K386" s="253">
        <f>IF(ISNUMBER(K252),ROUND(K68/K13*365-K252,0),0)</f>
        <v>0</v>
      </c>
      <c r="L386" s="253">
        <f>IF(ISNUMBER(L252),ROUND(L68/L13*365-L252,0),0)</f>
        <v>0</v>
      </c>
      <c r="M386" s="253">
        <f>IF(ISNUMBER(M252),ROUND(M68/M13*365-M252,0),0)</f>
        <v>0</v>
      </c>
      <c r="N386" s="253">
        <f>IF(ISNUMBER(N252),ROUND(N68/N13*365-N252,0),0)</f>
        <v>0</v>
      </c>
      <c r="O386" s="319">
        <f>IF(ISNUMBER(O252),ROUND(O68/O13*365-O252,0),0)</f>
        <v>0</v>
      </c>
    </row>
    <row r="387" spans="1:15" ht="38.25" x14ac:dyDescent="0.2">
      <c r="B387" s="229" t="s">
        <v>612</v>
      </c>
      <c r="C387" s="229" t="str">
        <f t="shared" si="115"/>
        <v>Trade Payables Turnover Period over Sales (Annualized)</v>
      </c>
      <c r="D387" s="252" t="s">
        <v>613</v>
      </c>
      <c r="E387" s="229">
        <f t="shared" si="150"/>
        <v>255</v>
      </c>
      <c r="F387" s="253">
        <f>IF(ISNUMBER(F253),ROUND(F96/(F13*4)*365-F253,0),0)</f>
        <v>0</v>
      </c>
      <c r="G387" s="253">
        <f>IF(ISNUMBER(G253),ROUND(G96/(G13*4)*365-G253,0),0)</f>
        <v>0</v>
      </c>
      <c r="H387" s="253">
        <f>IF(ISNUMBER(H253),ROUND(H96/(H13*4)*365-H253,0),0)</f>
        <v>0</v>
      </c>
      <c r="I387" s="253">
        <f>IF(ISNUMBER(I253),ROUND(I96/(I13*4)*365-I253,0),0)</f>
        <v>0</v>
      </c>
      <c r="J387" s="253">
        <f>IF(ISNUMBER(J253),ROUND(J96/(J13*4)*365-J253,0),0)</f>
        <v>0</v>
      </c>
      <c r="K387" s="253">
        <f>IF(ISNUMBER(K253),ROUND(K96/K13*365-K253,0),0)</f>
        <v>0</v>
      </c>
      <c r="L387" s="253">
        <f>IF(ISNUMBER(L253),ROUND(L96/L13*365-L253,0),0)</f>
        <v>0</v>
      </c>
      <c r="M387" s="253">
        <f>IF(ISNUMBER(M253),ROUND(M96/M13*365-M253,0),0)</f>
        <v>0</v>
      </c>
      <c r="N387" s="253">
        <f>IF(ISNUMBER(N253),ROUND(N96/N13*365-N253,0),0)</f>
        <v>0</v>
      </c>
      <c r="O387" s="319">
        <f>IF(ISNUMBER(O253),ROUND(O96/O13*365-O253,0),0)</f>
        <v>0</v>
      </c>
    </row>
    <row r="388" spans="1:15" ht="38.25" x14ac:dyDescent="0.2">
      <c r="B388" s="229" t="s">
        <v>614</v>
      </c>
      <c r="C388" s="229" t="str">
        <f t="shared" si="115"/>
        <v>Trade Receivable/Sales (Annualized)</v>
      </c>
      <c r="D388" s="252" t="s">
        <v>615</v>
      </c>
      <c r="E388" s="229">
        <f t="shared" si="150"/>
        <v>256</v>
      </c>
      <c r="F388" s="253">
        <f>IF(ISNUMBER(F254),ROUND(F67/(F13*4)-F254,0),0)</f>
        <v>0</v>
      </c>
      <c r="G388" s="253">
        <f>IF(ISNUMBER(G254),ROUND(G67/(G13*4)-G254,0),0)</f>
        <v>0</v>
      </c>
      <c r="H388" s="253">
        <f>IF(ISNUMBER(H254),ROUND(H67/(H13*4)-H254,0),0)</f>
        <v>0</v>
      </c>
      <c r="I388" s="253">
        <f>IF(ISNUMBER(I254),ROUND(I67/(I13*4)-I254,0),0)</f>
        <v>0</v>
      </c>
      <c r="J388" s="253">
        <f>IF(ISNUMBER(J254),ROUND(J67/(J13*4)-J254,0),0)</f>
        <v>0</v>
      </c>
      <c r="K388" s="253">
        <f>IF(ISNUMBER(K254),ROUND(K67/K13-K254,0),0)</f>
        <v>0</v>
      </c>
      <c r="L388" s="253">
        <f>IF(ISNUMBER(L254),ROUND(L67/L13-L254,0),0)</f>
        <v>0</v>
      </c>
      <c r="M388" s="253">
        <f>IF(ISNUMBER(M254),ROUND(M67/M13-M254,0),0)</f>
        <v>0</v>
      </c>
      <c r="N388" s="253">
        <f>IF(ISNUMBER(N254),ROUND(N67/N13-N254,0),0)</f>
        <v>0</v>
      </c>
      <c r="O388" s="319">
        <f>IF(ISNUMBER(O254),ROUND(O67/O13-O254,0),0)</f>
        <v>0</v>
      </c>
    </row>
    <row r="389" spans="1:15" x14ac:dyDescent="0.2">
      <c r="B389" s="229" t="s">
        <v>616</v>
      </c>
      <c r="C389" s="229" t="str">
        <f t="shared" si="115"/>
        <v>COGS/Sales</v>
      </c>
      <c r="D389" s="252" t="s">
        <v>617</v>
      </c>
      <c r="E389" s="229">
        <f t="shared" si="150"/>
        <v>257</v>
      </c>
      <c r="F389" s="253">
        <f t="shared" ref="F389:O389" si="151">IF(ISNUMBER(F255),ROUND(-F18/F13-F255,0),0)</f>
        <v>0</v>
      </c>
      <c r="G389" s="253">
        <f t="shared" si="151"/>
        <v>0</v>
      </c>
      <c r="H389" s="253">
        <f t="shared" si="151"/>
        <v>0</v>
      </c>
      <c r="I389" s="253">
        <f t="shared" si="151"/>
        <v>0</v>
      </c>
      <c r="J389" s="253">
        <f t="shared" si="151"/>
        <v>0</v>
      </c>
      <c r="K389" s="253">
        <f t="shared" si="151"/>
        <v>0</v>
      </c>
      <c r="L389" s="253">
        <f t="shared" si="151"/>
        <v>0</v>
      </c>
      <c r="M389" s="253">
        <f t="shared" si="151"/>
        <v>0</v>
      </c>
      <c r="N389" s="253">
        <f t="shared" si="151"/>
        <v>0</v>
      </c>
      <c r="O389" s="319">
        <f t="shared" si="151"/>
        <v>0</v>
      </c>
    </row>
    <row r="390" spans="1:15" ht="25.5" x14ac:dyDescent="0.2">
      <c r="A390" s="6" t="s">
        <v>702</v>
      </c>
      <c r="B390" s="229" t="s">
        <v>618</v>
      </c>
      <c r="C390" s="229" t="str">
        <f t="shared" si="115"/>
        <v>SG&amp;A/Sales</v>
      </c>
      <c r="D390" s="252" t="s">
        <v>619</v>
      </c>
      <c r="E390" s="229">
        <f t="shared" si="150"/>
        <v>258</v>
      </c>
      <c r="F390" s="253">
        <f t="shared" ref="F390:O390" si="152">IF(ISNUMBER(F256),ROUND(-SUM(F29:F30)/F13-F256,0),0)</f>
        <v>0</v>
      </c>
      <c r="G390" s="253">
        <f t="shared" si="152"/>
        <v>0</v>
      </c>
      <c r="H390" s="253">
        <f t="shared" si="152"/>
        <v>0</v>
      </c>
      <c r="I390" s="253">
        <f t="shared" si="152"/>
        <v>0</v>
      </c>
      <c r="J390" s="253">
        <f t="shared" si="152"/>
        <v>0</v>
      </c>
      <c r="K390" s="253">
        <f t="shared" si="152"/>
        <v>0</v>
      </c>
      <c r="L390" s="253">
        <f t="shared" si="152"/>
        <v>0</v>
      </c>
      <c r="M390" s="253">
        <f t="shared" si="152"/>
        <v>0</v>
      </c>
      <c r="N390" s="253">
        <f t="shared" si="152"/>
        <v>0</v>
      </c>
      <c r="O390" s="319">
        <f t="shared" si="152"/>
        <v>0</v>
      </c>
    </row>
    <row r="391" spans="1:15" x14ac:dyDescent="0.2">
      <c r="B391" s="229"/>
      <c r="C391" s="229"/>
      <c r="D391" s="252"/>
      <c r="E391" s="229"/>
      <c r="F391" s="229"/>
      <c r="G391" s="229"/>
      <c r="H391" s="229"/>
      <c r="I391" s="229"/>
      <c r="J391" s="229"/>
      <c r="K391" s="229"/>
      <c r="L391" s="229"/>
      <c r="M391" s="229"/>
      <c r="N391" s="229"/>
      <c r="O391" s="229"/>
    </row>
    <row r="392" spans="1:15" x14ac:dyDescent="0.2">
      <c r="D392" s="72"/>
    </row>
  </sheetData>
  <mergeCells count="9">
    <mergeCell ref="F10:I10"/>
    <mergeCell ref="F61:I61"/>
    <mergeCell ref="F169:I169"/>
    <mergeCell ref="F136:I136"/>
    <mergeCell ref="B267:B268"/>
    <mergeCell ref="C267:C268"/>
    <mergeCell ref="D267:D268"/>
    <mergeCell ref="E267:E268"/>
    <mergeCell ref="F267:I267"/>
  </mergeCells>
  <pageMargins left="0.25" right="0.25" top="0.75" bottom="0.75" header="0.3" footer="0.3"/>
  <pageSetup paperSize="9" scale="38" fitToHeight="0" orientation="portrait"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2:T316"/>
  <sheetViews>
    <sheetView showGridLines="0" zoomScale="89" zoomScaleNormal="89" workbookViewId="0">
      <selection activeCell="D126" sqref="D126"/>
    </sheetView>
  </sheetViews>
  <sheetFormatPr defaultRowHeight="12.75" x14ac:dyDescent="0.2"/>
  <cols>
    <col min="1" max="1" width="7.28515625" style="6" bestFit="1" customWidth="1"/>
    <col min="2" max="2" width="7.5703125" style="221" customWidth="1"/>
    <col min="3" max="3" width="38.85546875" style="221" customWidth="1"/>
    <col min="4" max="4" width="20.140625" style="6" customWidth="1"/>
    <col min="5" max="5" width="9.42578125" style="6" customWidth="1"/>
    <col min="6" max="13" width="12.7109375" style="6" customWidth="1"/>
    <col min="14" max="14" width="12.7109375" style="200" customWidth="1"/>
    <col min="15" max="15" width="14.85546875" style="6" bestFit="1" customWidth="1"/>
    <col min="16" max="16" width="11.140625" style="6" customWidth="1"/>
    <col min="17" max="17" width="12.28515625" style="6" customWidth="1"/>
    <col min="18" max="18" width="9.140625" style="6" customWidth="1"/>
    <col min="19" max="16384" width="9.140625" style="6"/>
  </cols>
  <sheetData>
    <row r="2" spans="1:17" ht="21" x14ac:dyDescent="0.35">
      <c r="C2" s="212" t="s">
        <v>67</v>
      </c>
      <c r="D2" s="11"/>
      <c r="E2" s="11"/>
      <c r="F2" s="11"/>
      <c r="G2" s="11"/>
      <c r="H2" s="11"/>
      <c r="I2" s="11"/>
      <c r="J2" s="11"/>
      <c r="K2" s="11"/>
      <c r="L2" s="11"/>
      <c r="M2" s="11"/>
      <c r="N2" s="199"/>
      <c r="O2" s="11"/>
      <c r="P2" s="97" t="s">
        <v>761</v>
      </c>
    </row>
    <row r="3" spans="1:17" x14ac:dyDescent="0.2">
      <c r="B3" s="223"/>
      <c r="C3" s="213" t="s">
        <v>101</v>
      </c>
      <c r="D3" s="167">
        <f>BasicInfo!C21</f>
        <v>42366</v>
      </c>
      <c r="P3" s="6" t="s">
        <v>938</v>
      </c>
    </row>
    <row r="4" spans="1:17" x14ac:dyDescent="0.2">
      <c r="B4" s="224"/>
      <c r="C4" s="214" t="s">
        <v>83</v>
      </c>
      <c r="D4" s="169" t="str">
        <f>BasicInfo!C5</f>
        <v>Lennox International Inc.</v>
      </c>
      <c r="E4" s="8"/>
      <c r="F4" s="8"/>
      <c r="G4" s="8"/>
      <c r="H4" s="8"/>
      <c r="I4" s="8"/>
      <c r="J4" s="8"/>
      <c r="K4" s="8"/>
      <c r="L4" s="8"/>
      <c r="M4" s="8"/>
      <c r="N4" s="201"/>
      <c r="O4" s="8"/>
      <c r="P4" s="6" t="s">
        <v>938</v>
      </c>
    </row>
    <row r="5" spans="1:17" x14ac:dyDescent="0.2">
      <c r="B5" s="224"/>
      <c r="C5" s="213" t="s">
        <v>81</v>
      </c>
      <c r="D5" s="170">
        <f>BasicInfo!C6</f>
        <v>13010101</v>
      </c>
      <c r="P5" s="6" t="s">
        <v>938</v>
      </c>
    </row>
    <row r="6" spans="1:17" x14ac:dyDescent="0.2">
      <c r="B6" s="225"/>
      <c r="C6" s="215" t="s">
        <v>62</v>
      </c>
      <c r="D6" s="171" t="str">
        <f>BasicInfo!C7</f>
        <v>Air-conditioning, Freezing &amp; Heating Equipment Manufacturing</v>
      </c>
      <c r="E6" s="11"/>
      <c r="F6" s="11"/>
      <c r="G6" s="11"/>
      <c r="H6" s="11"/>
      <c r="I6" s="11"/>
      <c r="J6" s="11"/>
      <c r="K6" s="11"/>
      <c r="L6" s="11"/>
      <c r="M6" s="11"/>
      <c r="N6" s="199"/>
      <c r="O6" s="11"/>
      <c r="P6" s="6" t="s">
        <v>938</v>
      </c>
    </row>
    <row r="7" spans="1:17" ht="13.5" customHeight="1" x14ac:dyDescent="0.2">
      <c r="C7" s="213"/>
    </row>
    <row r="8" spans="1:17" ht="38.25" x14ac:dyDescent="0.2">
      <c r="B8" s="216" t="s">
        <v>142</v>
      </c>
      <c r="C8" s="216" t="s">
        <v>66</v>
      </c>
      <c r="D8" s="12" t="s">
        <v>68</v>
      </c>
      <c r="E8" s="146" t="s">
        <v>70</v>
      </c>
      <c r="F8" s="321" t="s">
        <v>63</v>
      </c>
      <c r="G8" s="322"/>
      <c r="H8" s="322"/>
      <c r="I8" s="323"/>
      <c r="J8" s="149" t="s">
        <v>829</v>
      </c>
      <c r="K8" s="149" t="s">
        <v>76</v>
      </c>
      <c r="L8" s="149" t="s">
        <v>75</v>
      </c>
      <c r="M8" s="149" t="s">
        <v>74</v>
      </c>
      <c r="N8" s="202" t="s">
        <v>73</v>
      </c>
      <c r="O8" s="149" t="s">
        <v>71</v>
      </c>
      <c r="P8" s="6" t="s">
        <v>775</v>
      </c>
    </row>
    <row r="9" spans="1:17" x14ac:dyDescent="0.2">
      <c r="B9" s="216"/>
      <c r="C9" s="217"/>
      <c r="D9" s="12"/>
      <c r="E9" s="147" t="s">
        <v>87</v>
      </c>
      <c r="F9" s="151">
        <f>User_Financial_Input!F11</f>
        <v>41906.600000000006</v>
      </c>
      <c r="G9" s="151">
        <f>User_Financial_Input!G11</f>
        <v>41999.200000000004</v>
      </c>
      <c r="H9" s="151">
        <f>User_Financial_Input!H11</f>
        <v>42091.8</v>
      </c>
      <c r="I9" s="151">
        <f>User_Financial_Input!I11</f>
        <v>42184.4</v>
      </c>
      <c r="J9" s="151">
        <f>User_Financial_Input!J11</f>
        <v>42277</v>
      </c>
      <c r="K9" s="157">
        <f>User_Financial_Input!K11</f>
        <v>40905</v>
      </c>
      <c r="L9" s="157">
        <f>User_Financial_Input!L11</f>
        <v>41271</v>
      </c>
      <c r="M9" s="157">
        <f>User_Financial_Input!M11</f>
        <v>41637</v>
      </c>
      <c r="N9" s="203">
        <f>User_Financial_Input!N11</f>
        <v>42003</v>
      </c>
      <c r="O9" s="151">
        <f>User_Financial_Input!O11</f>
        <v>42277</v>
      </c>
      <c r="P9" s="6" t="s">
        <v>935</v>
      </c>
    </row>
    <row r="10" spans="1:17" ht="17.25" customHeight="1" x14ac:dyDescent="0.2">
      <c r="B10" s="194"/>
      <c r="C10" s="247"/>
      <c r="D10" s="52"/>
      <c r="E10" s="52"/>
      <c r="F10" s="52"/>
      <c r="G10" s="52"/>
      <c r="H10" s="52"/>
      <c r="I10" s="52"/>
      <c r="J10" s="52"/>
      <c r="K10" s="52"/>
      <c r="L10" s="52"/>
      <c r="M10" s="52"/>
      <c r="N10" s="204"/>
      <c r="O10" s="52"/>
      <c r="P10" s="6" t="s">
        <v>882</v>
      </c>
    </row>
    <row r="11" spans="1:17" ht="16.5" customHeight="1" x14ac:dyDescent="0.2">
      <c r="A11" s="6" t="s">
        <v>689</v>
      </c>
      <c r="B11" s="237" t="s">
        <v>143</v>
      </c>
      <c r="C11" s="19" t="s">
        <v>857</v>
      </c>
      <c r="D11" s="52"/>
      <c r="E11" s="52"/>
      <c r="F11" s="52"/>
      <c r="G11" s="52"/>
      <c r="H11" s="52"/>
      <c r="I11" s="52"/>
      <c r="J11" s="52"/>
      <c r="K11" s="52"/>
      <c r="L11" s="52"/>
      <c r="M11" s="52"/>
      <c r="N11" s="204"/>
      <c r="O11" s="52"/>
    </row>
    <row r="12" spans="1:17" x14ac:dyDescent="0.2">
      <c r="B12" s="243" t="s">
        <v>144</v>
      </c>
      <c r="C12" s="249" t="s">
        <v>1119</v>
      </c>
      <c r="D12" s="52"/>
      <c r="E12" s="52"/>
      <c r="F12" s="52"/>
      <c r="G12" s="52"/>
      <c r="H12" s="52"/>
      <c r="I12" s="52"/>
      <c r="J12" s="52"/>
      <c r="K12" s="52"/>
      <c r="L12" s="52"/>
      <c r="M12" s="52"/>
      <c r="N12" s="52"/>
      <c r="O12" s="52"/>
      <c r="P12" s="99" t="s">
        <v>883</v>
      </c>
    </row>
    <row r="13" spans="1:17" x14ac:dyDescent="0.2">
      <c r="B13" s="260" t="s">
        <v>145</v>
      </c>
      <c r="C13" s="241" t="s">
        <v>1120</v>
      </c>
      <c r="D13" s="256" t="s">
        <v>1501</v>
      </c>
      <c r="E13" s="52"/>
      <c r="F13" s="55">
        <f>IF(User_Operation_Input!F13="N/A","",User_Operation_Input!F13)</f>
        <v>0</v>
      </c>
      <c r="G13" s="55">
        <f>IF(User_Operation_Input!G13="N/A","",User_Operation_Input!G13)</f>
        <v>0</v>
      </c>
      <c r="H13" s="55">
        <f>IF(User_Operation_Input!H13="N/A","",User_Operation_Input!H13)</f>
        <v>0</v>
      </c>
      <c r="I13" s="55">
        <f>IF(User_Operation_Input!I13="N/A","",User_Operation_Input!I13)</f>
        <v>0</v>
      </c>
      <c r="J13" s="55">
        <f>IF(User_Operation_Input!J13="N/A","",User_Operation_Input!J13)</f>
        <v>0</v>
      </c>
      <c r="K13" s="55">
        <f>IF(User_Operation_Input!K13="N/A","",User_Operation_Input!K13)</f>
        <v>0</v>
      </c>
      <c r="L13" s="55">
        <f>IF(User_Operation_Input!L13="N/A","",User_Operation_Input!L13)</f>
        <v>0</v>
      </c>
      <c r="M13" s="55">
        <f>IF(User_Operation_Input!M13="N/A","",User_Operation_Input!M13)</f>
        <v>0</v>
      </c>
      <c r="N13" s="55">
        <f>IF(User_Operation_Input!N13="N/A","",User_Operation_Input!N13)</f>
        <v>0</v>
      </c>
      <c r="O13" s="125">
        <f>J13</f>
        <v>0</v>
      </c>
      <c r="P13" s="140" t="s">
        <v>884</v>
      </c>
    </row>
    <row r="14" spans="1:17" x14ac:dyDescent="0.2">
      <c r="B14" s="243" t="s">
        <v>146</v>
      </c>
      <c r="C14" s="249" t="s">
        <v>1121</v>
      </c>
      <c r="D14" s="256" t="s">
        <v>1501</v>
      </c>
      <c r="E14" s="52"/>
      <c r="F14" s="158">
        <f t="shared" ref="F14:O14" si="0">IF(AND(F15="",F16="",F17=""),"",SUM(F15:F17))</f>
        <v>0</v>
      </c>
      <c r="G14" s="158">
        <f t="shared" si="0"/>
        <v>0</v>
      </c>
      <c r="H14" s="158">
        <f t="shared" si="0"/>
        <v>0</v>
      </c>
      <c r="I14" s="158">
        <f t="shared" si="0"/>
        <v>0</v>
      </c>
      <c r="J14" s="158">
        <f t="shared" si="0"/>
        <v>0</v>
      </c>
      <c r="K14" s="158">
        <f t="shared" si="0"/>
        <v>0</v>
      </c>
      <c r="L14" s="158">
        <f t="shared" si="0"/>
        <v>0</v>
      </c>
      <c r="M14" s="158">
        <f t="shared" si="0"/>
        <v>0</v>
      </c>
      <c r="N14" s="158">
        <f t="shared" si="0"/>
        <v>0</v>
      </c>
      <c r="O14" s="158">
        <f t="shared" si="0"/>
        <v>0</v>
      </c>
      <c r="P14" s="141" t="s">
        <v>885</v>
      </c>
      <c r="Q14" s="24"/>
    </row>
    <row r="15" spans="1:17" x14ac:dyDescent="0.2">
      <c r="B15" s="260" t="s">
        <v>1134</v>
      </c>
      <c r="C15" s="241" t="s">
        <v>787</v>
      </c>
      <c r="D15" s="256" t="s">
        <v>1501</v>
      </c>
      <c r="E15" s="52"/>
      <c r="F15" s="55">
        <f>IF(User_Operation_Input!F15="N/A","",User_Operation_Input!F15)</f>
        <v>0</v>
      </c>
      <c r="G15" s="55">
        <f>IF(User_Operation_Input!G15="N/A","",User_Operation_Input!G15)</f>
        <v>0</v>
      </c>
      <c r="H15" s="55">
        <f>IF(User_Operation_Input!H15="N/A","",User_Operation_Input!H15)</f>
        <v>0</v>
      </c>
      <c r="I15" s="55">
        <f>IF(User_Operation_Input!I15="N/A","",User_Operation_Input!I15)</f>
        <v>0</v>
      </c>
      <c r="J15" s="55">
        <f>IF(User_Operation_Input!J15="N/A","",User_Operation_Input!J15)</f>
        <v>0</v>
      </c>
      <c r="K15" s="55">
        <f>IF(User_Operation_Input!K15="N/A","",User_Operation_Input!K15)</f>
        <v>0</v>
      </c>
      <c r="L15" s="55">
        <f>IF(User_Operation_Input!L15="N/A","",User_Operation_Input!L15)</f>
        <v>0</v>
      </c>
      <c r="M15" s="55">
        <f>IF(User_Operation_Input!M15="N/A","",User_Operation_Input!M15)</f>
        <v>0</v>
      </c>
      <c r="N15" s="55">
        <f>IF(User_Operation_Input!N15="N/A","",User_Operation_Input!N15)</f>
        <v>0</v>
      </c>
      <c r="O15" s="125">
        <f>J15</f>
        <v>0</v>
      </c>
      <c r="P15" s="24"/>
      <c r="Q15" s="24"/>
    </row>
    <row r="16" spans="1:17" x14ac:dyDescent="0.2">
      <c r="B16" s="260" t="s">
        <v>1135</v>
      </c>
      <c r="C16" s="241" t="s">
        <v>788</v>
      </c>
      <c r="D16" s="256" t="s">
        <v>1501</v>
      </c>
      <c r="E16" s="52"/>
      <c r="F16" s="55">
        <f>IF(User_Operation_Input!F16="N/A","",User_Operation_Input!F16)</f>
        <v>0</v>
      </c>
      <c r="G16" s="55">
        <f>IF(User_Operation_Input!G16="N/A","",User_Operation_Input!G16)</f>
        <v>0</v>
      </c>
      <c r="H16" s="55">
        <f>IF(User_Operation_Input!H16="N/A","",User_Operation_Input!H16)</f>
        <v>0</v>
      </c>
      <c r="I16" s="55">
        <f>IF(User_Operation_Input!I16="N/A","",User_Operation_Input!I16)</f>
        <v>0</v>
      </c>
      <c r="J16" s="55">
        <f>IF(User_Operation_Input!J16="N/A","",User_Operation_Input!J16)</f>
        <v>0</v>
      </c>
      <c r="K16" s="55">
        <f>IF(User_Operation_Input!K16="N/A","",User_Operation_Input!K16)</f>
        <v>0</v>
      </c>
      <c r="L16" s="55">
        <f>IF(User_Operation_Input!L16="N/A","",User_Operation_Input!L16)</f>
        <v>0</v>
      </c>
      <c r="M16" s="55">
        <f>IF(User_Operation_Input!M16="N/A","",User_Operation_Input!M16)</f>
        <v>0</v>
      </c>
      <c r="N16" s="55">
        <f>IF(User_Operation_Input!N16="N/A","",User_Operation_Input!N16)</f>
        <v>0</v>
      </c>
      <c r="O16" s="125">
        <f>J16</f>
        <v>0</v>
      </c>
      <c r="P16" s="24"/>
      <c r="Q16" s="24"/>
    </row>
    <row r="17" spans="1:17" x14ac:dyDescent="0.2">
      <c r="B17" s="260" t="s">
        <v>1136</v>
      </c>
      <c r="C17" s="241" t="s">
        <v>1506</v>
      </c>
      <c r="D17" s="256" t="s">
        <v>1501</v>
      </c>
      <c r="E17" s="52"/>
      <c r="F17" s="55">
        <f>IF(User_Operation_Input!F17="N/A","",User_Operation_Input!F17)</f>
        <v>0</v>
      </c>
      <c r="G17" s="55">
        <f>IF(User_Operation_Input!G17="N/A","",User_Operation_Input!G17)</f>
        <v>0</v>
      </c>
      <c r="H17" s="55">
        <f>IF(User_Operation_Input!H17="N/A","",User_Operation_Input!H17)</f>
        <v>0</v>
      </c>
      <c r="I17" s="55">
        <f>IF(User_Operation_Input!I17="N/A","",User_Operation_Input!I17)</f>
        <v>0</v>
      </c>
      <c r="J17" s="55">
        <f>IF(User_Operation_Input!J17="N/A","",User_Operation_Input!J17)</f>
        <v>0</v>
      </c>
      <c r="K17" s="55">
        <f>IF(User_Operation_Input!K17="N/A","",User_Operation_Input!K17)</f>
        <v>0</v>
      </c>
      <c r="L17" s="55">
        <f>IF(User_Operation_Input!L17="N/A","",User_Operation_Input!L17)</f>
        <v>0</v>
      </c>
      <c r="M17" s="55">
        <f>IF(User_Operation_Input!M17="N/A","",User_Operation_Input!M17)</f>
        <v>0</v>
      </c>
      <c r="N17" s="55">
        <f>IF(User_Operation_Input!N17="N/A","",User_Operation_Input!N17)</f>
        <v>0</v>
      </c>
      <c r="O17" s="125">
        <f>J17</f>
        <v>0</v>
      </c>
      <c r="P17" s="24"/>
      <c r="Q17" s="24" t="s">
        <v>949</v>
      </c>
    </row>
    <row r="18" spans="1:17" x14ac:dyDescent="0.2">
      <c r="B18" s="194"/>
      <c r="C18" s="247"/>
      <c r="D18" s="52"/>
      <c r="E18" s="52"/>
      <c r="F18" s="52"/>
      <c r="G18" s="52"/>
      <c r="H18" s="52"/>
      <c r="I18" s="52"/>
      <c r="J18" s="52"/>
      <c r="K18" s="52"/>
      <c r="L18" s="52"/>
      <c r="M18" s="52"/>
      <c r="N18" s="204"/>
      <c r="O18" s="52"/>
      <c r="P18" s="24"/>
      <c r="Q18" s="24" t="s">
        <v>886</v>
      </c>
    </row>
    <row r="19" spans="1:17" x14ac:dyDescent="0.2">
      <c r="B19" s="243" t="s">
        <v>147</v>
      </c>
      <c r="C19" s="249" t="s">
        <v>1076</v>
      </c>
      <c r="D19" s="256" t="s">
        <v>1501</v>
      </c>
      <c r="E19" s="52"/>
      <c r="F19" s="55">
        <f>IF(User_Operation_Input!F19="N/A","",User_Operation_Input!F19)</f>
        <v>0</v>
      </c>
      <c r="G19" s="55">
        <f>IF(User_Operation_Input!G19="N/A","",User_Operation_Input!G19)</f>
        <v>0</v>
      </c>
      <c r="H19" s="55">
        <f>IF(User_Operation_Input!H19="N/A","",User_Operation_Input!H19)</f>
        <v>0</v>
      </c>
      <c r="I19" s="55">
        <f>IF(User_Operation_Input!I19="N/A","",User_Operation_Input!I19)</f>
        <v>0</v>
      </c>
      <c r="J19" s="55">
        <f>IF(User_Operation_Input!J19="N/A","",User_Operation_Input!J19)</f>
        <v>0</v>
      </c>
      <c r="K19" s="55">
        <f>IF(User_Operation_Input!K19="N/A","",User_Operation_Input!K19)</f>
        <v>0</v>
      </c>
      <c r="L19" s="55">
        <f>IF(User_Operation_Input!L19="N/A","",User_Operation_Input!L19)</f>
        <v>0</v>
      </c>
      <c r="M19" s="55">
        <f>IF(User_Operation_Input!M19="N/A","",User_Operation_Input!M19)</f>
        <v>0</v>
      </c>
      <c r="N19" s="55">
        <f>IF(User_Operation_Input!N19="N/A","",User_Operation_Input!N19)</f>
        <v>0</v>
      </c>
      <c r="O19" s="125">
        <f>J19</f>
        <v>0</v>
      </c>
      <c r="P19" s="24"/>
      <c r="Q19" s="24" t="s">
        <v>887</v>
      </c>
    </row>
    <row r="20" spans="1:17" x14ac:dyDescent="0.2">
      <c r="B20" s="194"/>
      <c r="C20" s="247"/>
      <c r="D20" s="52"/>
      <c r="E20" s="52"/>
      <c r="F20" s="52"/>
      <c r="G20" s="52"/>
      <c r="H20" s="52"/>
      <c r="I20" s="52"/>
      <c r="J20" s="52"/>
      <c r="K20" s="52"/>
      <c r="L20" s="52"/>
      <c r="M20" s="52"/>
      <c r="N20" s="204"/>
      <c r="O20" s="52"/>
      <c r="P20" s="100" t="s">
        <v>888</v>
      </c>
      <c r="Q20" s="24"/>
    </row>
    <row r="21" spans="1:17" x14ac:dyDescent="0.2">
      <c r="B21" s="243" t="s">
        <v>148</v>
      </c>
      <c r="C21" s="249" t="s">
        <v>1239</v>
      </c>
      <c r="D21" s="52"/>
      <c r="E21" s="52"/>
      <c r="F21" s="52"/>
      <c r="G21" s="52"/>
      <c r="H21" s="52"/>
      <c r="I21" s="52"/>
      <c r="J21" s="52"/>
      <c r="K21" s="52"/>
      <c r="L21" s="52"/>
      <c r="M21" s="52"/>
      <c r="N21" s="52"/>
      <c r="O21" s="52"/>
      <c r="P21" s="140" t="s">
        <v>889</v>
      </c>
      <c r="Q21" s="24"/>
    </row>
    <row r="22" spans="1:17" x14ac:dyDescent="0.2">
      <c r="B22" s="260" t="s">
        <v>149</v>
      </c>
      <c r="C22" s="241" t="s">
        <v>1181</v>
      </c>
      <c r="D22" s="256" t="s">
        <v>1240</v>
      </c>
      <c r="E22" s="52"/>
      <c r="F22" s="55">
        <f>IF(User_Operation_Input!F22="N/A","",User_Operation_Input!F22)</f>
        <v>0</v>
      </c>
      <c r="G22" s="55">
        <f>IF(User_Operation_Input!G22="N/A","",User_Operation_Input!G22)</f>
        <v>0</v>
      </c>
      <c r="H22" s="55">
        <f>IF(User_Operation_Input!H22="N/A","",User_Operation_Input!H22)</f>
        <v>0</v>
      </c>
      <c r="I22" s="55">
        <f>IF(User_Operation_Input!I22="N/A","",User_Operation_Input!I22)</f>
        <v>0</v>
      </c>
      <c r="J22" s="55">
        <f>IF(User_Operation_Input!J22="N/A","",User_Operation_Input!J22)</f>
        <v>0</v>
      </c>
      <c r="K22" s="55">
        <f>IF(User_Operation_Input!K22="N/A","",User_Operation_Input!K22)</f>
        <v>0</v>
      </c>
      <c r="L22" s="55">
        <f>IF(User_Operation_Input!L22="N/A","",User_Operation_Input!L22)</f>
        <v>0</v>
      </c>
      <c r="M22" s="55">
        <f>IF(User_Operation_Input!M22="N/A","",User_Operation_Input!M22)</f>
        <v>0</v>
      </c>
      <c r="N22" s="55">
        <f>IF(User_Operation_Input!N22="N/A","",User_Operation_Input!N22)</f>
        <v>0</v>
      </c>
      <c r="O22" s="125">
        <f>J22</f>
        <v>0</v>
      </c>
      <c r="P22" s="140"/>
      <c r="Q22" s="24"/>
    </row>
    <row r="23" spans="1:17" x14ac:dyDescent="0.2">
      <c r="B23" s="260" t="s">
        <v>150</v>
      </c>
      <c r="C23" s="241" t="s">
        <v>1182</v>
      </c>
      <c r="D23" s="256" t="str">
        <f>$D$22</f>
        <v>Ton</v>
      </c>
      <c r="E23" s="52"/>
      <c r="F23" s="55">
        <f>IF(User_Operation_Input!F23="N/A","",User_Operation_Input!F23)</f>
        <v>0</v>
      </c>
      <c r="G23" s="55">
        <f>IF(User_Operation_Input!G23="N/A","",User_Operation_Input!G23)</f>
        <v>0</v>
      </c>
      <c r="H23" s="55">
        <f>IF(User_Operation_Input!H23="N/A","",User_Operation_Input!H23)</f>
        <v>0</v>
      </c>
      <c r="I23" s="55">
        <f>IF(User_Operation_Input!I23="N/A","",User_Operation_Input!I23)</f>
        <v>0</v>
      </c>
      <c r="J23" s="55">
        <f>IF(User_Operation_Input!J23="N/A","",User_Operation_Input!J23)</f>
        <v>0</v>
      </c>
      <c r="K23" s="55">
        <f>IF(User_Operation_Input!K23="N/A","",User_Operation_Input!K23)</f>
        <v>0</v>
      </c>
      <c r="L23" s="55">
        <f>IF(User_Operation_Input!L23="N/A","",User_Operation_Input!L23)</f>
        <v>0</v>
      </c>
      <c r="M23" s="55">
        <f>IF(User_Operation_Input!M23="N/A","",User_Operation_Input!M23)</f>
        <v>0</v>
      </c>
      <c r="N23" s="55">
        <f>IF(User_Operation_Input!N23="N/A","",User_Operation_Input!N23)</f>
        <v>0</v>
      </c>
      <c r="O23" s="125">
        <f>J23</f>
        <v>0</v>
      </c>
      <c r="P23" s="140"/>
      <c r="Q23" s="24"/>
    </row>
    <row r="24" spans="1:17" x14ac:dyDescent="0.2">
      <c r="B24" s="198"/>
      <c r="C24" s="247"/>
      <c r="D24" s="52"/>
      <c r="E24" s="52"/>
      <c r="F24" s="52"/>
      <c r="G24" s="52"/>
      <c r="H24" s="52"/>
      <c r="I24" s="52"/>
      <c r="J24" s="52"/>
      <c r="K24" s="52"/>
      <c r="L24" s="52"/>
      <c r="M24" s="52"/>
      <c r="N24" s="204"/>
      <c r="O24" s="52"/>
      <c r="P24" s="24" t="s">
        <v>890</v>
      </c>
      <c r="Q24" s="24"/>
    </row>
    <row r="25" spans="1:17" x14ac:dyDescent="0.2">
      <c r="B25" s="243" t="s">
        <v>151</v>
      </c>
      <c r="C25" s="209" t="s">
        <v>1301</v>
      </c>
      <c r="D25" s="52"/>
      <c r="E25" s="52"/>
      <c r="F25" s="52"/>
      <c r="G25" s="52"/>
      <c r="H25" s="52"/>
      <c r="I25" s="52"/>
      <c r="J25" s="52"/>
      <c r="K25" s="52"/>
      <c r="L25" s="52"/>
      <c r="M25" s="52"/>
      <c r="N25" s="204"/>
      <c r="O25" s="52"/>
      <c r="P25" s="108" t="s">
        <v>891</v>
      </c>
      <c r="Q25" s="24"/>
    </row>
    <row r="26" spans="1:17" x14ac:dyDescent="0.2">
      <c r="A26" s="6" t="s">
        <v>1256</v>
      </c>
      <c r="B26" s="260" t="s">
        <v>152</v>
      </c>
      <c r="C26" s="127" t="s">
        <v>1334</v>
      </c>
      <c r="D26" s="227" t="str">
        <f>BasicInfo!C26&amp;" "&amp;"Million"</f>
        <v>USD Million</v>
      </c>
      <c r="E26" s="52"/>
      <c r="F26" s="55">
        <f>IF(User_Operation_Input!F26="N/A","",User_Operation_Input!F26*(VLOOKUP(User_Operation_Input!$D26,Unit_Map!$A$6:$C$18,3,0))/Unit_Map!B$3)</f>
        <v>0</v>
      </c>
      <c r="G26" s="55">
        <f>IF(User_Operation_Input!G26="N/A","",User_Operation_Input!G26*(VLOOKUP(User_Operation_Input!$D26,Unit_Map!$A$6:$C$18,3,0))/Unit_Map!C$3)</f>
        <v>0</v>
      </c>
      <c r="H26" s="55">
        <f>IF(User_Operation_Input!H26="N/A","",User_Operation_Input!H26*(VLOOKUP(User_Operation_Input!$D26,Unit_Map!$A$6:$C$18,3,0))/Unit_Map!D$3)</f>
        <v>0</v>
      </c>
      <c r="I26" s="55">
        <f>IF(User_Operation_Input!I26="N/A","",User_Operation_Input!I26*(VLOOKUP(User_Operation_Input!$D26,Unit_Map!$A$6:$C$18,3,0))/Unit_Map!E$3)</f>
        <v>0</v>
      </c>
      <c r="J26" s="55">
        <f>IF(User_Operation_Input!J26="N/A","",User_Operation_Input!J26*(VLOOKUP(User_Operation_Input!$D26,Unit_Map!$A$6:$C$18,3,0))/Unit_Map!F$3)</f>
        <v>0</v>
      </c>
      <c r="K26" s="55">
        <f>IF(User_Operation_Input!K26="N/A","",User_Operation_Input!K26*(VLOOKUP(User_Operation_Input!$D26,Unit_Map!$A$6:$C$18,3,0))/Unit_Map!G$3)</f>
        <v>0</v>
      </c>
      <c r="L26" s="55">
        <f>IF(User_Operation_Input!L26="N/A","",User_Operation_Input!L26*(VLOOKUP(User_Operation_Input!$D26,Unit_Map!$A$6:$C$18,3,0))/Unit_Map!H$3)</f>
        <v>0</v>
      </c>
      <c r="M26" s="55">
        <f>IF(User_Operation_Input!M26="N/A","",User_Operation_Input!M26*(VLOOKUP(User_Operation_Input!$D26,Unit_Map!$A$6:$C$18,3,0))/Unit_Map!I$3)</f>
        <v>0</v>
      </c>
      <c r="N26" s="55">
        <f>IF(User_Operation_Input!N26="N/A","",User_Operation_Input!N26*(VLOOKUP(User_Operation_Input!$D26,Unit_Map!$A$6:$C$18,3,0))/Unit_Map!J$3)</f>
        <v>0</v>
      </c>
      <c r="O26" s="125">
        <f>G26</f>
        <v>0</v>
      </c>
      <c r="P26" s="24" t="s">
        <v>892</v>
      </c>
      <c r="Q26" s="24"/>
    </row>
    <row r="27" spans="1:17" x14ac:dyDescent="0.2">
      <c r="B27" s="260" t="s">
        <v>153</v>
      </c>
      <c r="C27" s="127" t="s">
        <v>1335</v>
      </c>
      <c r="D27" s="64" t="str">
        <f>$D$26</f>
        <v>USD Million</v>
      </c>
      <c r="E27" s="52"/>
      <c r="F27" s="55">
        <f>IF(User_Operation_Input!F27="N/A","",User_Operation_Input!F27*(VLOOKUP(User_Operation_Input!$D27,Unit_Map!$A$6:$C$18,3,0))/Unit_Map!B$3)</f>
        <v>0</v>
      </c>
      <c r="G27" s="55">
        <f>IF(User_Operation_Input!G27="N/A","",User_Operation_Input!G27*(VLOOKUP(User_Operation_Input!$D27,Unit_Map!$A$6:$C$18,3,0))/Unit_Map!C$3)</f>
        <v>0</v>
      </c>
      <c r="H27" s="55">
        <f>IF(User_Operation_Input!H27="N/A","",User_Operation_Input!H27*(VLOOKUP(User_Operation_Input!$D27,Unit_Map!$A$6:$C$18,3,0))/Unit_Map!D$3)</f>
        <v>0</v>
      </c>
      <c r="I27" s="55">
        <f>IF(User_Operation_Input!I27="N/A","",User_Operation_Input!I27*(VLOOKUP(User_Operation_Input!$D27,Unit_Map!$A$6:$C$18,3,0))/Unit_Map!E$3)</f>
        <v>0</v>
      </c>
      <c r="J27" s="55">
        <f>IF(User_Operation_Input!J27="N/A","",User_Operation_Input!J27*(VLOOKUP(User_Operation_Input!$D27,Unit_Map!$A$6:$C$18,3,0))/Unit_Map!F$3)</f>
        <v>0</v>
      </c>
      <c r="K27" s="55">
        <f>IF(User_Operation_Input!K27="N/A","",User_Operation_Input!K27*(VLOOKUP(User_Operation_Input!$D27,Unit_Map!$A$6:$C$18,3,0))/Unit_Map!G$3)</f>
        <v>0</v>
      </c>
      <c r="L27" s="55">
        <f>IF(User_Operation_Input!L27="N/A","",User_Operation_Input!L27*(VLOOKUP(User_Operation_Input!$D27,Unit_Map!$A$6:$C$18,3,0))/Unit_Map!H$3)</f>
        <v>0</v>
      </c>
      <c r="M27" s="55">
        <f>IF(User_Operation_Input!M27="N/A","",User_Operation_Input!M27*(VLOOKUP(User_Operation_Input!$D27,Unit_Map!$A$6:$C$18,3,0))/Unit_Map!I$3)</f>
        <v>0</v>
      </c>
      <c r="N27" s="55">
        <f>IF(User_Operation_Input!N27="N/A","",User_Operation_Input!N27*(VLOOKUP(User_Operation_Input!$D27,Unit_Map!$A$6:$C$18,3,0))/Unit_Map!J$3)</f>
        <v>0</v>
      </c>
      <c r="O27" s="159">
        <f>IF(OR(G27="",H27="",I27="",J27=""),"",SUM(G27*Unit_Map!C$3,H27*Unit_Map!D$3,I27*Unit_Map!E$3,J27*Unit_Map!F$3)/Unit_Map!K$3)</f>
        <v>0</v>
      </c>
      <c r="P27" s="24" t="s">
        <v>893</v>
      </c>
      <c r="Q27" s="24"/>
    </row>
    <row r="28" spans="1:17" x14ac:dyDescent="0.2">
      <c r="B28" s="260" t="s">
        <v>785</v>
      </c>
      <c r="C28" s="127" t="s">
        <v>1336</v>
      </c>
      <c r="D28" s="64" t="str">
        <f>$D$26</f>
        <v>USD Million</v>
      </c>
      <c r="E28" s="52"/>
      <c r="F28" s="55">
        <f>IF(User_Operation_Input!F28="N/A","",User_Operation_Input!F28*(VLOOKUP(User_Operation_Input!$D28,Unit_Map!$A$6:$C$18,3,0))/Unit_Map!B$3)</f>
        <v>0</v>
      </c>
      <c r="G28" s="55">
        <f>IF(User_Operation_Input!G28="N/A","",User_Operation_Input!G28*(VLOOKUP(User_Operation_Input!$D28,Unit_Map!$A$6:$C$18,3,0))/Unit_Map!C$3)</f>
        <v>0</v>
      </c>
      <c r="H28" s="55">
        <f>IF(User_Operation_Input!H28="N/A","",User_Operation_Input!H28*(VLOOKUP(User_Operation_Input!$D28,Unit_Map!$A$6:$C$18,3,0))/Unit_Map!D$3)</f>
        <v>0</v>
      </c>
      <c r="I28" s="55">
        <f>IF(User_Operation_Input!I28="N/A","",User_Operation_Input!I28*(VLOOKUP(User_Operation_Input!$D28,Unit_Map!$A$6:$C$18,3,0))/Unit_Map!E$3)</f>
        <v>0</v>
      </c>
      <c r="J28" s="55">
        <f>IF(User_Operation_Input!J28="N/A","",User_Operation_Input!J28*(VLOOKUP(User_Operation_Input!$D28,Unit_Map!$A$6:$C$18,3,0))/Unit_Map!F$3)</f>
        <v>0</v>
      </c>
      <c r="K28" s="55">
        <f>IF(User_Operation_Input!K28="N/A","",User_Operation_Input!K28*(VLOOKUP(User_Operation_Input!$D28,Unit_Map!$A$6:$C$18,3,0))/Unit_Map!G$3)</f>
        <v>0</v>
      </c>
      <c r="L28" s="55">
        <f>IF(User_Operation_Input!L28="N/A","",User_Operation_Input!L28*(VLOOKUP(User_Operation_Input!$D28,Unit_Map!$A$6:$C$18,3,0))/Unit_Map!H$3)</f>
        <v>0</v>
      </c>
      <c r="M28" s="55">
        <f>IF(User_Operation_Input!M28="N/A","",User_Operation_Input!M28*(VLOOKUP(User_Operation_Input!$D28,Unit_Map!$A$6:$C$18,3,0))/Unit_Map!I$3)</f>
        <v>0</v>
      </c>
      <c r="N28" s="55">
        <f>IF(User_Operation_Input!N28="N/A","",User_Operation_Input!N28*(VLOOKUP(User_Operation_Input!$D28,Unit_Map!$A$6:$C$18,3,0))/Unit_Map!J$3)</f>
        <v>0</v>
      </c>
      <c r="O28" s="125">
        <f>J28</f>
        <v>0</v>
      </c>
      <c r="P28" s="108" t="s">
        <v>894</v>
      </c>
      <c r="Q28" s="24"/>
    </row>
    <row r="29" spans="1:17" x14ac:dyDescent="0.2">
      <c r="B29" s="198"/>
      <c r="C29" s="247"/>
      <c r="D29" s="52"/>
      <c r="E29" s="52"/>
      <c r="F29" s="52"/>
      <c r="G29" s="52"/>
      <c r="H29" s="52"/>
      <c r="I29" s="52"/>
      <c r="J29" s="52"/>
      <c r="K29" s="52"/>
      <c r="L29" s="52"/>
      <c r="M29" s="52"/>
      <c r="N29" s="204"/>
      <c r="O29" s="52"/>
      <c r="P29" s="144" t="s">
        <v>895</v>
      </c>
      <c r="Q29" s="24"/>
    </row>
    <row r="30" spans="1:17" x14ac:dyDescent="0.2">
      <c r="B30" s="243" t="s">
        <v>628</v>
      </c>
      <c r="C30" s="249" t="s">
        <v>1210</v>
      </c>
      <c r="D30" s="247"/>
      <c r="E30" s="52"/>
      <c r="F30" s="52"/>
      <c r="G30" s="52"/>
      <c r="H30" s="52"/>
      <c r="I30" s="52"/>
      <c r="J30" s="52"/>
      <c r="K30" s="52"/>
      <c r="L30" s="52"/>
      <c r="M30" s="52"/>
      <c r="N30" s="52"/>
      <c r="O30" s="52"/>
      <c r="P30" s="144"/>
      <c r="Q30" s="24"/>
    </row>
    <row r="31" spans="1:17" x14ac:dyDescent="0.2">
      <c r="B31" s="260" t="s">
        <v>629</v>
      </c>
      <c r="C31" s="241" t="s">
        <v>1479</v>
      </c>
      <c r="D31" s="64" t="s">
        <v>1289</v>
      </c>
      <c r="E31" s="52"/>
      <c r="F31" s="55">
        <f>IF(User_Operation_Input!F31="N/A","",User_Operation_Input!F31)</f>
        <v>0</v>
      </c>
      <c r="G31" s="55">
        <f>IF(User_Operation_Input!G31="N/A","",User_Operation_Input!G31)</f>
        <v>0</v>
      </c>
      <c r="H31" s="55">
        <f>IF(User_Operation_Input!H31="N/A","",User_Operation_Input!H31)</f>
        <v>0</v>
      </c>
      <c r="I31" s="55">
        <f>IF(User_Operation_Input!I31="N/A","",User_Operation_Input!I31)</f>
        <v>0</v>
      </c>
      <c r="J31" s="55">
        <f>IF(User_Operation_Input!J31="N/A","",User_Operation_Input!J31)</f>
        <v>0</v>
      </c>
      <c r="K31" s="55">
        <f>IF(User_Operation_Input!K31="N/A","",User_Operation_Input!K31)</f>
        <v>0</v>
      </c>
      <c r="L31" s="55">
        <f>IF(User_Operation_Input!L31="N/A","",User_Operation_Input!L31)</f>
        <v>0</v>
      </c>
      <c r="M31" s="55">
        <f>IF(User_Operation_Input!M31="N/A","",User_Operation_Input!M31)</f>
        <v>0</v>
      </c>
      <c r="N31" s="55">
        <f>IF(User_Operation_Input!N31="N/A","",User_Operation_Input!N31)</f>
        <v>0</v>
      </c>
      <c r="O31" s="125">
        <f>J31</f>
        <v>0</v>
      </c>
      <c r="P31" s="24"/>
      <c r="Q31" s="24"/>
    </row>
    <row r="32" spans="1:17" x14ac:dyDescent="0.2">
      <c r="B32" s="243" t="s">
        <v>630</v>
      </c>
      <c r="C32" s="209" t="s">
        <v>1126</v>
      </c>
      <c r="D32" s="256" t="s">
        <v>1289</v>
      </c>
      <c r="E32" s="52"/>
      <c r="F32" s="158">
        <f t="shared" ref="F32:O32" si="1">IF(AND(F33="",F34="",F35="",F36=""),"",SUM(F33:F36))</f>
        <v>0</v>
      </c>
      <c r="G32" s="158">
        <f t="shared" si="1"/>
        <v>0</v>
      </c>
      <c r="H32" s="158">
        <f t="shared" si="1"/>
        <v>0</v>
      </c>
      <c r="I32" s="158">
        <f t="shared" si="1"/>
        <v>0</v>
      </c>
      <c r="J32" s="158">
        <f t="shared" si="1"/>
        <v>0</v>
      </c>
      <c r="K32" s="158">
        <f t="shared" si="1"/>
        <v>0</v>
      </c>
      <c r="L32" s="158">
        <f t="shared" si="1"/>
        <v>0</v>
      </c>
      <c r="M32" s="158">
        <f t="shared" si="1"/>
        <v>0</v>
      </c>
      <c r="N32" s="158">
        <f t="shared" si="1"/>
        <v>0</v>
      </c>
      <c r="O32" s="158">
        <f t="shared" si="1"/>
        <v>0</v>
      </c>
      <c r="P32" s="24"/>
      <c r="Q32" s="24"/>
    </row>
    <row r="33" spans="2:17" x14ac:dyDescent="0.2">
      <c r="B33" s="260" t="s">
        <v>1143</v>
      </c>
      <c r="C33" s="241" t="s">
        <v>1127</v>
      </c>
      <c r="D33" s="256" t="s">
        <v>1289</v>
      </c>
      <c r="E33" s="52"/>
      <c r="F33" s="55">
        <f>IF(User_Operation_Input!F33="N/A","",User_Operation_Input!F33)</f>
        <v>0</v>
      </c>
      <c r="G33" s="55">
        <f>IF(User_Operation_Input!G33="N/A","",User_Operation_Input!G33)</f>
        <v>0</v>
      </c>
      <c r="H33" s="55">
        <f>IF(User_Operation_Input!H33="N/A","",User_Operation_Input!H33)</f>
        <v>0</v>
      </c>
      <c r="I33" s="55">
        <f>IF(User_Operation_Input!I33="N/A","",User_Operation_Input!I33)</f>
        <v>0</v>
      </c>
      <c r="J33" s="55">
        <f>IF(User_Operation_Input!J33="N/A","",User_Operation_Input!J33)</f>
        <v>0</v>
      </c>
      <c r="K33" s="55">
        <f>IF(User_Operation_Input!K33="N/A","",User_Operation_Input!K33)</f>
        <v>0</v>
      </c>
      <c r="L33" s="55">
        <f>IF(User_Operation_Input!L33="N/A","",User_Operation_Input!L33)</f>
        <v>0</v>
      </c>
      <c r="M33" s="55">
        <f>IF(User_Operation_Input!M33="N/A","",User_Operation_Input!M33)</f>
        <v>0</v>
      </c>
      <c r="N33" s="55">
        <f>IF(User_Operation_Input!N33="N/A","",User_Operation_Input!N33)</f>
        <v>0</v>
      </c>
      <c r="O33" s="57">
        <f>J33</f>
        <v>0</v>
      </c>
      <c r="P33" s="144"/>
    </row>
    <row r="34" spans="2:17" x14ac:dyDescent="0.2">
      <c r="B34" s="260" t="s">
        <v>1144</v>
      </c>
      <c r="C34" s="241" t="s">
        <v>1128</v>
      </c>
      <c r="D34" s="256" t="s">
        <v>1289</v>
      </c>
      <c r="E34" s="52"/>
      <c r="F34" s="55">
        <f>IF(User_Operation_Input!F34="N/A","",User_Operation_Input!F34)</f>
        <v>0</v>
      </c>
      <c r="G34" s="55">
        <f>IF(User_Operation_Input!G34="N/A","",User_Operation_Input!G34)</f>
        <v>0</v>
      </c>
      <c r="H34" s="55">
        <f>IF(User_Operation_Input!H34="N/A","",User_Operation_Input!H34)</f>
        <v>0</v>
      </c>
      <c r="I34" s="55">
        <f>IF(User_Operation_Input!I34="N/A","",User_Operation_Input!I34)</f>
        <v>0</v>
      </c>
      <c r="J34" s="55">
        <f>IF(User_Operation_Input!J34="N/A","",User_Operation_Input!J34)</f>
        <v>0</v>
      </c>
      <c r="K34" s="55">
        <f>IF(User_Operation_Input!K34="N/A","",User_Operation_Input!K34)</f>
        <v>0</v>
      </c>
      <c r="L34" s="55">
        <f>IF(User_Operation_Input!L34="N/A","",User_Operation_Input!L34)</f>
        <v>0</v>
      </c>
      <c r="M34" s="55">
        <f>IF(User_Operation_Input!M34="N/A","",User_Operation_Input!M34)</f>
        <v>0</v>
      </c>
      <c r="N34" s="55">
        <f>IF(User_Operation_Input!N34="N/A","",User_Operation_Input!N34)</f>
        <v>0</v>
      </c>
      <c r="O34" s="57">
        <f>J34</f>
        <v>0</v>
      </c>
      <c r="P34" s="24"/>
      <c r="Q34" s="24"/>
    </row>
    <row r="35" spans="2:17" x14ac:dyDescent="0.2">
      <c r="B35" s="260" t="s">
        <v>1145</v>
      </c>
      <c r="C35" s="241" t="s">
        <v>1129</v>
      </c>
      <c r="D35" s="256" t="s">
        <v>1289</v>
      </c>
      <c r="E35" s="52"/>
      <c r="F35" s="55">
        <f>IF(User_Operation_Input!F35="N/A","",User_Operation_Input!F35)</f>
        <v>0</v>
      </c>
      <c r="G35" s="55">
        <f>IF(User_Operation_Input!G35="N/A","",User_Operation_Input!G35)</f>
        <v>0</v>
      </c>
      <c r="H35" s="55">
        <f>IF(User_Operation_Input!H35="N/A","",User_Operation_Input!H35)</f>
        <v>0</v>
      </c>
      <c r="I35" s="55">
        <f>IF(User_Operation_Input!I35="N/A","",User_Operation_Input!I35)</f>
        <v>0</v>
      </c>
      <c r="J35" s="55">
        <f>IF(User_Operation_Input!J35="N/A","",User_Operation_Input!J35)</f>
        <v>0</v>
      </c>
      <c r="K35" s="55">
        <f>IF(User_Operation_Input!K35="N/A","",User_Operation_Input!K35)</f>
        <v>0</v>
      </c>
      <c r="L35" s="55">
        <f>IF(User_Operation_Input!L35="N/A","",User_Operation_Input!L35)</f>
        <v>0</v>
      </c>
      <c r="M35" s="55">
        <f>IF(User_Operation_Input!M35="N/A","",User_Operation_Input!M35)</f>
        <v>0</v>
      </c>
      <c r="N35" s="55">
        <f>IF(User_Operation_Input!N35="N/A","",User_Operation_Input!N35)</f>
        <v>0</v>
      </c>
      <c r="O35" s="57">
        <f>J35</f>
        <v>0</v>
      </c>
      <c r="P35" s="24"/>
      <c r="Q35" s="24"/>
    </row>
    <row r="36" spans="2:17" x14ac:dyDescent="0.2">
      <c r="B36" s="260" t="s">
        <v>1146</v>
      </c>
      <c r="C36" s="241" t="s">
        <v>1506</v>
      </c>
      <c r="D36" s="256" t="s">
        <v>1289</v>
      </c>
      <c r="E36" s="52"/>
      <c r="F36" s="55">
        <f>IF(User_Operation_Input!F36="N/A","",User_Operation_Input!F36)</f>
        <v>0</v>
      </c>
      <c r="G36" s="55">
        <f>IF(User_Operation_Input!G36="N/A","",User_Operation_Input!G36)</f>
        <v>0</v>
      </c>
      <c r="H36" s="55">
        <f>IF(User_Operation_Input!H36="N/A","",User_Operation_Input!H36)</f>
        <v>0</v>
      </c>
      <c r="I36" s="55">
        <f>IF(User_Operation_Input!I36="N/A","",User_Operation_Input!I36)</f>
        <v>0</v>
      </c>
      <c r="J36" s="55">
        <f>IF(User_Operation_Input!J36="N/A","",User_Operation_Input!J36)</f>
        <v>0</v>
      </c>
      <c r="K36" s="55">
        <f>IF(User_Operation_Input!K36="N/A","",User_Operation_Input!K36)</f>
        <v>0</v>
      </c>
      <c r="L36" s="55">
        <f>IF(User_Operation_Input!L36="N/A","",User_Operation_Input!L36)</f>
        <v>0</v>
      </c>
      <c r="M36" s="55">
        <f>IF(User_Operation_Input!M36="N/A","",User_Operation_Input!M36)</f>
        <v>0</v>
      </c>
      <c r="N36" s="55">
        <f>IF(User_Operation_Input!N36="N/A","",User_Operation_Input!N36)</f>
        <v>0</v>
      </c>
      <c r="O36" s="57">
        <f>J36</f>
        <v>0</v>
      </c>
      <c r="P36" s="24"/>
      <c r="Q36" s="24"/>
    </row>
    <row r="37" spans="2:17" x14ac:dyDescent="0.2">
      <c r="B37" s="198"/>
      <c r="C37" s="248"/>
      <c r="D37" s="53"/>
      <c r="E37" s="53"/>
      <c r="F37" s="53"/>
      <c r="G37" s="53"/>
      <c r="H37" s="53"/>
      <c r="I37" s="53"/>
      <c r="J37" s="53"/>
      <c r="K37" s="53"/>
      <c r="L37" s="53"/>
      <c r="M37" s="53"/>
      <c r="N37" s="205"/>
      <c r="O37" s="53"/>
      <c r="P37" s="24"/>
      <c r="Q37" s="24"/>
    </row>
    <row r="38" spans="2:17" x14ac:dyDescent="0.2">
      <c r="B38" s="243" t="s">
        <v>631</v>
      </c>
      <c r="C38" s="249" t="s">
        <v>1337</v>
      </c>
      <c r="D38" s="53"/>
      <c r="E38" s="53"/>
      <c r="F38" s="53"/>
      <c r="G38" s="53"/>
      <c r="H38" s="53"/>
      <c r="I38" s="53"/>
      <c r="J38" s="53"/>
      <c r="K38" s="53"/>
      <c r="L38" s="53"/>
      <c r="M38" s="53"/>
      <c r="N38" s="205"/>
      <c r="O38" s="53"/>
      <c r="P38" s="24"/>
      <c r="Q38" s="24"/>
    </row>
    <row r="39" spans="2:17" x14ac:dyDescent="0.2">
      <c r="B39" s="260" t="s">
        <v>632</v>
      </c>
      <c r="C39" s="241" t="s">
        <v>1204</v>
      </c>
      <c r="D39" s="64" t="str">
        <f>$D$26</f>
        <v>USD Million</v>
      </c>
      <c r="E39" s="53"/>
      <c r="F39" s="55">
        <f>IF(User_Operation_Input!F39="N/A","",User_Operation_Input!F39*(VLOOKUP(User_Operation_Input!$D39,Unit_Map!$A$6:$C$18,3,0))/Unit_Map!B$3)</f>
        <v>0</v>
      </c>
      <c r="G39" s="55">
        <f>IF(User_Operation_Input!G39="N/A","",User_Operation_Input!G39*(VLOOKUP(User_Operation_Input!$D39,Unit_Map!$A$6:$C$18,3,0))/Unit_Map!C$3)</f>
        <v>0</v>
      </c>
      <c r="H39" s="55">
        <f>IF(User_Operation_Input!H39="N/A","",User_Operation_Input!H39*(VLOOKUP(User_Operation_Input!$D39,Unit_Map!$A$6:$C$18,3,0))/Unit_Map!D$3)</f>
        <v>0</v>
      </c>
      <c r="I39" s="55">
        <f>IF(User_Operation_Input!I39="N/A","",User_Operation_Input!I39*(VLOOKUP(User_Operation_Input!$D39,Unit_Map!$A$6:$C$18,3,0))/Unit_Map!E$3)</f>
        <v>0</v>
      </c>
      <c r="J39" s="55">
        <f>IF(User_Operation_Input!J39="N/A","",User_Operation_Input!J39*(VLOOKUP(User_Operation_Input!$D39,Unit_Map!$A$6:$C$18,3,0))/Unit_Map!F$3)</f>
        <v>0</v>
      </c>
      <c r="K39" s="55">
        <f>IF(User_Operation_Input!K39="N/A","",User_Operation_Input!K39*(VLOOKUP(User_Operation_Input!$D39,Unit_Map!$A$6:$C$18,3,0))/Unit_Map!G$3)</f>
        <v>0</v>
      </c>
      <c r="L39" s="55">
        <f>IF(User_Operation_Input!L39="N/A","",User_Operation_Input!L39*(VLOOKUP(User_Operation_Input!$D39,Unit_Map!$A$6:$C$18,3,0))/Unit_Map!H$3)</f>
        <v>0</v>
      </c>
      <c r="M39" s="55">
        <f>IF(User_Operation_Input!M39="N/A","",User_Operation_Input!M39*(VLOOKUP(User_Operation_Input!$D39,Unit_Map!$A$6:$C$18,3,0))/Unit_Map!I$3)</f>
        <v>0</v>
      </c>
      <c r="N39" s="55">
        <f>IF(User_Operation_Input!N39="N/A","",User_Operation_Input!N39*(VLOOKUP(User_Operation_Input!$D39,Unit_Map!$A$6:$C$18,3,0))/Unit_Map!J$3)</f>
        <v>0</v>
      </c>
      <c r="O39" s="57">
        <f>J39</f>
        <v>0</v>
      </c>
      <c r="P39" s="24"/>
      <c r="Q39" s="24"/>
    </row>
    <row r="40" spans="2:17" x14ac:dyDescent="0.2">
      <c r="B40" s="260" t="s">
        <v>633</v>
      </c>
      <c r="C40" s="241" t="s">
        <v>1214</v>
      </c>
      <c r="D40" s="64" t="str">
        <f>$D$26</f>
        <v>USD Million</v>
      </c>
      <c r="E40" s="52"/>
      <c r="F40" s="55">
        <f>IF(User_Operation_Input!F40="N/A","",User_Operation_Input!F40*(VLOOKUP(User_Operation_Input!$D40,Unit_Map!$A$6:$C$18,3,0))/Unit_Map!B$3)</f>
        <v>0</v>
      </c>
      <c r="G40" s="55">
        <f>IF(User_Operation_Input!G40="N/A","",User_Operation_Input!G40*(VLOOKUP(User_Operation_Input!$D40,Unit_Map!$A$6:$C$18,3,0))/Unit_Map!C$3)</f>
        <v>0</v>
      </c>
      <c r="H40" s="55">
        <f>IF(User_Operation_Input!H40="N/A","",User_Operation_Input!H40*(VLOOKUP(User_Operation_Input!$D40,Unit_Map!$A$6:$C$18,3,0))/Unit_Map!D$3)</f>
        <v>0</v>
      </c>
      <c r="I40" s="55">
        <f>IF(User_Operation_Input!I40="N/A","",User_Operation_Input!I40*(VLOOKUP(User_Operation_Input!$D40,Unit_Map!$A$6:$C$18,3,0))/Unit_Map!E$3)</f>
        <v>0</v>
      </c>
      <c r="J40" s="55">
        <f>IF(User_Operation_Input!J40="N/A","",User_Operation_Input!J40*(VLOOKUP(User_Operation_Input!$D40,Unit_Map!$A$6:$C$18,3,0))/Unit_Map!F$3)</f>
        <v>0</v>
      </c>
      <c r="K40" s="55">
        <f>IF(User_Operation_Input!K40="N/A","",User_Operation_Input!K40*(VLOOKUP(User_Operation_Input!$D40,Unit_Map!$A$6:$C$18,3,0))/Unit_Map!G$3)</f>
        <v>0</v>
      </c>
      <c r="L40" s="55">
        <f>IF(User_Operation_Input!L40="N/A","",User_Operation_Input!L40*(VLOOKUP(User_Operation_Input!$D40,Unit_Map!$A$6:$C$18,3,0))/Unit_Map!H$3)</f>
        <v>0</v>
      </c>
      <c r="M40" s="55">
        <f>IF(User_Operation_Input!M40="N/A","",User_Operation_Input!M40*(VLOOKUP(User_Operation_Input!$D40,Unit_Map!$A$6:$C$18,3,0))/Unit_Map!I$3)</f>
        <v>0</v>
      </c>
      <c r="N40" s="55">
        <f>IF(User_Operation_Input!N40="N/A","",User_Operation_Input!N40*(VLOOKUP(User_Operation_Input!$D40,Unit_Map!$A$6:$C$18,3,0))/Unit_Map!J$3)</f>
        <v>0</v>
      </c>
      <c r="O40" s="57">
        <f>J40</f>
        <v>0</v>
      </c>
      <c r="P40" s="24"/>
      <c r="Q40" s="24"/>
    </row>
    <row r="41" spans="2:17" x14ac:dyDescent="0.2">
      <c r="B41" s="260" t="s">
        <v>1187</v>
      </c>
      <c r="C41" s="241" t="s">
        <v>1303</v>
      </c>
      <c r="D41" s="64" t="str">
        <f>$D$26</f>
        <v>USD Million</v>
      </c>
      <c r="E41" s="52"/>
      <c r="F41" s="158">
        <f t="shared" ref="F41:O41" si="2">IF(AND(F39="",F40=""),"",SUM(F39,F40))</f>
        <v>0</v>
      </c>
      <c r="G41" s="158">
        <f t="shared" si="2"/>
        <v>0</v>
      </c>
      <c r="H41" s="158">
        <f t="shared" si="2"/>
        <v>0</v>
      </c>
      <c r="I41" s="158">
        <f t="shared" si="2"/>
        <v>0</v>
      </c>
      <c r="J41" s="158">
        <f t="shared" si="2"/>
        <v>0</v>
      </c>
      <c r="K41" s="158">
        <f t="shared" si="2"/>
        <v>0</v>
      </c>
      <c r="L41" s="158">
        <f t="shared" si="2"/>
        <v>0</v>
      </c>
      <c r="M41" s="158">
        <f t="shared" si="2"/>
        <v>0</v>
      </c>
      <c r="N41" s="158">
        <f t="shared" si="2"/>
        <v>0</v>
      </c>
      <c r="O41" s="158">
        <f t="shared" si="2"/>
        <v>0</v>
      </c>
      <c r="P41" s="24"/>
      <c r="Q41" s="24"/>
    </row>
    <row r="42" spans="2:17" x14ac:dyDescent="0.2">
      <c r="B42" s="198"/>
      <c r="C42" s="247"/>
      <c r="D42" s="52"/>
      <c r="E42" s="52"/>
      <c r="F42" s="52"/>
      <c r="G42" s="52"/>
      <c r="H42" s="52"/>
      <c r="I42" s="52"/>
      <c r="J42" s="52"/>
      <c r="K42" s="52"/>
      <c r="L42" s="52"/>
      <c r="M42" s="52"/>
      <c r="N42" s="204"/>
      <c r="O42" s="52"/>
      <c r="P42" s="24"/>
      <c r="Q42" s="24"/>
    </row>
    <row r="43" spans="2:17" x14ac:dyDescent="0.2">
      <c r="B43" s="243" t="s">
        <v>1109</v>
      </c>
      <c r="C43" s="249" t="s">
        <v>1080</v>
      </c>
      <c r="D43" s="53"/>
      <c r="E43" s="52"/>
      <c r="F43" s="53"/>
      <c r="G43" s="53"/>
      <c r="H43" s="53"/>
      <c r="I43" s="53"/>
      <c r="J43" s="53"/>
      <c r="K43" s="53"/>
      <c r="L43" s="53"/>
      <c r="M43" s="53"/>
      <c r="N43" s="53"/>
      <c r="O43" s="53"/>
      <c r="P43" s="24" t="s">
        <v>897</v>
      </c>
    </row>
    <row r="44" spans="2:17" x14ac:dyDescent="0.2">
      <c r="B44" s="260" t="s">
        <v>634</v>
      </c>
      <c r="C44" s="241" t="s">
        <v>1523</v>
      </c>
      <c r="D44" s="256" t="s">
        <v>1501</v>
      </c>
      <c r="E44" s="52"/>
      <c r="F44" s="55">
        <f>IF(User_Operation_Input!F44="N/A","",User_Operation_Input!F44)</f>
        <v>0</v>
      </c>
      <c r="G44" s="55">
        <f>IF(User_Operation_Input!G44="N/A","",User_Operation_Input!G44)</f>
        <v>0</v>
      </c>
      <c r="H44" s="55">
        <f>IF(User_Operation_Input!H44="N/A","",User_Operation_Input!H44)</f>
        <v>0</v>
      </c>
      <c r="I44" s="55">
        <f>IF(User_Operation_Input!I44="N/A","",User_Operation_Input!I44)</f>
        <v>0</v>
      </c>
      <c r="J44" s="55">
        <f>IF(User_Operation_Input!J44="N/A","",User_Operation_Input!J44)</f>
        <v>0</v>
      </c>
      <c r="K44" s="55">
        <f>IF(User_Operation_Input!K44="N/A","",User_Operation_Input!K44)</f>
        <v>0</v>
      </c>
      <c r="L44" s="55">
        <f>IF(User_Operation_Input!L44="N/A","",User_Operation_Input!L44)</f>
        <v>0</v>
      </c>
      <c r="M44" s="55">
        <f>IF(User_Operation_Input!M44="N/A","",User_Operation_Input!M44)</f>
        <v>0</v>
      </c>
      <c r="N44" s="55">
        <f>IF(User_Operation_Input!N44="N/A","",User_Operation_Input!N44)</f>
        <v>0</v>
      </c>
      <c r="O44" s="57">
        <f>J44</f>
        <v>0</v>
      </c>
      <c r="P44" s="24" t="s">
        <v>776</v>
      </c>
    </row>
    <row r="45" spans="2:17" s="231" customFormat="1" x14ac:dyDescent="0.2">
      <c r="B45" s="260" t="s">
        <v>635</v>
      </c>
      <c r="C45" s="241" t="s">
        <v>1315</v>
      </c>
      <c r="D45" s="256" t="s">
        <v>1279</v>
      </c>
      <c r="E45" s="247"/>
      <c r="F45" s="55">
        <f>IF(User_Operation_Input!F45="N/A","",User_Operation_Input!F45)</f>
        <v>0</v>
      </c>
      <c r="G45" s="55">
        <f>IF(User_Operation_Input!G45="N/A","",User_Operation_Input!G45)</f>
        <v>0</v>
      </c>
      <c r="H45" s="55">
        <f>IF(User_Operation_Input!H45="N/A","",User_Operation_Input!H45)</f>
        <v>0</v>
      </c>
      <c r="I45" s="55">
        <f>IF(User_Operation_Input!I45="N/A","",User_Operation_Input!I45)</f>
        <v>0</v>
      </c>
      <c r="J45" s="55">
        <f>IF(User_Operation_Input!J45="N/A","",User_Operation_Input!J45)</f>
        <v>0</v>
      </c>
      <c r="K45" s="55">
        <f>IF(User_Operation_Input!K45="N/A","",User_Operation_Input!K45)</f>
        <v>0</v>
      </c>
      <c r="L45" s="55">
        <f>IF(User_Operation_Input!L45="N/A","",User_Operation_Input!L45)</f>
        <v>0</v>
      </c>
      <c r="M45" s="55">
        <f>IF(User_Operation_Input!M45="N/A","",User_Operation_Input!M45)</f>
        <v>0</v>
      </c>
      <c r="N45" s="55">
        <f>IF(User_Operation_Input!N45="N/A","",User_Operation_Input!N45)</f>
        <v>0</v>
      </c>
      <c r="O45" s="57">
        <f>J45</f>
        <v>0</v>
      </c>
      <c r="P45" s="238"/>
    </row>
    <row r="46" spans="2:17" x14ac:dyDescent="0.2">
      <c r="B46" s="243" t="s">
        <v>1339</v>
      </c>
      <c r="C46" s="249" t="s">
        <v>1338</v>
      </c>
      <c r="D46" s="256" t="s">
        <v>1279</v>
      </c>
      <c r="E46" s="52"/>
      <c r="F46" s="158">
        <f t="shared" ref="F46:O46" si="3">IF(AND(F47="",F48="",F49=""),"",SUM(F47:F49))</f>
        <v>0</v>
      </c>
      <c r="G46" s="158">
        <f t="shared" si="3"/>
        <v>0</v>
      </c>
      <c r="H46" s="158">
        <f t="shared" si="3"/>
        <v>0</v>
      </c>
      <c r="I46" s="158">
        <f t="shared" si="3"/>
        <v>0</v>
      </c>
      <c r="J46" s="158">
        <f t="shared" si="3"/>
        <v>0</v>
      </c>
      <c r="K46" s="158">
        <f t="shared" si="3"/>
        <v>0</v>
      </c>
      <c r="L46" s="158">
        <f t="shared" si="3"/>
        <v>0</v>
      </c>
      <c r="M46" s="158">
        <f t="shared" si="3"/>
        <v>0</v>
      </c>
      <c r="N46" s="158">
        <f t="shared" si="3"/>
        <v>0</v>
      </c>
      <c r="O46" s="158">
        <f t="shared" si="3"/>
        <v>0</v>
      </c>
      <c r="P46" s="24" t="s">
        <v>1209</v>
      </c>
    </row>
    <row r="47" spans="2:17" x14ac:dyDescent="0.2">
      <c r="B47" s="260" t="s">
        <v>1340</v>
      </c>
      <c r="C47" s="241" t="s">
        <v>1494</v>
      </c>
      <c r="D47" s="256" t="s">
        <v>1279</v>
      </c>
      <c r="E47" s="52"/>
      <c r="F47" s="55">
        <f>IF(User_Operation_Input!F47="N/A","",User_Operation_Input!F47)</f>
        <v>0</v>
      </c>
      <c r="G47" s="55">
        <f>IF(User_Operation_Input!G47="N/A","",User_Operation_Input!G47)</f>
        <v>0</v>
      </c>
      <c r="H47" s="55">
        <f>IF(User_Operation_Input!H47="N/A","",User_Operation_Input!H47)</f>
        <v>0</v>
      </c>
      <c r="I47" s="55">
        <f>IF(User_Operation_Input!I47="N/A","",User_Operation_Input!I47)</f>
        <v>0</v>
      </c>
      <c r="J47" s="55">
        <f>IF(User_Operation_Input!J47="N/A","",User_Operation_Input!J47)</f>
        <v>0</v>
      </c>
      <c r="K47" s="55">
        <f>IF(User_Operation_Input!K47="N/A","",User_Operation_Input!K47)</f>
        <v>0</v>
      </c>
      <c r="L47" s="55">
        <f>IF(User_Operation_Input!L47="N/A","",User_Operation_Input!L47)</f>
        <v>0</v>
      </c>
      <c r="M47" s="55">
        <f>IF(User_Operation_Input!M47="N/A","",User_Operation_Input!M47)</f>
        <v>0</v>
      </c>
      <c r="N47" s="55">
        <f>IF(User_Operation_Input!N47="N/A","",User_Operation_Input!N47)</f>
        <v>0</v>
      </c>
      <c r="O47" s="57">
        <f>J47</f>
        <v>0</v>
      </c>
      <c r="P47" s="24" t="s">
        <v>898</v>
      </c>
    </row>
    <row r="48" spans="2:17" x14ac:dyDescent="0.2">
      <c r="B48" s="260" t="s">
        <v>1341</v>
      </c>
      <c r="C48" s="241" t="s">
        <v>1091</v>
      </c>
      <c r="D48" s="256" t="s">
        <v>1279</v>
      </c>
      <c r="E48" s="52"/>
      <c r="F48" s="55">
        <f>IF(User_Operation_Input!F48="N/A","",User_Operation_Input!F48)</f>
        <v>0</v>
      </c>
      <c r="G48" s="55">
        <f>IF(User_Operation_Input!G48="N/A","",User_Operation_Input!G48)</f>
        <v>0</v>
      </c>
      <c r="H48" s="55">
        <f>IF(User_Operation_Input!H48="N/A","",User_Operation_Input!H48)</f>
        <v>0</v>
      </c>
      <c r="I48" s="55">
        <f>IF(User_Operation_Input!I48="N/A","",User_Operation_Input!I48)</f>
        <v>0</v>
      </c>
      <c r="J48" s="55">
        <f>IF(User_Operation_Input!J48="N/A","",User_Operation_Input!J48)</f>
        <v>0</v>
      </c>
      <c r="K48" s="55">
        <f>IF(User_Operation_Input!K48="N/A","",User_Operation_Input!K48)</f>
        <v>0</v>
      </c>
      <c r="L48" s="55">
        <f>IF(User_Operation_Input!L48="N/A","",User_Operation_Input!L48)</f>
        <v>0</v>
      </c>
      <c r="M48" s="55">
        <f>IF(User_Operation_Input!M48="N/A","",User_Operation_Input!M48)</f>
        <v>0</v>
      </c>
      <c r="N48" s="55">
        <f>IF(User_Operation_Input!N48="N/A","",User_Operation_Input!N48)</f>
        <v>0</v>
      </c>
      <c r="O48" s="57">
        <f>J48</f>
        <v>0</v>
      </c>
      <c r="P48" s="24"/>
    </row>
    <row r="49" spans="2:16" s="231" customFormat="1" x14ac:dyDescent="0.2">
      <c r="B49" s="260" t="s">
        <v>1342</v>
      </c>
      <c r="C49" s="241" t="s">
        <v>1506</v>
      </c>
      <c r="D49" s="256" t="s">
        <v>1279</v>
      </c>
      <c r="E49" s="247"/>
      <c r="F49" s="55">
        <f>IF(User_Operation_Input!F49="N/A","",User_Operation_Input!F49)</f>
        <v>0</v>
      </c>
      <c r="G49" s="55">
        <f>IF(User_Operation_Input!G49="N/A","",User_Operation_Input!G49)</f>
        <v>0</v>
      </c>
      <c r="H49" s="55">
        <f>IF(User_Operation_Input!H49="N/A","",User_Operation_Input!H49)</f>
        <v>0</v>
      </c>
      <c r="I49" s="55">
        <f>IF(User_Operation_Input!I49="N/A","",User_Operation_Input!I49)</f>
        <v>0</v>
      </c>
      <c r="J49" s="55">
        <f>IF(User_Operation_Input!J49="N/A","",User_Operation_Input!J49)</f>
        <v>0</v>
      </c>
      <c r="K49" s="55">
        <f>IF(User_Operation_Input!K49="N/A","",User_Operation_Input!K49)</f>
        <v>0</v>
      </c>
      <c r="L49" s="55">
        <f>IF(User_Operation_Input!L49="N/A","",User_Operation_Input!L49)</f>
        <v>0</v>
      </c>
      <c r="M49" s="55">
        <f>IF(User_Operation_Input!M49="N/A","",User_Operation_Input!M49)</f>
        <v>0</v>
      </c>
      <c r="N49" s="55">
        <f>IF(User_Operation_Input!N49="N/A","",User_Operation_Input!N49)</f>
        <v>0</v>
      </c>
      <c r="O49" s="57">
        <f>J49</f>
        <v>0</v>
      </c>
      <c r="P49" s="238"/>
    </row>
    <row r="50" spans="2:16" x14ac:dyDescent="0.2">
      <c r="B50" s="198"/>
      <c r="C50" s="248"/>
      <c r="D50" s="53"/>
      <c r="E50" s="53"/>
      <c r="F50" s="53"/>
      <c r="G50" s="53"/>
      <c r="H50" s="53"/>
      <c r="I50" s="53"/>
      <c r="J50" s="53"/>
      <c r="K50" s="53"/>
      <c r="L50" s="53"/>
      <c r="M50" s="53"/>
      <c r="N50" s="205"/>
      <c r="O50" s="53"/>
      <c r="P50" s="100" t="s">
        <v>896</v>
      </c>
    </row>
    <row r="51" spans="2:16" x14ac:dyDescent="0.2">
      <c r="B51" s="243" t="s">
        <v>636</v>
      </c>
      <c r="C51" s="249" t="s">
        <v>1253</v>
      </c>
      <c r="D51" s="53"/>
      <c r="E51" s="52"/>
      <c r="F51" s="53"/>
      <c r="G51" s="53"/>
      <c r="H51" s="53"/>
      <c r="I51" s="53"/>
      <c r="J51" s="53"/>
      <c r="K51" s="53"/>
      <c r="L51" s="53"/>
      <c r="M51" s="53"/>
      <c r="N51" s="205"/>
      <c r="O51" s="53"/>
      <c r="P51" s="46"/>
    </row>
    <row r="52" spans="2:16" x14ac:dyDescent="0.2">
      <c r="B52" s="260" t="s">
        <v>1097</v>
      </c>
      <c r="C52" s="241" t="s">
        <v>1081</v>
      </c>
      <c r="D52" s="256" t="s">
        <v>1248</v>
      </c>
      <c r="E52" s="52"/>
      <c r="F52" s="55">
        <f>IF(User_Operation_Input!F52="N/A","",User_Operation_Input!F52*(VLOOKUP(User_Operation_Input!$D52,Unit_Map!$A$6:$C$18,3,0)))</f>
        <v>0</v>
      </c>
      <c r="G52" s="55">
        <f>IF(User_Operation_Input!G52="N/A","",User_Operation_Input!G52*(VLOOKUP(User_Operation_Input!$D52,Unit_Map!$A$6:$C$18,3,0)))</f>
        <v>0</v>
      </c>
      <c r="H52" s="55">
        <f>IF(User_Operation_Input!H52="N/A","",User_Operation_Input!H52*(VLOOKUP(User_Operation_Input!$D52,Unit_Map!$A$6:$C$18,3,0)))</f>
        <v>0</v>
      </c>
      <c r="I52" s="55">
        <f>IF(User_Operation_Input!I52="N/A","",User_Operation_Input!I52*(VLOOKUP(User_Operation_Input!$D52,Unit_Map!$A$6:$C$18,3,0)))</f>
        <v>0</v>
      </c>
      <c r="J52" s="55">
        <f>IF(User_Operation_Input!J52="N/A","",User_Operation_Input!J52*(VLOOKUP(User_Operation_Input!$D52,Unit_Map!$A$6:$C$18,3,0)))</f>
        <v>0</v>
      </c>
      <c r="K52" s="55">
        <f>IF(User_Operation_Input!K52="N/A","",User_Operation_Input!K52*(VLOOKUP(User_Operation_Input!$D52,Unit_Map!$A$6:$C$18,3,0)))</f>
        <v>0</v>
      </c>
      <c r="L52" s="55">
        <f>IF(User_Operation_Input!L52="N/A","",User_Operation_Input!L52*(VLOOKUP(User_Operation_Input!$D52,Unit_Map!$A$6:$C$18,3,0)))</f>
        <v>0</v>
      </c>
      <c r="M52" s="55">
        <f>IF(User_Operation_Input!M52="N/A","",User_Operation_Input!M52*(VLOOKUP(User_Operation_Input!$D52,Unit_Map!$A$6:$C$18,3,0)))</f>
        <v>0</v>
      </c>
      <c r="N52" s="55">
        <f>IF(User_Operation_Input!N52="N/A","",User_Operation_Input!N52*(VLOOKUP(User_Operation_Input!$D52,Unit_Map!$A$6:$C$18,3,0)))</f>
        <v>0</v>
      </c>
      <c r="O52" s="159">
        <f>IF(OR(G52="",H52="",I52="",J52=""),"",SUM(G52:J52))</f>
        <v>0</v>
      </c>
      <c r="P52" s="46"/>
    </row>
    <row r="53" spans="2:16" x14ac:dyDescent="0.2">
      <c r="B53" s="260" t="s">
        <v>1098</v>
      </c>
      <c r="C53" s="241" t="s">
        <v>1343</v>
      </c>
      <c r="D53" s="64" t="s">
        <v>1244</v>
      </c>
      <c r="E53" s="52"/>
      <c r="F53" s="55">
        <f>IF(User_Operation_Input!F53="N/A","",User_Operation_Input!F53*(VLOOKUP(User_Operation_Input!$D53,Unit_Map!$A$6:$C$18,3,0)))</f>
        <v>0</v>
      </c>
      <c r="G53" s="55">
        <f>IF(User_Operation_Input!G53="N/A","",User_Operation_Input!G53*(VLOOKUP(User_Operation_Input!$D53,Unit_Map!$A$6:$C$18,3,0)))</f>
        <v>0</v>
      </c>
      <c r="H53" s="55">
        <f>IF(User_Operation_Input!H53="N/A","",User_Operation_Input!H53*(VLOOKUP(User_Operation_Input!$D53,Unit_Map!$A$6:$C$18,3,0)))</f>
        <v>0</v>
      </c>
      <c r="I53" s="55">
        <f>IF(User_Operation_Input!I53="N/A","",User_Operation_Input!I53*(VLOOKUP(User_Operation_Input!$D53,Unit_Map!$A$6:$C$18,3,0)))</f>
        <v>0</v>
      </c>
      <c r="J53" s="55">
        <f>IF(User_Operation_Input!J53="N/A","",User_Operation_Input!J53*(VLOOKUP(User_Operation_Input!$D53,Unit_Map!$A$6:$C$18,3,0)))</f>
        <v>0</v>
      </c>
      <c r="K53" s="55">
        <f>IF(User_Operation_Input!K53="N/A","",User_Operation_Input!K53*(VLOOKUP(User_Operation_Input!$D53,Unit_Map!$A$6:$C$18,3,0)))</f>
        <v>0</v>
      </c>
      <c r="L53" s="55">
        <f>IF(User_Operation_Input!L53="N/A","",User_Operation_Input!L53*(VLOOKUP(User_Operation_Input!$D53,Unit_Map!$A$6:$C$18,3,0)))</f>
        <v>0</v>
      </c>
      <c r="M53" s="55">
        <f>IF(User_Operation_Input!M53="N/A","",User_Operation_Input!M53*(VLOOKUP(User_Operation_Input!$D53,Unit_Map!$A$6:$C$18,3,0)))</f>
        <v>0</v>
      </c>
      <c r="N53" s="55">
        <f>IF(User_Operation_Input!N53="N/A","",User_Operation_Input!N53*(VLOOKUP(User_Operation_Input!$D53,Unit_Map!$A$6:$C$18,3,0)))</f>
        <v>0</v>
      </c>
      <c r="O53" s="159">
        <f>IF(OR(G53="",H53="",I53="",J53=""),"",SUM(G53:J53))</f>
        <v>0</v>
      </c>
      <c r="P53" s="102"/>
    </row>
    <row r="54" spans="2:16" x14ac:dyDescent="0.2">
      <c r="B54" s="260" t="s">
        <v>1242</v>
      </c>
      <c r="C54" s="241" t="s">
        <v>1496</v>
      </c>
      <c r="D54" s="64" t="s">
        <v>1244</v>
      </c>
      <c r="E54" s="103"/>
      <c r="F54" s="55">
        <f>IF(User_Operation_Input!F54="N/A","",User_Operation_Input!F54*(VLOOKUP(User_Operation_Input!$D54,Unit_Map!$A$6:$C$18,3,0)))</f>
        <v>0</v>
      </c>
      <c r="G54" s="55">
        <f>IF(User_Operation_Input!G54="N/A","",User_Operation_Input!G54*(VLOOKUP(User_Operation_Input!$D54,Unit_Map!$A$6:$C$18,3,0)))</f>
        <v>0</v>
      </c>
      <c r="H54" s="55">
        <f>IF(User_Operation_Input!H54="N/A","",User_Operation_Input!H54*(VLOOKUP(User_Operation_Input!$D54,Unit_Map!$A$6:$C$18,3,0)))</f>
        <v>0</v>
      </c>
      <c r="I54" s="55">
        <f>IF(User_Operation_Input!I54="N/A","",User_Operation_Input!I54*(VLOOKUP(User_Operation_Input!$D54,Unit_Map!$A$6:$C$18,3,0)))</f>
        <v>0</v>
      </c>
      <c r="J54" s="55">
        <f>IF(User_Operation_Input!J54="N/A","",User_Operation_Input!J54*(VLOOKUP(User_Operation_Input!$D54,Unit_Map!$A$6:$C$18,3,0)))</f>
        <v>0</v>
      </c>
      <c r="K54" s="55">
        <f>IF(User_Operation_Input!K54="N/A","",User_Operation_Input!K54*(VLOOKUP(User_Operation_Input!$D54,Unit_Map!$A$6:$C$18,3,0)))</f>
        <v>0</v>
      </c>
      <c r="L54" s="55">
        <f>IF(User_Operation_Input!L54="N/A","",User_Operation_Input!L54*(VLOOKUP(User_Operation_Input!$D54,Unit_Map!$A$6:$C$18,3,0)))</f>
        <v>0</v>
      </c>
      <c r="M54" s="55">
        <f>IF(User_Operation_Input!M54="N/A","",User_Operation_Input!M54*(VLOOKUP(User_Operation_Input!$D54,Unit_Map!$A$6:$C$18,3,0)))</f>
        <v>0</v>
      </c>
      <c r="N54" s="55">
        <f>IF(User_Operation_Input!N54="N/A","",User_Operation_Input!N54*(VLOOKUP(User_Operation_Input!$D54,Unit_Map!$A$6:$C$18,3,0)))</f>
        <v>0</v>
      </c>
      <c r="O54" s="159">
        <f>IF(OR(G54="",H54="",I54="",J54=""),"",SUM(G54:J54))</f>
        <v>0</v>
      </c>
      <c r="P54" s="46"/>
    </row>
    <row r="55" spans="2:16" x14ac:dyDescent="0.2">
      <c r="B55" s="198"/>
      <c r="C55" s="248"/>
      <c r="D55" s="53"/>
      <c r="E55" s="52"/>
      <c r="F55" s="53"/>
      <c r="G55" s="53"/>
      <c r="H55" s="53"/>
      <c r="I55" s="53"/>
      <c r="J55" s="53"/>
      <c r="K55" s="53"/>
      <c r="L55" s="53"/>
      <c r="M55" s="53"/>
      <c r="N55" s="205"/>
      <c r="O55" s="53"/>
      <c r="P55" s="46"/>
    </row>
    <row r="56" spans="2:16" x14ac:dyDescent="0.2">
      <c r="B56" s="243" t="s">
        <v>154</v>
      </c>
      <c r="C56" s="232" t="s">
        <v>47</v>
      </c>
      <c r="D56" s="53"/>
      <c r="E56" s="52"/>
      <c r="F56" s="53"/>
      <c r="G56" s="53"/>
      <c r="H56" s="53"/>
      <c r="I56" s="53"/>
      <c r="J56" s="53"/>
      <c r="K56" s="53"/>
      <c r="L56" s="53"/>
      <c r="M56" s="53"/>
      <c r="N56" s="205"/>
      <c r="O56" s="53"/>
      <c r="P56" s="46"/>
    </row>
    <row r="57" spans="2:16" x14ac:dyDescent="0.2">
      <c r="B57" s="243" t="s">
        <v>155</v>
      </c>
      <c r="C57" s="249" t="s">
        <v>430</v>
      </c>
      <c r="D57" s="64" t="str">
        <f t="shared" ref="D57:D66" si="4">$D$26</f>
        <v>USD Million</v>
      </c>
      <c r="E57" s="52"/>
      <c r="F57" s="158">
        <f t="shared" ref="F57:O57" si="5">IF(AND(F58="",F59="",F60="",F61="",F62="",F63="",F64="",F65=""),"",SUM(F58:F65))</f>
        <v>0</v>
      </c>
      <c r="G57" s="158">
        <f t="shared" si="5"/>
        <v>0</v>
      </c>
      <c r="H57" s="158">
        <f t="shared" si="5"/>
        <v>0</v>
      </c>
      <c r="I57" s="158">
        <f t="shared" si="5"/>
        <v>0</v>
      </c>
      <c r="J57" s="158">
        <f t="shared" si="5"/>
        <v>0</v>
      </c>
      <c r="K57" s="158">
        <f t="shared" si="5"/>
        <v>0</v>
      </c>
      <c r="L57" s="158">
        <f t="shared" si="5"/>
        <v>0</v>
      </c>
      <c r="M57" s="158">
        <f t="shared" si="5"/>
        <v>0</v>
      </c>
      <c r="N57" s="158">
        <f t="shared" si="5"/>
        <v>0</v>
      </c>
      <c r="O57" s="158">
        <f t="shared" si="5"/>
        <v>0</v>
      </c>
      <c r="P57" s="46"/>
    </row>
    <row r="58" spans="2:16" x14ac:dyDescent="0.2">
      <c r="B58" s="260" t="s">
        <v>156</v>
      </c>
      <c r="C58" s="241" t="s">
        <v>1516</v>
      </c>
      <c r="D58" s="64" t="str">
        <f t="shared" si="4"/>
        <v>USD Million</v>
      </c>
      <c r="E58" s="52"/>
      <c r="F58" s="55">
        <f>IF(User_Operation_Input!F58="N/A","",User_Operation_Input!F58*(VLOOKUP(User_Operation_Input!$D58,Unit_Map!$A$6:$C$18,3,0))/Unit_Map!B$3)</f>
        <v>0</v>
      </c>
      <c r="G58" s="55">
        <f>IF(User_Operation_Input!G58="N/A","",User_Operation_Input!G58*(VLOOKUP(User_Operation_Input!$D58,Unit_Map!$A$6:$C$18,3,0))/Unit_Map!C$3)</f>
        <v>0</v>
      </c>
      <c r="H58" s="55">
        <f>IF(User_Operation_Input!H58="N/A","",User_Operation_Input!H58*(VLOOKUP(User_Operation_Input!$D58,Unit_Map!$A$6:$C$18,3,0))/Unit_Map!D$3)</f>
        <v>0</v>
      </c>
      <c r="I58" s="55">
        <f>IF(User_Operation_Input!I58="N/A","",User_Operation_Input!I58*(VLOOKUP(User_Operation_Input!$D58,Unit_Map!$A$6:$C$18,3,0))/Unit_Map!E$3)</f>
        <v>0</v>
      </c>
      <c r="J58" s="55">
        <f>IF(User_Operation_Input!J58="N/A","",User_Operation_Input!J58*(VLOOKUP(User_Operation_Input!$D58,Unit_Map!$A$6:$C$18,3,0))/Unit_Map!F$3)</f>
        <v>0</v>
      </c>
      <c r="K58" s="55">
        <f>IF(User_Operation_Input!K58="N/A","",User_Operation_Input!K58*(VLOOKUP(User_Operation_Input!$D58,Unit_Map!$A$6:$C$18,3,0))/Unit_Map!G$3)</f>
        <v>0</v>
      </c>
      <c r="L58" s="55">
        <f>IF(User_Operation_Input!L58="N/A","",User_Operation_Input!L58*(VLOOKUP(User_Operation_Input!$D58,Unit_Map!$A$6:$C$18,3,0))/Unit_Map!H$3)</f>
        <v>0</v>
      </c>
      <c r="M58" s="55">
        <f>IF(User_Operation_Input!M58="N/A","",User_Operation_Input!M58*(VLOOKUP(User_Operation_Input!$D58,Unit_Map!$A$6:$C$18,3,0))/Unit_Map!I$3)</f>
        <v>0</v>
      </c>
      <c r="N58" s="55">
        <f>IF(User_Operation_Input!N58="N/A","",User_Operation_Input!N58*(VLOOKUP(User_Operation_Input!$D58,Unit_Map!$A$6:$C$18,3,0))/Unit_Map!J$3)</f>
        <v>0</v>
      </c>
      <c r="O58" s="159">
        <f>IF(OR(G58="",H58="",I58="",J58=""),"",SUM(G58*Unit_Map!C$3,H58*Unit_Map!D$3,I58*Unit_Map!E$3,J58*Unit_Map!F$3)/Unit_Map!K$3)</f>
        <v>0</v>
      </c>
      <c r="P58" s="46"/>
    </row>
    <row r="59" spans="2:16" x14ac:dyDescent="0.2">
      <c r="B59" s="260" t="s">
        <v>388</v>
      </c>
      <c r="C59" s="241" t="s">
        <v>1254</v>
      </c>
      <c r="D59" s="64" t="str">
        <f t="shared" si="4"/>
        <v>USD Million</v>
      </c>
      <c r="E59" s="52"/>
      <c r="F59" s="55">
        <f>IF(User_Operation_Input!F59="N/A","",User_Operation_Input!F59*(VLOOKUP(User_Operation_Input!$D59,Unit_Map!$A$6:$C$18,3,0))/Unit_Map!B$3)</f>
        <v>0</v>
      </c>
      <c r="G59" s="55">
        <f>IF(User_Operation_Input!G59="N/A","",User_Operation_Input!G59*(VLOOKUP(User_Operation_Input!$D59,Unit_Map!$A$6:$C$18,3,0))/Unit_Map!C$3)</f>
        <v>0</v>
      </c>
      <c r="H59" s="55">
        <f>IF(User_Operation_Input!H59="N/A","",User_Operation_Input!H59*(VLOOKUP(User_Operation_Input!$D59,Unit_Map!$A$6:$C$18,3,0))/Unit_Map!D$3)</f>
        <v>0</v>
      </c>
      <c r="I59" s="55">
        <f>IF(User_Operation_Input!I59="N/A","",User_Operation_Input!I59*(VLOOKUP(User_Operation_Input!$D59,Unit_Map!$A$6:$C$18,3,0))/Unit_Map!E$3)</f>
        <v>0</v>
      </c>
      <c r="J59" s="55">
        <f>IF(User_Operation_Input!J59="N/A","",User_Operation_Input!J59*(VLOOKUP(User_Operation_Input!$D59,Unit_Map!$A$6:$C$18,3,0))/Unit_Map!F$3)</f>
        <v>0</v>
      </c>
      <c r="K59" s="55">
        <f>IF(User_Operation_Input!K59="N/A","",User_Operation_Input!K59*(VLOOKUP(User_Operation_Input!$D59,Unit_Map!$A$6:$C$18,3,0))/Unit_Map!G$3)</f>
        <v>0</v>
      </c>
      <c r="L59" s="55">
        <f>IF(User_Operation_Input!L59="N/A","",User_Operation_Input!L59*(VLOOKUP(User_Operation_Input!$D59,Unit_Map!$A$6:$C$18,3,0))/Unit_Map!H$3)</f>
        <v>0</v>
      </c>
      <c r="M59" s="55">
        <f>IF(User_Operation_Input!M59="N/A","",User_Operation_Input!M59*(VLOOKUP(User_Operation_Input!$D59,Unit_Map!$A$6:$C$18,3,0))/Unit_Map!I$3)</f>
        <v>0</v>
      </c>
      <c r="N59" s="55">
        <f>IF(User_Operation_Input!N59="N/A","",User_Operation_Input!N59*(VLOOKUP(User_Operation_Input!$D59,Unit_Map!$A$6:$C$18,3,0))/Unit_Map!J$3)</f>
        <v>0</v>
      </c>
      <c r="O59" s="159">
        <f>IF(OR(G59="",H59="",I59="",J59=""),"",SUM(G59*Unit_Map!C$3,H59*Unit_Map!D$3,I59*Unit_Map!E$3,J59*Unit_Map!F$3)/Unit_Map!K$3)</f>
        <v>0</v>
      </c>
      <c r="P59" s="102"/>
    </row>
    <row r="60" spans="2:16" x14ac:dyDescent="0.2">
      <c r="B60" s="260" t="s">
        <v>157</v>
      </c>
      <c r="C60" s="241" t="s">
        <v>1503</v>
      </c>
      <c r="D60" s="64" t="str">
        <f t="shared" si="4"/>
        <v>USD Million</v>
      </c>
      <c r="E60" s="52"/>
      <c r="F60" s="55">
        <f>IF(User_Operation_Input!F60="N/A","",User_Operation_Input!F60*(VLOOKUP(User_Operation_Input!$D60,Unit_Map!$A$6:$C$18,3,0))/Unit_Map!B$3)</f>
        <v>0</v>
      </c>
      <c r="G60" s="55">
        <f>IF(User_Operation_Input!G60="N/A","",User_Operation_Input!G60*(VLOOKUP(User_Operation_Input!$D60,Unit_Map!$A$6:$C$18,3,0))/Unit_Map!C$3)</f>
        <v>0</v>
      </c>
      <c r="H60" s="55">
        <f>IF(User_Operation_Input!H60="N/A","",User_Operation_Input!H60*(VLOOKUP(User_Operation_Input!$D60,Unit_Map!$A$6:$C$18,3,0))/Unit_Map!D$3)</f>
        <v>0</v>
      </c>
      <c r="I60" s="55">
        <f>IF(User_Operation_Input!I60="N/A","",User_Operation_Input!I60*(VLOOKUP(User_Operation_Input!$D60,Unit_Map!$A$6:$C$18,3,0))/Unit_Map!E$3)</f>
        <v>0</v>
      </c>
      <c r="J60" s="55">
        <f>IF(User_Operation_Input!J60="N/A","",User_Operation_Input!J60*(VLOOKUP(User_Operation_Input!$D60,Unit_Map!$A$6:$C$18,3,0))/Unit_Map!F$3)</f>
        <v>0</v>
      </c>
      <c r="K60" s="55">
        <f>IF(User_Operation_Input!K60="N/A","",User_Operation_Input!K60*(VLOOKUP(User_Operation_Input!$D60,Unit_Map!$A$6:$C$18,3,0))/Unit_Map!G$3)</f>
        <v>0</v>
      </c>
      <c r="L60" s="55">
        <f>IF(User_Operation_Input!L60="N/A","",User_Operation_Input!L60*(VLOOKUP(User_Operation_Input!$D60,Unit_Map!$A$6:$C$18,3,0))/Unit_Map!H$3)</f>
        <v>0</v>
      </c>
      <c r="M60" s="55">
        <f>IF(User_Operation_Input!M60="N/A","",User_Operation_Input!M60*(VLOOKUP(User_Operation_Input!$D60,Unit_Map!$A$6:$C$18,3,0))/Unit_Map!I$3)</f>
        <v>0</v>
      </c>
      <c r="N60" s="55">
        <f>IF(User_Operation_Input!N60="N/A","",User_Operation_Input!N60*(VLOOKUP(User_Operation_Input!$D60,Unit_Map!$A$6:$C$18,3,0))/Unit_Map!J$3)</f>
        <v>0</v>
      </c>
      <c r="O60" s="159">
        <f>IF(OR(G60="",H60="",I60="",J60=""),"",SUM(G60*Unit_Map!C$3,H60*Unit_Map!D$3,I60*Unit_Map!E$3,J60*Unit_Map!F$3)/Unit_Map!K$3)</f>
        <v>0</v>
      </c>
      <c r="P60" s="102"/>
    </row>
    <row r="61" spans="2:16" x14ac:dyDescent="0.2">
      <c r="B61" s="260" t="s">
        <v>637</v>
      </c>
      <c r="C61" s="241" t="s">
        <v>48</v>
      </c>
      <c r="D61" s="64" t="str">
        <f t="shared" si="4"/>
        <v>USD Million</v>
      </c>
      <c r="E61" s="52"/>
      <c r="F61" s="55">
        <f>IF(User_Operation_Input!F61="N/A","",User_Operation_Input!F61*(VLOOKUP(User_Operation_Input!$D61,Unit_Map!$A$6:$C$18,3,0))/Unit_Map!B$3)</f>
        <v>0</v>
      </c>
      <c r="G61" s="55">
        <f>IF(User_Operation_Input!G61="N/A","",User_Operation_Input!G61*(VLOOKUP(User_Operation_Input!$D61,Unit_Map!$A$6:$C$18,3,0))/Unit_Map!C$3)</f>
        <v>0</v>
      </c>
      <c r="H61" s="55">
        <f>IF(User_Operation_Input!H61="N/A","",User_Operation_Input!H61*(VLOOKUP(User_Operation_Input!$D61,Unit_Map!$A$6:$C$18,3,0))/Unit_Map!D$3)</f>
        <v>0</v>
      </c>
      <c r="I61" s="55">
        <f>IF(User_Operation_Input!I61="N/A","",User_Operation_Input!I61*(VLOOKUP(User_Operation_Input!$D61,Unit_Map!$A$6:$C$18,3,0))/Unit_Map!E$3)</f>
        <v>0</v>
      </c>
      <c r="J61" s="55">
        <f>IF(User_Operation_Input!J61="N/A","",User_Operation_Input!J61*(VLOOKUP(User_Operation_Input!$D61,Unit_Map!$A$6:$C$18,3,0))/Unit_Map!F$3)</f>
        <v>0</v>
      </c>
      <c r="K61" s="55">
        <f>IF(User_Operation_Input!K61="N/A","",User_Operation_Input!K61*(VLOOKUP(User_Operation_Input!$D61,Unit_Map!$A$6:$C$18,3,0))/Unit_Map!G$3)</f>
        <v>0</v>
      </c>
      <c r="L61" s="55">
        <f>IF(User_Operation_Input!L61="N/A","",User_Operation_Input!L61*(VLOOKUP(User_Operation_Input!$D61,Unit_Map!$A$6:$C$18,3,0))/Unit_Map!H$3)</f>
        <v>0</v>
      </c>
      <c r="M61" s="55">
        <f>IF(User_Operation_Input!M61="N/A","",User_Operation_Input!M61*(VLOOKUP(User_Operation_Input!$D61,Unit_Map!$A$6:$C$18,3,0))/Unit_Map!I$3)</f>
        <v>0</v>
      </c>
      <c r="N61" s="55">
        <f>IF(User_Operation_Input!N61="N/A","",User_Operation_Input!N61*(VLOOKUP(User_Operation_Input!$D61,Unit_Map!$A$6:$C$18,3,0))/Unit_Map!J$3)</f>
        <v>0</v>
      </c>
      <c r="O61" s="159">
        <f>IF(OR(G61="",H61="",I61="",J61=""),"",SUM(G61*Unit_Map!C$3,H61*Unit_Map!D$3,I61*Unit_Map!E$3,J61*Unit_Map!F$3)/Unit_Map!K$3)</f>
        <v>0</v>
      </c>
      <c r="P61" s="102"/>
    </row>
    <row r="62" spans="2:16" x14ac:dyDescent="0.2">
      <c r="B62" s="260" t="s">
        <v>433</v>
      </c>
      <c r="C62" s="241" t="s">
        <v>1112</v>
      </c>
      <c r="D62" s="64" t="str">
        <f t="shared" si="4"/>
        <v>USD Million</v>
      </c>
      <c r="E62" s="52"/>
      <c r="F62" s="55">
        <f>IF(User_Operation_Input!F62="N/A","",User_Operation_Input!F62*(VLOOKUP(User_Operation_Input!$D62,Unit_Map!$A$6:$C$18,3,0))/Unit_Map!B$3)</f>
        <v>0</v>
      </c>
      <c r="G62" s="55">
        <f>IF(User_Operation_Input!G62="N/A","",User_Operation_Input!G62*(VLOOKUP(User_Operation_Input!$D62,Unit_Map!$A$6:$C$18,3,0))/Unit_Map!C$3)</f>
        <v>0</v>
      </c>
      <c r="H62" s="55">
        <f>IF(User_Operation_Input!H62="N/A","",User_Operation_Input!H62*(VLOOKUP(User_Operation_Input!$D62,Unit_Map!$A$6:$C$18,3,0))/Unit_Map!D$3)</f>
        <v>0</v>
      </c>
      <c r="I62" s="55">
        <f>IF(User_Operation_Input!I62="N/A","",User_Operation_Input!I62*(VLOOKUP(User_Operation_Input!$D62,Unit_Map!$A$6:$C$18,3,0))/Unit_Map!E$3)</f>
        <v>0</v>
      </c>
      <c r="J62" s="55">
        <f>IF(User_Operation_Input!J62="N/A","",User_Operation_Input!J62*(VLOOKUP(User_Operation_Input!$D62,Unit_Map!$A$6:$C$18,3,0))/Unit_Map!F$3)</f>
        <v>0</v>
      </c>
      <c r="K62" s="55">
        <f>IF(User_Operation_Input!K62="N/A","",User_Operation_Input!K62*(VLOOKUP(User_Operation_Input!$D62,Unit_Map!$A$6:$C$18,3,0))/Unit_Map!G$3)</f>
        <v>0</v>
      </c>
      <c r="L62" s="55">
        <f>IF(User_Operation_Input!L62="N/A","",User_Operation_Input!L62*(VLOOKUP(User_Operation_Input!$D62,Unit_Map!$A$6:$C$18,3,0))/Unit_Map!H$3)</f>
        <v>0</v>
      </c>
      <c r="M62" s="55">
        <f>IF(User_Operation_Input!M62="N/A","",User_Operation_Input!M62*(VLOOKUP(User_Operation_Input!$D62,Unit_Map!$A$6:$C$18,3,0))/Unit_Map!I$3)</f>
        <v>0</v>
      </c>
      <c r="N62" s="55">
        <f>IF(User_Operation_Input!N62="N/A","",User_Operation_Input!N62*(VLOOKUP(User_Operation_Input!$D62,Unit_Map!$A$6:$C$18,3,0))/Unit_Map!J$3)</f>
        <v>0</v>
      </c>
      <c r="O62" s="159">
        <f>IF(OR(G62="",H62="",I62="",J62=""),"",SUM(G62*Unit_Map!C$3,H62*Unit_Map!D$3,I62*Unit_Map!E$3,J62*Unit_Map!F$3)/Unit_Map!K$3)</f>
        <v>0</v>
      </c>
      <c r="P62" s="102"/>
    </row>
    <row r="63" spans="2:16" x14ac:dyDescent="0.2">
      <c r="B63" s="260" t="s">
        <v>434</v>
      </c>
      <c r="C63" s="241" t="s">
        <v>1345</v>
      </c>
      <c r="D63" s="64" t="str">
        <f t="shared" si="4"/>
        <v>USD Million</v>
      </c>
      <c r="E63" s="52"/>
      <c r="F63" s="55">
        <f>IF(User_Operation_Input!F63="N/A","",User_Operation_Input!F63*(VLOOKUP(User_Operation_Input!$D63,Unit_Map!$A$6:$C$18,3,0))/Unit_Map!B$3)</f>
        <v>0</v>
      </c>
      <c r="G63" s="55">
        <f>IF(User_Operation_Input!G63="N/A","",User_Operation_Input!G63*(VLOOKUP(User_Operation_Input!$D63,Unit_Map!$A$6:$C$18,3,0))/Unit_Map!C$3)</f>
        <v>0</v>
      </c>
      <c r="H63" s="55">
        <f>IF(User_Operation_Input!H63="N/A","",User_Operation_Input!H63*(VLOOKUP(User_Operation_Input!$D63,Unit_Map!$A$6:$C$18,3,0))/Unit_Map!D$3)</f>
        <v>0</v>
      </c>
      <c r="I63" s="55">
        <f>IF(User_Operation_Input!I63="N/A","",User_Operation_Input!I63*(VLOOKUP(User_Operation_Input!$D63,Unit_Map!$A$6:$C$18,3,0))/Unit_Map!E$3)</f>
        <v>0</v>
      </c>
      <c r="J63" s="55">
        <f>IF(User_Operation_Input!J63="N/A","",User_Operation_Input!J63*(VLOOKUP(User_Operation_Input!$D63,Unit_Map!$A$6:$C$18,3,0))/Unit_Map!F$3)</f>
        <v>0</v>
      </c>
      <c r="K63" s="55">
        <f>IF(User_Operation_Input!K63="N/A","",User_Operation_Input!K63*(VLOOKUP(User_Operation_Input!$D63,Unit_Map!$A$6:$C$18,3,0))/Unit_Map!G$3)</f>
        <v>0</v>
      </c>
      <c r="L63" s="55">
        <f>IF(User_Operation_Input!L63="N/A","",User_Operation_Input!L63*(VLOOKUP(User_Operation_Input!$D63,Unit_Map!$A$6:$C$18,3,0))/Unit_Map!H$3)</f>
        <v>0</v>
      </c>
      <c r="M63" s="55">
        <f>IF(User_Operation_Input!M63="N/A","",User_Operation_Input!M63*(VLOOKUP(User_Operation_Input!$D63,Unit_Map!$A$6:$C$18,3,0))/Unit_Map!I$3)</f>
        <v>0</v>
      </c>
      <c r="N63" s="55">
        <f>IF(User_Operation_Input!N63="N/A","",User_Operation_Input!N63*(VLOOKUP(User_Operation_Input!$D63,Unit_Map!$A$6:$C$18,3,0))/Unit_Map!J$3)</f>
        <v>0</v>
      </c>
      <c r="O63" s="159">
        <f>IF(OR(G63="",H63="",I63="",J63=""),"",SUM(G63*Unit_Map!C$3,H63*Unit_Map!D$3,I63*Unit_Map!E$3,J63*Unit_Map!F$3)/Unit_Map!K$3)</f>
        <v>0</v>
      </c>
    </row>
    <row r="64" spans="2:16" x14ac:dyDescent="0.2">
      <c r="B64" s="260" t="s">
        <v>786</v>
      </c>
      <c r="C64" s="241" t="s">
        <v>1346</v>
      </c>
      <c r="D64" s="64" t="str">
        <f t="shared" si="4"/>
        <v>USD Million</v>
      </c>
      <c r="E64" s="52"/>
      <c r="F64" s="55">
        <f>IF(User_Operation_Input!F64="N/A","",User_Operation_Input!F64*(VLOOKUP(User_Operation_Input!$D64,Unit_Map!$A$6:$C$18,3,0))/Unit_Map!B$3)</f>
        <v>0</v>
      </c>
      <c r="G64" s="55">
        <f>IF(User_Operation_Input!G64="N/A","",User_Operation_Input!G64*(VLOOKUP(User_Operation_Input!$D64,Unit_Map!$A$6:$C$18,3,0))/Unit_Map!C$3)</f>
        <v>0</v>
      </c>
      <c r="H64" s="55">
        <f>IF(User_Operation_Input!H64="N/A","",User_Operation_Input!H64*(VLOOKUP(User_Operation_Input!$D64,Unit_Map!$A$6:$C$18,3,0))/Unit_Map!D$3)</f>
        <v>0</v>
      </c>
      <c r="I64" s="55">
        <f>IF(User_Operation_Input!I64="N/A","",User_Operation_Input!I64*(VLOOKUP(User_Operation_Input!$D64,Unit_Map!$A$6:$C$18,3,0))/Unit_Map!E$3)</f>
        <v>0</v>
      </c>
      <c r="J64" s="55">
        <f>IF(User_Operation_Input!J64="N/A","",User_Operation_Input!J64*(VLOOKUP(User_Operation_Input!$D64,Unit_Map!$A$6:$C$18,3,0))/Unit_Map!F$3)</f>
        <v>0</v>
      </c>
      <c r="K64" s="55">
        <f>IF(User_Operation_Input!K64="N/A","",User_Operation_Input!K64*(VLOOKUP(User_Operation_Input!$D64,Unit_Map!$A$6:$C$18,3,0))/Unit_Map!G$3)</f>
        <v>0</v>
      </c>
      <c r="L64" s="55">
        <f>IF(User_Operation_Input!L64="N/A","",User_Operation_Input!L64*(VLOOKUP(User_Operation_Input!$D64,Unit_Map!$A$6:$C$18,3,0))/Unit_Map!H$3)</f>
        <v>0</v>
      </c>
      <c r="M64" s="55">
        <f>IF(User_Operation_Input!M64="N/A","",User_Operation_Input!M64*(VLOOKUP(User_Operation_Input!$D64,Unit_Map!$A$6:$C$18,3,0))/Unit_Map!I$3)</f>
        <v>0</v>
      </c>
      <c r="N64" s="55">
        <f>IF(User_Operation_Input!N64="N/A","",User_Operation_Input!N64*(VLOOKUP(User_Operation_Input!$D64,Unit_Map!$A$6:$C$18,3,0))/Unit_Map!J$3)</f>
        <v>0</v>
      </c>
      <c r="O64" s="159">
        <f>IF(OR(G64="",H64="",I64="",J64=""),"",SUM(G64*Unit_Map!C$3,H64*Unit_Map!D$3,I64*Unit_Map!E$3,J64*Unit_Map!F$3)/Unit_Map!K$3)</f>
        <v>0</v>
      </c>
    </row>
    <row r="65" spans="2:16" x14ac:dyDescent="0.2">
      <c r="B65" s="260" t="s">
        <v>797</v>
      </c>
      <c r="C65" s="241" t="s">
        <v>1347</v>
      </c>
      <c r="D65" s="64" t="str">
        <f t="shared" si="4"/>
        <v>USD Million</v>
      </c>
      <c r="E65" s="52"/>
      <c r="F65" s="55">
        <f>IF(User_Operation_Input!F65="N/A","",User_Operation_Input!F65*(VLOOKUP(User_Operation_Input!$D65,Unit_Map!$A$6:$C$18,3,0))/Unit_Map!B$3)</f>
        <v>0</v>
      </c>
      <c r="G65" s="55">
        <f>IF(User_Operation_Input!G65="N/A","",User_Operation_Input!G65*(VLOOKUP(User_Operation_Input!$D65,Unit_Map!$A$6:$C$18,3,0))/Unit_Map!C$3)</f>
        <v>0</v>
      </c>
      <c r="H65" s="55">
        <f>IF(User_Operation_Input!H65="N/A","",User_Operation_Input!H65*(VLOOKUP(User_Operation_Input!$D65,Unit_Map!$A$6:$C$18,3,0))/Unit_Map!D$3)</f>
        <v>0</v>
      </c>
      <c r="I65" s="55">
        <f>IF(User_Operation_Input!I65="N/A","",User_Operation_Input!I65*(VLOOKUP(User_Operation_Input!$D65,Unit_Map!$A$6:$C$18,3,0))/Unit_Map!E$3)</f>
        <v>0</v>
      </c>
      <c r="J65" s="55">
        <f>IF(User_Operation_Input!J65="N/A","",User_Operation_Input!J65*(VLOOKUP(User_Operation_Input!$D65,Unit_Map!$A$6:$C$18,3,0))/Unit_Map!F$3)</f>
        <v>0</v>
      </c>
      <c r="K65" s="55">
        <f>IF(User_Operation_Input!K65="N/A","",User_Operation_Input!K65*(VLOOKUP(User_Operation_Input!$D65,Unit_Map!$A$6:$C$18,3,0))/Unit_Map!G$3)</f>
        <v>0</v>
      </c>
      <c r="L65" s="55">
        <f>IF(User_Operation_Input!L65="N/A","",User_Operation_Input!L65*(VLOOKUP(User_Operation_Input!$D65,Unit_Map!$A$6:$C$18,3,0))/Unit_Map!H$3)</f>
        <v>0</v>
      </c>
      <c r="M65" s="55">
        <f>IF(User_Operation_Input!M65="N/A","",User_Operation_Input!M65*(VLOOKUP(User_Operation_Input!$D65,Unit_Map!$A$6:$C$18,3,0))/Unit_Map!I$3)</f>
        <v>0</v>
      </c>
      <c r="N65" s="55">
        <f>IF(User_Operation_Input!N65="N/A","",User_Operation_Input!N65*(VLOOKUP(User_Operation_Input!$D65,Unit_Map!$A$6:$C$18,3,0))/Unit_Map!J$3)</f>
        <v>0</v>
      </c>
      <c r="O65" s="159">
        <f>IF(OR(G65="",H65="",I65="",J65=""),"",SUM(G65*Unit_Map!C$3,H65*Unit_Map!D$3,I65*Unit_Map!E$3,J65*Unit_Map!F$3)/Unit_Map!K$3)</f>
        <v>0</v>
      </c>
    </row>
    <row r="66" spans="2:16" x14ac:dyDescent="0.2">
      <c r="B66" s="260" t="s">
        <v>807</v>
      </c>
      <c r="C66" s="241" t="s">
        <v>1360</v>
      </c>
      <c r="D66" s="64" t="str">
        <f t="shared" si="4"/>
        <v>USD Million</v>
      </c>
      <c r="E66" s="52"/>
      <c r="F66" s="55">
        <f>IF(User_Operation_Input!F66="N/A","",User_Operation_Input!F66*(VLOOKUP(User_Operation_Input!$D66,Unit_Map!$A$6:$C$18,3,0))/Unit_Map!B$3)</f>
        <v>0</v>
      </c>
      <c r="G66" s="55">
        <f>IF(User_Operation_Input!G66="N/A","",User_Operation_Input!G66*(VLOOKUP(User_Operation_Input!$D66,Unit_Map!$A$6:$C$18,3,0))/Unit_Map!C$3)</f>
        <v>0</v>
      </c>
      <c r="H66" s="55">
        <f>IF(User_Operation_Input!H66="N/A","",User_Operation_Input!H66*(VLOOKUP(User_Operation_Input!$D66,Unit_Map!$A$6:$C$18,3,0))/Unit_Map!D$3)</f>
        <v>0</v>
      </c>
      <c r="I66" s="55">
        <f>IF(User_Operation_Input!I66="N/A","",User_Operation_Input!I66*(VLOOKUP(User_Operation_Input!$D66,Unit_Map!$A$6:$C$18,3,0))/Unit_Map!E$3)</f>
        <v>0</v>
      </c>
      <c r="J66" s="55">
        <f>IF(User_Operation_Input!J66="N/A","",User_Operation_Input!J66*(VLOOKUP(User_Operation_Input!$D66,Unit_Map!$A$6:$C$18,3,0))/Unit_Map!F$3)</f>
        <v>0</v>
      </c>
      <c r="K66" s="55">
        <f>IF(User_Operation_Input!K66="N/A","",User_Operation_Input!K66*(VLOOKUP(User_Operation_Input!$D66,Unit_Map!$A$6:$C$18,3,0))/Unit_Map!G$3)</f>
        <v>0</v>
      </c>
      <c r="L66" s="55">
        <f>IF(User_Operation_Input!L66="N/A","",User_Operation_Input!L66*(VLOOKUP(User_Operation_Input!$D66,Unit_Map!$A$6:$C$18,3,0))/Unit_Map!H$3)</f>
        <v>0</v>
      </c>
      <c r="M66" s="55">
        <f>IF(User_Operation_Input!M66="N/A","",User_Operation_Input!M66*(VLOOKUP(User_Operation_Input!$D66,Unit_Map!$A$6:$C$18,3,0))/Unit_Map!I$3)</f>
        <v>0</v>
      </c>
      <c r="N66" s="55">
        <f>IF(User_Operation_Input!N66="N/A","",User_Operation_Input!N66*(VLOOKUP(User_Operation_Input!$D66,Unit_Map!$A$6:$C$18,3,0))/Unit_Map!J$3)</f>
        <v>0</v>
      </c>
      <c r="O66" s="159">
        <f>IF(OR(G66="",H66="",I66="",J66=""),"",SUM(G66*Unit_Map!C$3,H66*Unit_Map!D$3,I66*Unit_Map!E$3,J66*Unit_Map!F$3)/Unit_Map!K$3)</f>
        <v>0</v>
      </c>
      <c r="P66" s="99"/>
    </row>
    <row r="67" spans="2:16" s="231" customFormat="1" x14ac:dyDescent="0.2">
      <c r="B67" s="198"/>
      <c r="C67" s="248"/>
      <c r="D67" s="248"/>
      <c r="E67" s="247"/>
      <c r="F67" s="248"/>
      <c r="G67" s="248"/>
      <c r="H67" s="248"/>
      <c r="I67" s="248"/>
      <c r="J67" s="248"/>
      <c r="K67" s="248"/>
      <c r="L67" s="248"/>
      <c r="M67" s="248"/>
      <c r="N67" s="205"/>
      <c r="O67" s="248"/>
    </row>
    <row r="68" spans="2:16" x14ac:dyDescent="0.2">
      <c r="B68" s="243" t="s">
        <v>158</v>
      </c>
      <c r="C68" s="249" t="s">
        <v>1099</v>
      </c>
      <c r="D68" s="64" t="str">
        <f t="shared" ref="D68:D73" si="6">$D$26</f>
        <v>USD Million</v>
      </c>
      <c r="E68" s="52"/>
      <c r="F68" s="158">
        <f t="shared" ref="F68:O68" si="7">IF(AND(F69="",F70="",F71="",F72="",F73=""),"",SUM(F69:F73))</f>
        <v>0</v>
      </c>
      <c r="G68" s="158">
        <f t="shared" si="7"/>
        <v>0</v>
      </c>
      <c r="H68" s="158">
        <f t="shared" si="7"/>
        <v>0</v>
      </c>
      <c r="I68" s="158">
        <f t="shared" si="7"/>
        <v>0</v>
      </c>
      <c r="J68" s="158">
        <f t="shared" si="7"/>
        <v>0</v>
      </c>
      <c r="K68" s="158">
        <f t="shared" si="7"/>
        <v>0</v>
      </c>
      <c r="L68" s="158">
        <f t="shared" si="7"/>
        <v>0</v>
      </c>
      <c r="M68" s="158">
        <f t="shared" si="7"/>
        <v>0</v>
      </c>
      <c r="N68" s="158">
        <f t="shared" si="7"/>
        <v>0</v>
      </c>
      <c r="O68" s="158">
        <f t="shared" si="7"/>
        <v>0</v>
      </c>
    </row>
    <row r="69" spans="2:16" x14ac:dyDescent="0.2">
      <c r="B69" s="260" t="s">
        <v>159</v>
      </c>
      <c r="C69" s="241" t="s">
        <v>1100</v>
      </c>
      <c r="D69" s="64" t="str">
        <f t="shared" si="6"/>
        <v>USD Million</v>
      </c>
      <c r="E69" s="52"/>
      <c r="F69" s="55">
        <f>IF(User_Operation_Input!F69="N/A","",User_Operation_Input!F69*(VLOOKUP(User_Operation_Input!$D69,Unit_Map!$A$6:$C$18,3,0))/Unit_Map!B$3)</f>
        <v>0</v>
      </c>
      <c r="G69" s="55">
        <f>IF(User_Operation_Input!G69="N/A","",User_Operation_Input!G69*(VLOOKUP(User_Operation_Input!$D69,Unit_Map!$A$6:$C$18,3,0))/Unit_Map!C$3)</f>
        <v>0</v>
      </c>
      <c r="H69" s="55">
        <f>IF(User_Operation_Input!H69="N/A","",User_Operation_Input!H69*(VLOOKUP(User_Operation_Input!$D69,Unit_Map!$A$6:$C$18,3,0))/Unit_Map!D$3)</f>
        <v>0</v>
      </c>
      <c r="I69" s="55">
        <f>IF(User_Operation_Input!I69="N/A","",User_Operation_Input!I69*(VLOOKUP(User_Operation_Input!$D69,Unit_Map!$A$6:$C$18,3,0))/Unit_Map!E$3)</f>
        <v>0</v>
      </c>
      <c r="J69" s="55">
        <f>IF(User_Operation_Input!J69="N/A","",User_Operation_Input!J69*(VLOOKUP(User_Operation_Input!$D69,Unit_Map!$A$6:$C$18,3,0))/Unit_Map!F$3)</f>
        <v>0</v>
      </c>
      <c r="K69" s="55">
        <f>IF(User_Operation_Input!K69="N/A","",User_Operation_Input!K69*(VLOOKUP(User_Operation_Input!$D69,Unit_Map!$A$6:$C$18,3,0))/Unit_Map!G$3)</f>
        <v>0</v>
      </c>
      <c r="L69" s="55">
        <f>IF(User_Operation_Input!L69="N/A","",User_Operation_Input!L69*(VLOOKUP(User_Operation_Input!$D69,Unit_Map!$A$6:$C$18,3,0))/Unit_Map!H$3)</f>
        <v>0</v>
      </c>
      <c r="M69" s="55">
        <f>IF(User_Operation_Input!M69="N/A","",User_Operation_Input!M69*(VLOOKUP(User_Operation_Input!$D69,Unit_Map!$A$6:$C$18,3,0))/Unit_Map!I$3)</f>
        <v>0</v>
      </c>
      <c r="N69" s="55">
        <f>IF(User_Operation_Input!N69="N/A","",User_Operation_Input!N69*(VLOOKUP(User_Operation_Input!$D69,Unit_Map!$A$6:$C$18,3,0))/Unit_Map!J$3)</f>
        <v>0</v>
      </c>
      <c r="O69" s="159">
        <f>IF(OR(G69="",H69="",I69="",J69=""),"",SUM(G69*Unit_Map!C$3,H69*Unit_Map!D$3,I69*Unit_Map!E$3,J69*Unit_Map!F$3)/Unit_Map!K$3)</f>
        <v>0</v>
      </c>
    </row>
    <row r="70" spans="2:16" x14ac:dyDescent="0.2">
      <c r="B70" s="260" t="s">
        <v>160</v>
      </c>
      <c r="C70" s="241" t="s">
        <v>1101</v>
      </c>
      <c r="D70" s="64" t="str">
        <f t="shared" si="6"/>
        <v>USD Million</v>
      </c>
      <c r="E70" s="52"/>
      <c r="F70" s="55">
        <f>IF(User_Operation_Input!F70="N/A","",User_Operation_Input!F70*(VLOOKUP(User_Operation_Input!$D70,Unit_Map!$A$6:$C$18,3,0))/Unit_Map!B$3)</f>
        <v>0</v>
      </c>
      <c r="G70" s="55">
        <f>IF(User_Operation_Input!G70="N/A","",User_Operation_Input!G70*(VLOOKUP(User_Operation_Input!$D70,Unit_Map!$A$6:$C$18,3,0))/Unit_Map!C$3)</f>
        <v>0</v>
      </c>
      <c r="H70" s="55">
        <f>IF(User_Operation_Input!H70="N/A","",User_Operation_Input!H70*(VLOOKUP(User_Operation_Input!$D70,Unit_Map!$A$6:$C$18,3,0))/Unit_Map!D$3)</f>
        <v>0</v>
      </c>
      <c r="I70" s="55">
        <f>IF(User_Operation_Input!I70="N/A","",User_Operation_Input!I70*(VLOOKUP(User_Operation_Input!$D70,Unit_Map!$A$6:$C$18,3,0))/Unit_Map!E$3)</f>
        <v>0</v>
      </c>
      <c r="J70" s="55">
        <f>IF(User_Operation_Input!J70="N/A","",User_Operation_Input!J70*(VLOOKUP(User_Operation_Input!$D70,Unit_Map!$A$6:$C$18,3,0))/Unit_Map!F$3)</f>
        <v>0</v>
      </c>
      <c r="K70" s="55">
        <f>IF(User_Operation_Input!K70="N/A","",User_Operation_Input!K70*(VLOOKUP(User_Operation_Input!$D70,Unit_Map!$A$6:$C$18,3,0))/Unit_Map!G$3)</f>
        <v>0</v>
      </c>
      <c r="L70" s="55">
        <f>IF(User_Operation_Input!L70="N/A","",User_Operation_Input!L70*(VLOOKUP(User_Operation_Input!$D70,Unit_Map!$A$6:$C$18,3,0))/Unit_Map!H$3)</f>
        <v>0</v>
      </c>
      <c r="M70" s="55">
        <f>IF(User_Operation_Input!M70="N/A","",User_Operation_Input!M70*(VLOOKUP(User_Operation_Input!$D70,Unit_Map!$A$6:$C$18,3,0))/Unit_Map!I$3)</f>
        <v>0</v>
      </c>
      <c r="N70" s="55">
        <f>IF(User_Operation_Input!N70="N/A","",User_Operation_Input!N70*(VLOOKUP(User_Operation_Input!$D70,Unit_Map!$A$6:$C$18,3,0))/Unit_Map!J$3)</f>
        <v>0</v>
      </c>
      <c r="O70" s="159">
        <f>IF(OR(G70="",H70="",I70="",J70=""),"",SUM(G70*Unit_Map!C$3,H70*Unit_Map!D$3,I70*Unit_Map!E$3,J70*Unit_Map!F$3)/Unit_Map!K$3)</f>
        <v>0</v>
      </c>
    </row>
    <row r="71" spans="2:16" x14ac:dyDescent="0.2">
      <c r="B71" s="260" t="s">
        <v>1102</v>
      </c>
      <c r="C71" s="241" t="s">
        <v>1211</v>
      </c>
      <c r="D71" s="64" t="str">
        <f t="shared" si="6"/>
        <v>USD Million</v>
      </c>
      <c r="E71" s="52"/>
      <c r="F71" s="55">
        <f>IF(User_Operation_Input!F71="N/A","",User_Operation_Input!F71*(VLOOKUP(User_Operation_Input!$D71,Unit_Map!$A$6:$C$18,3,0))/Unit_Map!B$3)</f>
        <v>0</v>
      </c>
      <c r="G71" s="55">
        <f>IF(User_Operation_Input!G71="N/A","",User_Operation_Input!G71*(VLOOKUP(User_Operation_Input!$D71,Unit_Map!$A$6:$C$18,3,0))/Unit_Map!C$3)</f>
        <v>0</v>
      </c>
      <c r="H71" s="55">
        <f>IF(User_Operation_Input!H71="N/A","",User_Operation_Input!H71*(VLOOKUP(User_Operation_Input!$D71,Unit_Map!$A$6:$C$18,3,0))/Unit_Map!D$3)</f>
        <v>0</v>
      </c>
      <c r="I71" s="55">
        <f>IF(User_Operation_Input!I71="N/A","",User_Operation_Input!I71*(VLOOKUP(User_Operation_Input!$D71,Unit_Map!$A$6:$C$18,3,0))/Unit_Map!E$3)</f>
        <v>0</v>
      </c>
      <c r="J71" s="55">
        <f>IF(User_Operation_Input!J71="N/A","",User_Operation_Input!J71*(VLOOKUP(User_Operation_Input!$D71,Unit_Map!$A$6:$C$18,3,0))/Unit_Map!F$3)</f>
        <v>0</v>
      </c>
      <c r="K71" s="55">
        <f>IF(User_Operation_Input!K71="N/A","",User_Operation_Input!K71*(VLOOKUP(User_Operation_Input!$D71,Unit_Map!$A$6:$C$18,3,0))/Unit_Map!G$3)</f>
        <v>0</v>
      </c>
      <c r="L71" s="55">
        <f>IF(User_Operation_Input!L71="N/A","",User_Operation_Input!L71*(VLOOKUP(User_Operation_Input!$D71,Unit_Map!$A$6:$C$18,3,0))/Unit_Map!H$3)</f>
        <v>0</v>
      </c>
      <c r="M71" s="55">
        <f>IF(User_Operation_Input!M71="N/A","",User_Operation_Input!M71*(VLOOKUP(User_Operation_Input!$D71,Unit_Map!$A$6:$C$18,3,0))/Unit_Map!I$3)</f>
        <v>0</v>
      </c>
      <c r="N71" s="55">
        <f>IF(User_Operation_Input!N71="N/A","",User_Operation_Input!N71*(VLOOKUP(User_Operation_Input!$D71,Unit_Map!$A$6:$C$18,3,0))/Unit_Map!J$3)</f>
        <v>0</v>
      </c>
      <c r="O71" s="159">
        <f>IF(OR(G71="",H71="",I71="",J71=""),"",SUM(G71*Unit_Map!C$3,H71*Unit_Map!D$3,I71*Unit_Map!E$3,J71*Unit_Map!F$3)/Unit_Map!K$3)</f>
        <v>0</v>
      </c>
    </row>
    <row r="72" spans="2:16" x14ac:dyDescent="0.2">
      <c r="B72" s="260" t="s">
        <v>1103</v>
      </c>
      <c r="C72" s="241" t="s">
        <v>1195</v>
      </c>
      <c r="D72" s="64" t="str">
        <f t="shared" si="6"/>
        <v>USD Million</v>
      </c>
      <c r="E72" s="52"/>
      <c r="F72" s="55">
        <f>IF(User_Operation_Input!F72="N/A","",User_Operation_Input!F72*(VLOOKUP(User_Operation_Input!$D72,Unit_Map!$A$6:$C$18,3,0))/Unit_Map!B$3)</f>
        <v>0</v>
      </c>
      <c r="G72" s="55">
        <f>IF(User_Operation_Input!G72="N/A","",User_Operation_Input!G72*(VLOOKUP(User_Operation_Input!$D72,Unit_Map!$A$6:$C$18,3,0))/Unit_Map!C$3)</f>
        <v>0</v>
      </c>
      <c r="H72" s="55">
        <f>IF(User_Operation_Input!H72="N/A","",User_Operation_Input!H72*(VLOOKUP(User_Operation_Input!$D72,Unit_Map!$A$6:$C$18,3,0))/Unit_Map!D$3)</f>
        <v>0</v>
      </c>
      <c r="I72" s="55">
        <f>IF(User_Operation_Input!I72="N/A","",User_Operation_Input!I72*(VLOOKUP(User_Operation_Input!$D72,Unit_Map!$A$6:$C$18,3,0))/Unit_Map!E$3)</f>
        <v>0</v>
      </c>
      <c r="J72" s="55">
        <f>IF(User_Operation_Input!J72="N/A","",User_Operation_Input!J72*(VLOOKUP(User_Operation_Input!$D72,Unit_Map!$A$6:$C$18,3,0))/Unit_Map!F$3)</f>
        <v>0</v>
      </c>
      <c r="K72" s="55">
        <f>IF(User_Operation_Input!K72="N/A","",User_Operation_Input!K72*(VLOOKUP(User_Operation_Input!$D72,Unit_Map!$A$6:$C$18,3,0))/Unit_Map!G$3)</f>
        <v>0</v>
      </c>
      <c r="L72" s="55">
        <f>IF(User_Operation_Input!L72="N/A","",User_Operation_Input!L72*(VLOOKUP(User_Operation_Input!$D72,Unit_Map!$A$6:$C$18,3,0))/Unit_Map!H$3)</f>
        <v>0</v>
      </c>
      <c r="M72" s="55">
        <f>IF(User_Operation_Input!M72="N/A","",User_Operation_Input!M72*(VLOOKUP(User_Operation_Input!$D72,Unit_Map!$A$6:$C$18,3,0))/Unit_Map!I$3)</f>
        <v>0</v>
      </c>
      <c r="N72" s="55">
        <f>IF(User_Operation_Input!N72="N/A","",User_Operation_Input!N72*(VLOOKUP(User_Operation_Input!$D72,Unit_Map!$A$6:$C$18,3,0))/Unit_Map!J$3)</f>
        <v>0</v>
      </c>
      <c r="O72" s="159">
        <f>IF(OR(G72="",H72="",I72="",J72=""),"",SUM(G72*Unit_Map!C$3,H72*Unit_Map!D$3,I72*Unit_Map!E$3,J72*Unit_Map!F$3)/Unit_Map!K$3)</f>
        <v>0</v>
      </c>
    </row>
    <row r="73" spans="2:16" x14ac:dyDescent="0.2">
      <c r="B73" s="260" t="s">
        <v>1197</v>
      </c>
      <c r="C73" s="241" t="s">
        <v>1177</v>
      </c>
      <c r="D73" s="64" t="str">
        <f t="shared" si="6"/>
        <v>USD Million</v>
      </c>
      <c r="E73" s="52"/>
      <c r="F73" s="55">
        <f>IF(User_Operation_Input!F73="N/A","",User_Operation_Input!F73*(VLOOKUP(User_Operation_Input!$D73,Unit_Map!$A$6:$C$18,3,0))/Unit_Map!B$3)</f>
        <v>0</v>
      </c>
      <c r="G73" s="55">
        <f>IF(User_Operation_Input!G73="N/A","",User_Operation_Input!G73*(VLOOKUP(User_Operation_Input!$D73,Unit_Map!$A$6:$C$18,3,0))/Unit_Map!C$3)</f>
        <v>0</v>
      </c>
      <c r="H73" s="55">
        <f>IF(User_Operation_Input!H73="N/A","",User_Operation_Input!H73*(VLOOKUP(User_Operation_Input!$D73,Unit_Map!$A$6:$C$18,3,0))/Unit_Map!D$3)</f>
        <v>0</v>
      </c>
      <c r="I73" s="55">
        <f>IF(User_Operation_Input!I73="N/A","",User_Operation_Input!I73*(VLOOKUP(User_Operation_Input!$D73,Unit_Map!$A$6:$C$18,3,0))/Unit_Map!E$3)</f>
        <v>0</v>
      </c>
      <c r="J73" s="55">
        <f>IF(User_Operation_Input!J73="N/A","",User_Operation_Input!J73*(VLOOKUP(User_Operation_Input!$D73,Unit_Map!$A$6:$C$18,3,0))/Unit_Map!F$3)</f>
        <v>0</v>
      </c>
      <c r="K73" s="55">
        <f>IF(User_Operation_Input!K73="N/A","",User_Operation_Input!K73*(VLOOKUP(User_Operation_Input!$D73,Unit_Map!$A$6:$C$18,3,0))/Unit_Map!G$3)</f>
        <v>0</v>
      </c>
      <c r="L73" s="55">
        <f>IF(User_Operation_Input!L73="N/A","",User_Operation_Input!L73*(VLOOKUP(User_Operation_Input!$D73,Unit_Map!$A$6:$C$18,3,0))/Unit_Map!H$3)</f>
        <v>0</v>
      </c>
      <c r="M73" s="55">
        <f>IF(User_Operation_Input!M73="N/A","",User_Operation_Input!M73*(VLOOKUP(User_Operation_Input!$D73,Unit_Map!$A$6:$C$18,3,0))/Unit_Map!I$3)</f>
        <v>0</v>
      </c>
      <c r="N73" s="55">
        <f>IF(User_Operation_Input!N73="N/A","",User_Operation_Input!N73*(VLOOKUP(User_Operation_Input!$D73,Unit_Map!$A$6:$C$18,3,0))/Unit_Map!J$3)</f>
        <v>0</v>
      </c>
      <c r="O73" s="159">
        <f>IF(OR(G73="",H73="",I73="",J73=""),"",SUM(G73*Unit_Map!C$3,H73*Unit_Map!D$3,I73*Unit_Map!E$3,J73*Unit_Map!F$3)/Unit_Map!K$3)</f>
        <v>0</v>
      </c>
    </row>
    <row r="74" spans="2:16" x14ac:dyDescent="0.2">
      <c r="B74" s="198"/>
      <c r="C74" s="248"/>
      <c r="D74" s="53"/>
      <c r="E74" s="52"/>
      <c r="F74" s="53"/>
      <c r="G74" s="53"/>
      <c r="H74" s="53"/>
      <c r="I74" s="53"/>
      <c r="J74" s="53"/>
      <c r="K74" s="53"/>
      <c r="L74" s="53"/>
      <c r="M74" s="53"/>
      <c r="N74" s="205"/>
      <c r="O74" s="53"/>
      <c r="P74" s="99"/>
    </row>
    <row r="75" spans="2:16" s="231" customFormat="1" x14ac:dyDescent="0.2">
      <c r="B75" s="243" t="s">
        <v>176</v>
      </c>
      <c r="C75" s="249" t="s">
        <v>1352</v>
      </c>
      <c r="D75" s="256" t="str">
        <f>$D$26</f>
        <v>USD Million</v>
      </c>
      <c r="E75" s="247"/>
      <c r="F75" s="55">
        <f>IF(User_Operation_Input!F75="N/A","",User_Operation_Input!F75*(VLOOKUP(User_Operation_Input!$D75,Unit_Map!$A$6:$C$18,3,0))/Unit_Map!B$3)</f>
        <v>0</v>
      </c>
      <c r="G75" s="55">
        <f>IF(User_Operation_Input!G75="N/A","",User_Operation_Input!G75*(VLOOKUP(User_Operation_Input!$D75,Unit_Map!$A$6:$C$18,3,0))/Unit_Map!C$3)</f>
        <v>0</v>
      </c>
      <c r="H75" s="55">
        <f>IF(User_Operation_Input!H75="N/A","",User_Operation_Input!H75*(VLOOKUP(User_Operation_Input!$D75,Unit_Map!$A$6:$C$18,3,0))/Unit_Map!D$3)</f>
        <v>0</v>
      </c>
      <c r="I75" s="55">
        <f>IF(User_Operation_Input!I75="N/A","",User_Operation_Input!I75*(VLOOKUP(User_Operation_Input!$D75,Unit_Map!$A$6:$C$18,3,0))/Unit_Map!E$3)</f>
        <v>0</v>
      </c>
      <c r="J75" s="55">
        <f>IF(User_Operation_Input!J75="N/A","",User_Operation_Input!J75*(VLOOKUP(User_Operation_Input!$D75,Unit_Map!$A$6:$C$18,3,0))/Unit_Map!F$3)</f>
        <v>0</v>
      </c>
      <c r="K75" s="55">
        <f>IF(User_Operation_Input!K75="N/A","",User_Operation_Input!K75*(VLOOKUP(User_Operation_Input!$D75,Unit_Map!$A$6:$C$18,3,0))/Unit_Map!G$3)</f>
        <v>0</v>
      </c>
      <c r="L75" s="55">
        <f>IF(User_Operation_Input!L75="N/A","",User_Operation_Input!L75*(VLOOKUP(User_Operation_Input!$D75,Unit_Map!$A$6:$C$18,3,0))/Unit_Map!H$3)</f>
        <v>0</v>
      </c>
      <c r="M75" s="55">
        <f>IF(User_Operation_Input!M75="N/A","",User_Operation_Input!M75*(VLOOKUP(User_Operation_Input!$D75,Unit_Map!$A$6:$C$18,3,0))/Unit_Map!I$3)</f>
        <v>0</v>
      </c>
      <c r="N75" s="55">
        <f>IF(User_Operation_Input!N75="N/A","",User_Operation_Input!N75*(VLOOKUP(User_Operation_Input!$D75,Unit_Map!$A$6:$C$18,3,0))/Unit_Map!J$3)</f>
        <v>0</v>
      </c>
      <c r="O75" s="159">
        <f>IF(OR(G75="",H75="",I75="",J75=""),"",SUM(G75*Unit_Map!C$3,H75*Unit_Map!D$3,I75*Unit_Map!E$3,J75*Unit_Map!F$3)/Unit_Map!K$3)</f>
        <v>0</v>
      </c>
      <c r="P75" s="102"/>
    </row>
    <row r="76" spans="2:16" x14ac:dyDescent="0.2">
      <c r="B76" s="198"/>
      <c r="C76" s="248"/>
      <c r="D76" s="53"/>
      <c r="E76" s="52"/>
      <c r="F76" s="53"/>
      <c r="G76" s="53"/>
      <c r="H76" s="53"/>
      <c r="I76" s="53"/>
      <c r="J76" s="53"/>
      <c r="K76" s="53"/>
      <c r="L76" s="53"/>
      <c r="M76" s="53"/>
      <c r="N76" s="205"/>
      <c r="O76" s="53"/>
    </row>
    <row r="77" spans="2:16" x14ac:dyDescent="0.2">
      <c r="B77" s="243" t="s">
        <v>798</v>
      </c>
      <c r="C77" s="249" t="s">
        <v>1349</v>
      </c>
      <c r="D77" s="53"/>
      <c r="E77" s="52"/>
      <c r="F77" s="53"/>
      <c r="G77" s="53"/>
      <c r="H77" s="53"/>
      <c r="I77" s="53"/>
      <c r="J77" s="53"/>
      <c r="K77" s="53"/>
      <c r="L77" s="53"/>
      <c r="M77" s="53"/>
      <c r="N77" s="205"/>
      <c r="O77" s="53"/>
    </row>
    <row r="78" spans="2:16" x14ac:dyDescent="0.2">
      <c r="B78" s="260" t="s">
        <v>799</v>
      </c>
      <c r="C78" s="127" t="s">
        <v>1350</v>
      </c>
      <c r="D78" s="64" t="str">
        <f t="shared" ref="D78:D83" si="8">$D$26</f>
        <v>USD Million</v>
      </c>
      <c r="E78" s="52"/>
      <c r="F78" s="55">
        <f>IF(User_Operation_Input!F78="N/A","",User_Operation_Input!F78*(VLOOKUP(User_Operation_Input!$D78,Unit_Map!$A$6:$C$18,3,0))/Unit_Map!B$3)</f>
        <v>0</v>
      </c>
      <c r="G78" s="55">
        <f>IF(User_Operation_Input!G78="N/A","",User_Operation_Input!G78*(VLOOKUP(User_Operation_Input!$D78,Unit_Map!$A$6:$C$18,3,0))/Unit_Map!C$3)</f>
        <v>0</v>
      </c>
      <c r="H78" s="55">
        <f>IF(User_Operation_Input!H78="N/A","",User_Operation_Input!H78*(VLOOKUP(User_Operation_Input!$D78,Unit_Map!$A$6:$C$18,3,0))/Unit_Map!D$3)</f>
        <v>0</v>
      </c>
      <c r="I78" s="55">
        <f>IF(User_Operation_Input!I78="N/A","",User_Operation_Input!I78*(VLOOKUP(User_Operation_Input!$D78,Unit_Map!$A$6:$C$18,3,0))/Unit_Map!E$3)</f>
        <v>0</v>
      </c>
      <c r="J78" s="55">
        <f>IF(User_Operation_Input!J78="N/A","",User_Operation_Input!J78*(VLOOKUP(User_Operation_Input!$D78,Unit_Map!$A$6:$C$18,3,0))/Unit_Map!F$3)</f>
        <v>0</v>
      </c>
      <c r="K78" s="55">
        <f>IF(User_Operation_Input!K78="N/A","",User_Operation_Input!K78*(VLOOKUP(User_Operation_Input!$D78,Unit_Map!$A$6:$C$18,3,0))/Unit_Map!G$3)</f>
        <v>0</v>
      </c>
      <c r="L78" s="55">
        <f>IF(User_Operation_Input!L78="N/A","",User_Operation_Input!L78*(VLOOKUP(User_Operation_Input!$D78,Unit_Map!$A$6:$C$18,3,0))/Unit_Map!H$3)</f>
        <v>0</v>
      </c>
      <c r="M78" s="55">
        <f>IF(User_Operation_Input!M78="N/A","",User_Operation_Input!M78*(VLOOKUP(User_Operation_Input!$D78,Unit_Map!$A$6:$C$18,3,0))/Unit_Map!I$3)</f>
        <v>0</v>
      </c>
      <c r="N78" s="55">
        <f>IF(User_Operation_Input!N78="N/A","",User_Operation_Input!N78*(VLOOKUP(User_Operation_Input!$D78,Unit_Map!$A$6:$C$18,3,0))/Unit_Map!J$3)</f>
        <v>0</v>
      </c>
      <c r="O78" s="159">
        <f>IF(OR(G78="",H78="",I78="",J78=""),"",SUM(G78*Unit_Map!C$3,H78*Unit_Map!D$3,I78*Unit_Map!E$3,J78*Unit_Map!F$3)/Unit_Map!K$3)</f>
        <v>0</v>
      </c>
      <c r="P78" s="107"/>
    </row>
    <row r="79" spans="2:16" x14ac:dyDescent="0.2">
      <c r="B79" s="243" t="s">
        <v>800</v>
      </c>
      <c r="C79" s="249" t="s">
        <v>1351</v>
      </c>
      <c r="D79" s="64" t="str">
        <f t="shared" si="8"/>
        <v>USD Million</v>
      </c>
      <c r="E79" s="52"/>
      <c r="F79" s="158">
        <f t="shared" ref="F79:O79" si="9">IF(AND(F80="",F81=""),"",SUM(F80:F81))</f>
        <v>0</v>
      </c>
      <c r="G79" s="158">
        <f t="shared" si="9"/>
        <v>0</v>
      </c>
      <c r="H79" s="158">
        <f t="shared" si="9"/>
        <v>0</v>
      </c>
      <c r="I79" s="158">
        <f t="shared" si="9"/>
        <v>0</v>
      </c>
      <c r="J79" s="158">
        <f t="shared" si="9"/>
        <v>0</v>
      </c>
      <c r="K79" s="158">
        <f t="shared" si="9"/>
        <v>0</v>
      </c>
      <c r="L79" s="158">
        <f t="shared" si="9"/>
        <v>0</v>
      </c>
      <c r="M79" s="158">
        <f t="shared" si="9"/>
        <v>0</v>
      </c>
      <c r="N79" s="158">
        <f t="shared" si="9"/>
        <v>0</v>
      </c>
      <c r="O79" s="158">
        <f t="shared" si="9"/>
        <v>0</v>
      </c>
    </row>
    <row r="80" spans="2:16" x14ac:dyDescent="0.2">
      <c r="B80" s="260" t="s">
        <v>1353</v>
      </c>
      <c r="C80" s="292" t="s">
        <v>1357</v>
      </c>
      <c r="D80" s="256" t="str">
        <f t="shared" si="8"/>
        <v>USD Million</v>
      </c>
      <c r="E80" s="52"/>
      <c r="F80" s="55">
        <f>IF(User_Operation_Input!F80="N/A","",User_Operation_Input!F80*(VLOOKUP(User_Operation_Input!$D80,Unit_Map!$A$6:$C$18,3,0))/Unit_Map!B$3)</f>
        <v>0</v>
      </c>
      <c r="G80" s="55">
        <f>IF(User_Operation_Input!G80="N/A","",User_Operation_Input!G80*(VLOOKUP(User_Operation_Input!$D80,Unit_Map!$A$6:$C$18,3,0))/Unit_Map!C$3)</f>
        <v>0</v>
      </c>
      <c r="H80" s="55">
        <f>IF(User_Operation_Input!H80="N/A","",User_Operation_Input!H80*(VLOOKUP(User_Operation_Input!$D80,Unit_Map!$A$6:$C$18,3,0))/Unit_Map!D$3)</f>
        <v>0</v>
      </c>
      <c r="I80" s="55">
        <f>IF(User_Operation_Input!I80="N/A","",User_Operation_Input!I80*(VLOOKUP(User_Operation_Input!$D80,Unit_Map!$A$6:$C$18,3,0))/Unit_Map!E$3)</f>
        <v>0</v>
      </c>
      <c r="J80" s="55">
        <f>IF(User_Operation_Input!J80="N/A","",User_Operation_Input!J80*(VLOOKUP(User_Operation_Input!$D80,Unit_Map!$A$6:$C$18,3,0))/Unit_Map!F$3)</f>
        <v>0</v>
      </c>
      <c r="K80" s="55">
        <f>IF(User_Operation_Input!K80="N/A","",User_Operation_Input!K80*(VLOOKUP(User_Operation_Input!$D80,Unit_Map!$A$6:$C$18,3,0))/Unit_Map!G$3)</f>
        <v>0</v>
      </c>
      <c r="L80" s="55">
        <f>IF(User_Operation_Input!L80="N/A","",User_Operation_Input!L80*(VLOOKUP(User_Operation_Input!$D80,Unit_Map!$A$6:$C$18,3,0))/Unit_Map!H$3)</f>
        <v>0</v>
      </c>
      <c r="M80" s="55">
        <f>IF(User_Operation_Input!M80="N/A","",User_Operation_Input!M80*(VLOOKUP(User_Operation_Input!$D80,Unit_Map!$A$6:$C$18,3,0))/Unit_Map!I$3)</f>
        <v>0</v>
      </c>
      <c r="N80" s="55">
        <f>IF(User_Operation_Input!N80="N/A","",User_Operation_Input!N80*(VLOOKUP(User_Operation_Input!$D80,Unit_Map!$A$6:$C$18,3,0))/Unit_Map!J$3)</f>
        <v>0</v>
      </c>
      <c r="O80" s="159">
        <f>IF(OR(G80="",H80="",I80="",J80=""),"",SUM(G80*Unit_Map!C$3,H80*Unit_Map!D$3,I80*Unit_Map!E$3,J80*Unit_Map!F$3)/Unit_Map!K$3)</f>
        <v>0</v>
      </c>
    </row>
    <row r="81" spans="2:16" x14ac:dyDescent="0.2">
      <c r="B81" s="260" t="s">
        <v>1354</v>
      </c>
      <c r="C81" s="127" t="s">
        <v>1358</v>
      </c>
      <c r="D81" s="256" t="str">
        <f t="shared" si="8"/>
        <v>USD Million</v>
      </c>
      <c r="E81" s="52"/>
      <c r="F81" s="55">
        <f>IF(User_Operation_Input!F81="N/A","",User_Operation_Input!F81*(VLOOKUP(User_Operation_Input!$D81,Unit_Map!$A$6:$C$18,3,0))/Unit_Map!B$3)</f>
        <v>0</v>
      </c>
      <c r="G81" s="55">
        <f>IF(User_Operation_Input!G81="N/A","",User_Operation_Input!G81*(VLOOKUP(User_Operation_Input!$D81,Unit_Map!$A$6:$C$18,3,0))/Unit_Map!C$3)</f>
        <v>0</v>
      </c>
      <c r="H81" s="55">
        <f>IF(User_Operation_Input!H81="N/A","",User_Operation_Input!H81*(VLOOKUP(User_Operation_Input!$D81,Unit_Map!$A$6:$C$18,3,0))/Unit_Map!D$3)</f>
        <v>0</v>
      </c>
      <c r="I81" s="55">
        <f>IF(User_Operation_Input!I81="N/A","",User_Operation_Input!I81*(VLOOKUP(User_Operation_Input!$D81,Unit_Map!$A$6:$C$18,3,0))/Unit_Map!E$3)</f>
        <v>0</v>
      </c>
      <c r="J81" s="55">
        <f>IF(User_Operation_Input!J81="N/A","",User_Operation_Input!J81*(VLOOKUP(User_Operation_Input!$D81,Unit_Map!$A$6:$C$18,3,0))/Unit_Map!F$3)</f>
        <v>0</v>
      </c>
      <c r="K81" s="55">
        <f>IF(User_Operation_Input!K81="N/A","",User_Operation_Input!K81*(VLOOKUP(User_Operation_Input!$D81,Unit_Map!$A$6:$C$18,3,0))/Unit_Map!G$3)</f>
        <v>0</v>
      </c>
      <c r="L81" s="55">
        <f>IF(User_Operation_Input!L81="N/A","",User_Operation_Input!L81*(VLOOKUP(User_Operation_Input!$D81,Unit_Map!$A$6:$C$18,3,0))/Unit_Map!H$3)</f>
        <v>0</v>
      </c>
      <c r="M81" s="55">
        <f>IF(User_Operation_Input!M81="N/A","",User_Operation_Input!M81*(VLOOKUP(User_Operation_Input!$D81,Unit_Map!$A$6:$C$18,3,0))/Unit_Map!I$3)</f>
        <v>0</v>
      </c>
      <c r="N81" s="55">
        <f>IF(User_Operation_Input!N81="N/A","",User_Operation_Input!N81*(VLOOKUP(User_Operation_Input!$D81,Unit_Map!$A$6:$C$18,3,0))/Unit_Map!J$3)</f>
        <v>0</v>
      </c>
      <c r="O81" s="159">
        <f>IF(OR(G81="",H81="",I81="",J81=""),"",SUM(G81*Unit_Map!C$3,H81*Unit_Map!D$3,I81*Unit_Map!E$3,J81*Unit_Map!F$3)/Unit_Map!K$3)</f>
        <v>0</v>
      </c>
    </row>
    <row r="82" spans="2:16" s="231" customFormat="1" x14ac:dyDescent="0.2">
      <c r="B82" s="260" t="s">
        <v>1355</v>
      </c>
      <c r="C82" s="127" t="s">
        <v>1359</v>
      </c>
      <c r="D82" s="256" t="str">
        <f t="shared" si="8"/>
        <v>USD Million</v>
      </c>
      <c r="E82" s="247"/>
      <c r="F82" s="55">
        <f>IF(User_Operation_Input!F82="N/A","",User_Operation_Input!F82*(VLOOKUP(User_Operation_Input!$D82,Unit_Map!$A$6:$C$18,3,0))/Unit_Map!B$3)</f>
        <v>0</v>
      </c>
      <c r="G82" s="55">
        <f>IF(User_Operation_Input!G82="N/A","",User_Operation_Input!G82*(VLOOKUP(User_Operation_Input!$D82,Unit_Map!$A$6:$C$18,3,0))/Unit_Map!C$3)</f>
        <v>0</v>
      </c>
      <c r="H82" s="55">
        <f>IF(User_Operation_Input!H82="N/A","",User_Operation_Input!H82*(VLOOKUP(User_Operation_Input!$D82,Unit_Map!$A$6:$C$18,3,0))/Unit_Map!D$3)</f>
        <v>0</v>
      </c>
      <c r="I82" s="55">
        <f>IF(User_Operation_Input!I82="N/A","",User_Operation_Input!I82*(VLOOKUP(User_Operation_Input!$D82,Unit_Map!$A$6:$C$18,3,0))/Unit_Map!E$3)</f>
        <v>0</v>
      </c>
      <c r="J82" s="55">
        <f>IF(User_Operation_Input!J82="N/A","",User_Operation_Input!J82*(VLOOKUP(User_Operation_Input!$D82,Unit_Map!$A$6:$C$18,3,0))/Unit_Map!F$3)</f>
        <v>0</v>
      </c>
      <c r="K82" s="55">
        <f>IF(User_Operation_Input!K82="N/A","",User_Operation_Input!K82*(VLOOKUP(User_Operation_Input!$D82,Unit_Map!$A$6:$C$18,3,0))/Unit_Map!G$3)</f>
        <v>0</v>
      </c>
      <c r="L82" s="55">
        <f>IF(User_Operation_Input!L82="N/A","",User_Operation_Input!L82*(VLOOKUP(User_Operation_Input!$D82,Unit_Map!$A$6:$C$18,3,0))/Unit_Map!H$3)</f>
        <v>0</v>
      </c>
      <c r="M82" s="55">
        <f>IF(User_Operation_Input!M82="N/A","",User_Operation_Input!M82*(VLOOKUP(User_Operation_Input!$D82,Unit_Map!$A$6:$C$18,3,0))/Unit_Map!I$3)</f>
        <v>0</v>
      </c>
      <c r="N82" s="55">
        <f>IF(User_Operation_Input!N82="N/A","",User_Operation_Input!N82*(VLOOKUP(User_Operation_Input!$D82,Unit_Map!$A$6:$C$18,3,0))/Unit_Map!J$3)</f>
        <v>0</v>
      </c>
      <c r="O82" s="159">
        <f>IF(OR(G82="",H82="",I82="",J82=""),"",SUM(G82*Unit_Map!C$3,H82*Unit_Map!D$3,I82*Unit_Map!E$3,J82*Unit_Map!F$3)/Unit_Map!K$3)</f>
        <v>0</v>
      </c>
    </row>
    <row r="83" spans="2:16" s="231" customFormat="1" x14ac:dyDescent="0.2">
      <c r="B83" s="260" t="s">
        <v>1356</v>
      </c>
      <c r="C83" s="241" t="s">
        <v>1506</v>
      </c>
      <c r="D83" s="256" t="str">
        <f t="shared" si="8"/>
        <v>USD Million</v>
      </c>
      <c r="E83" s="247"/>
      <c r="F83" s="55">
        <f>IF(User_Operation_Input!F83="N/A","",User_Operation_Input!F83*(VLOOKUP(User_Operation_Input!$D83,Unit_Map!$A$6:$C$18,3,0))/Unit_Map!B$3)</f>
        <v>0</v>
      </c>
      <c r="G83" s="55">
        <f>IF(User_Operation_Input!G83="N/A","",User_Operation_Input!G83*(VLOOKUP(User_Operation_Input!$D83,Unit_Map!$A$6:$C$18,3,0))/Unit_Map!C$3)</f>
        <v>0</v>
      </c>
      <c r="H83" s="55">
        <f>IF(User_Operation_Input!H83="N/A","",User_Operation_Input!H83*(VLOOKUP(User_Operation_Input!$D83,Unit_Map!$A$6:$C$18,3,0))/Unit_Map!D$3)</f>
        <v>0</v>
      </c>
      <c r="I83" s="55">
        <f>IF(User_Operation_Input!I83="N/A","",User_Operation_Input!I83*(VLOOKUP(User_Operation_Input!$D83,Unit_Map!$A$6:$C$18,3,0))/Unit_Map!E$3)</f>
        <v>0</v>
      </c>
      <c r="J83" s="55">
        <f>IF(User_Operation_Input!J83="N/A","",User_Operation_Input!J83*(VLOOKUP(User_Operation_Input!$D83,Unit_Map!$A$6:$C$18,3,0))/Unit_Map!F$3)</f>
        <v>0</v>
      </c>
      <c r="K83" s="55">
        <f>IF(User_Operation_Input!K83="N/A","",User_Operation_Input!K83*(VLOOKUP(User_Operation_Input!$D83,Unit_Map!$A$6:$C$18,3,0))/Unit_Map!G$3)</f>
        <v>0</v>
      </c>
      <c r="L83" s="55">
        <f>IF(User_Operation_Input!L83="N/A","",User_Operation_Input!L83*(VLOOKUP(User_Operation_Input!$D83,Unit_Map!$A$6:$C$18,3,0))/Unit_Map!H$3)</f>
        <v>0</v>
      </c>
      <c r="M83" s="55">
        <f>IF(User_Operation_Input!M83="N/A","",User_Operation_Input!M83*(VLOOKUP(User_Operation_Input!$D83,Unit_Map!$A$6:$C$18,3,0))/Unit_Map!I$3)</f>
        <v>0</v>
      </c>
      <c r="N83" s="55">
        <f>IF(User_Operation_Input!N83="N/A","",User_Operation_Input!N83*(VLOOKUP(User_Operation_Input!$D83,Unit_Map!$A$6:$C$18,3,0))/Unit_Map!J$3)</f>
        <v>0</v>
      </c>
      <c r="O83" s="159">
        <f>IF(OR(G83="",H83="",I83="",J83=""),"",SUM(G83*Unit_Map!C$3,H83*Unit_Map!D$3,I83*Unit_Map!E$3,J83*Unit_Map!F$3)/Unit_Map!K$3)</f>
        <v>0</v>
      </c>
    </row>
    <row r="84" spans="2:16" x14ac:dyDescent="0.2">
      <c r="B84" s="194"/>
      <c r="C84" s="247"/>
      <c r="D84" s="53"/>
      <c r="E84" s="52"/>
      <c r="F84" s="53"/>
      <c r="G84" s="53"/>
      <c r="H84" s="53"/>
      <c r="I84" s="53"/>
      <c r="J84" s="53"/>
      <c r="K84" s="53"/>
      <c r="L84" s="53"/>
      <c r="M84" s="53"/>
      <c r="N84" s="205"/>
      <c r="O84" s="53"/>
    </row>
    <row r="85" spans="2:16" x14ac:dyDescent="0.2">
      <c r="B85" s="243" t="s">
        <v>161</v>
      </c>
      <c r="C85" s="243" t="s">
        <v>383</v>
      </c>
      <c r="D85" s="53"/>
      <c r="E85" s="52"/>
      <c r="F85" s="53"/>
      <c r="G85" s="53"/>
      <c r="H85" s="53"/>
      <c r="I85" s="53"/>
      <c r="J85" s="53"/>
      <c r="K85" s="53"/>
      <c r="L85" s="53"/>
      <c r="M85" s="53"/>
      <c r="N85" s="205"/>
      <c r="O85" s="53"/>
    </row>
    <row r="86" spans="2:16" s="231" customFormat="1" x14ac:dyDescent="0.2">
      <c r="B86" s="243" t="s">
        <v>162</v>
      </c>
      <c r="C86" s="249" t="s">
        <v>1362</v>
      </c>
      <c r="D86" s="248"/>
      <c r="E86" s="247"/>
      <c r="F86" s="248"/>
      <c r="G86" s="248"/>
      <c r="H86" s="248"/>
      <c r="I86" s="248"/>
      <c r="J86" s="248"/>
      <c r="K86" s="248"/>
      <c r="L86" s="248"/>
      <c r="M86" s="248"/>
      <c r="N86" s="205"/>
      <c r="O86" s="248"/>
    </row>
    <row r="87" spans="2:16" x14ac:dyDescent="0.2">
      <c r="B87" s="260" t="s">
        <v>163</v>
      </c>
      <c r="C87" s="241" t="s">
        <v>1361</v>
      </c>
      <c r="D87" s="64" t="str">
        <f>$D$26</f>
        <v>USD Million</v>
      </c>
      <c r="E87" s="52"/>
      <c r="F87" s="55">
        <f>IF(User_Operation_Input!F87="N/A","",User_Operation_Input!F87*(VLOOKUP(User_Operation_Input!$D87,Unit_Map!$A$6:$C$18,3,0))/Unit_Map!B$3)</f>
        <v>0</v>
      </c>
      <c r="G87" s="55">
        <f>IF(User_Operation_Input!G87="N/A","",User_Operation_Input!G87*(VLOOKUP(User_Operation_Input!$D87,Unit_Map!$A$6:$C$18,3,0))/Unit_Map!C$3)</f>
        <v>0</v>
      </c>
      <c r="H87" s="55">
        <f>IF(User_Operation_Input!H87="N/A","",User_Operation_Input!H87*(VLOOKUP(User_Operation_Input!$D87,Unit_Map!$A$6:$C$18,3,0))/Unit_Map!D$3)</f>
        <v>0</v>
      </c>
      <c r="I87" s="55">
        <f>IF(User_Operation_Input!I87="N/A","",User_Operation_Input!I87*(VLOOKUP(User_Operation_Input!$D87,Unit_Map!$A$6:$C$18,3,0))/Unit_Map!E$3)</f>
        <v>0</v>
      </c>
      <c r="J87" s="55">
        <f>IF(User_Operation_Input!J87="N/A","",User_Operation_Input!J87*(VLOOKUP(User_Operation_Input!$D87,Unit_Map!$A$6:$C$18,3,0))/Unit_Map!F$3)</f>
        <v>0</v>
      </c>
      <c r="K87" s="55">
        <f>IF(User_Operation_Input!K87="N/A","",User_Operation_Input!K87*(VLOOKUP(User_Operation_Input!$D87,Unit_Map!$A$6:$C$18,3,0))/Unit_Map!G$3)</f>
        <v>0</v>
      </c>
      <c r="L87" s="55">
        <f>IF(User_Operation_Input!L87="N/A","",User_Operation_Input!L87*(VLOOKUP(User_Operation_Input!$D87,Unit_Map!$A$6:$C$18,3,0))/Unit_Map!H$3)</f>
        <v>0</v>
      </c>
      <c r="M87" s="55">
        <f>IF(User_Operation_Input!M87="N/A","",User_Operation_Input!M87*(VLOOKUP(User_Operation_Input!$D87,Unit_Map!$A$6:$C$18,3,0))/Unit_Map!I$3)</f>
        <v>0</v>
      </c>
      <c r="N87" s="55">
        <f>IF(User_Operation_Input!N87="N/A","",User_Operation_Input!N87*(VLOOKUP(User_Operation_Input!$D87,Unit_Map!$A$6:$C$18,3,0))/Unit_Map!J$3)</f>
        <v>0</v>
      </c>
      <c r="O87" s="159">
        <f>IF(OR(G87="",H87="",I87="",J87=""),"",SUM(G87*Unit_Map!C$3,H87*Unit_Map!D$3,I87*Unit_Map!E$3,J87*Unit_Map!F$3)/Unit_Map!K$3)</f>
        <v>0</v>
      </c>
    </row>
    <row r="88" spans="2:16" x14ac:dyDescent="0.2">
      <c r="B88" s="260" t="s">
        <v>164</v>
      </c>
      <c r="C88" s="241" t="s">
        <v>1348</v>
      </c>
      <c r="D88" s="64" t="str">
        <f>$D$26</f>
        <v>USD Million</v>
      </c>
      <c r="E88" s="52"/>
      <c r="F88" s="55">
        <f>IF(User_Operation_Input!F88="N/A","",User_Operation_Input!F88*(VLOOKUP(User_Operation_Input!$D88,Unit_Map!$A$6:$C$18,3,0))/Unit_Map!B$3)</f>
        <v>0</v>
      </c>
      <c r="G88" s="55">
        <f>IF(User_Operation_Input!G88="N/A","",User_Operation_Input!G88*(VLOOKUP(User_Operation_Input!$D88,Unit_Map!$A$6:$C$18,3,0))/Unit_Map!C$3)</f>
        <v>0</v>
      </c>
      <c r="H88" s="55">
        <f>IF(User_Operation_Input!H88="N/A","",User_Operation_Input!H88*(VLOOKUP(User_Operation_Input!$D88,Unit_Map!$A$6:$C$18,3,0))/Unit_Map!D$3)</f>
        <v>0</v>
      </c>
      <c r="I88" s="55">
        <f>IF(User_Operation_Input!I88="N/A","",User_Operation_Input!I88*(VLOOKUP(User_Operation_Input!$D88,Unit_Map!$A$6:$C$18,3,0))/Unit_Map!E$3)</f>
        <v>0</v>
      </c>
      <c r="J88" s="55">
        <f>IF(User_Operation_Input!J88="N/A","",User_Operation_Input!J88*(VLOOKUP(User_Operation_Input!$D88,Unit_Map!$A$6:$C$18,3,0))/Unit_Map!F$3)</f>
        <v>0</v>
      </c>
      <c r="K88" s="55">
        <f>IF(User_Operation_Input!K88="N/A","",User_Operation_Input!K88*(VLOOKUP(User_Operation_Input!$D88,Unit_Map!$A$6:$C$18,3,0))/Unit_Map!G$3)</f>
        <v>0</v>
      </c>
      <c r="L88" s="55">
        <f>IF(User_Operation_Input!L88="N/A","",User_Operation_Input!L88*(VLOOKUP(User_Operation_Input!$D88,Unit_Map!$A$6:$C$18,3,0))/Unit_Map!H$3)</f>
        <v>0</v>
      </c>
      <c r="M88" s="55">
        <f>IF(User_Operation_Input!M88="N/A","",User_Operation_Input!M88*(VLOOKUP(User_Operation_Input!$D88,Unit_Map!$A$6:$C$18,3,0))/Unit_Map!I$3)</f>
        <v>0</v>
      </c>
      <c r="N88" s="55">
        <f>IF(User_Operation_Input!N88="N/A","",User_Operation_Input!N88*(VLOOKUP(User_Operation_Input!$D88,Unit_Map!$A$6:$C$18,3,0))/Unit_Map!J$3)</f>
        <v>0</v>
      </c>
      <c r="O88" s="159">
        <f>IF(OR(G88="",H88="",I88="",J88=""),"",SUM(G88*Unit_Map!C$3,H88*Unit_Map!D$3,I88*Unit_Map!E$3,J88*Unit_Map!F$3)/Unit_Map!K$3)</f>
        <v>0</v>
      </c>
      <c r="P88" s="102"/>
    </row>
    <row r="89" spans="2:16" x14ac:dyDescent="0.2">
      <c r="B89" s="243" t="s">
        <v>165</v>
      </c>
      <c r="C89" s="249" t="s">
        <v>981</v>
      </c>
      <c r="D89" s="64" t="str">
        <f>$D$26</f>
        <v>USD Million</v>
      </c>
      <c r="E89" s="52"/>
      <c r="F89" s="158">
        <f t="shared" ref="F89:O89" si="10">IF(AND(F90="",F91=""),"",SUM(F90:F91))</f>
        <v>0</v>
      </c>
      <c r="G89" s="158">
        <f t="shared" si="10"/>
        <v>0</v>
      </c>
      <c r="H89" s="158">
        <f t="shared" si="10"/>
        <v>0</v>
      </c>
      <c r="I89" s="158">
        <f t="shared" si="10"/>
        <v>0</v>
      </c>
      <c r="J89" s="158">
        <f t="shared" si="10"/>
        <v>0</v>
      </c>
      <c r="K89" s="158">
        <f t="shared" si="10"/>
        <v>0</v>
      </c>
      <c r="L89" s="158">
        <f t="shared" si="10"/>
        <v>0</v>
      </c>
      <c r="M89" s="158">
        <f t="shared" si="10"/>
        <v>0</v>
      </c>
      <c r="N89" s="158">
        <f t="shared" si="10"/>
        <v>0</v>
      </c>
      <c r="O89" s="158">
        <f t="shared" si="10"/>
        <v>0</v>
      </c>
    </row>
    <row r="90" spans="2:16" x14ac:dyDescent="0.2">
      <c r="B90" s="260" t="s">
        <v>1364</v>
      </c>
      <c r="C90" s="241" t="s">
        <v>1363</v>
      </c>
      <c r="D90" s="64" t="str">
        <f>$D$26</f>
        <v>USD Million</v>
      </c>
      <c r="E90" s="52"/>
      <c r="F90" s="55">
        <f>IF(User_Operation_Input!F90="N/A","",User_Operation_Input!F90*(VLOOKUP(User_Operation_Input!$D90,Unit_Map!$A$6:$C$18,3,0))/Unit_Map!B$3)</f>
        <v>0</v>
      </c>
      <c r="G90" s="55">
        <f>IF(User_Operation_Input!G90="N/A","",User_Operation_Input!G90*(VLOOKUP(User_Operation_Input!$D90,Unit_Map!$A$6:$C$18,3,0))/Unit_Map!C$3)</f>
        <v>0</v>
      </c>
      <c r="H90" s="55">
        <f>IF(User_Operation_Input!H90="N/A","",User_Operation_Input!H90*(VLOOKUP(User_Operation_Input!$D90,Unit_Map!$A$6:$C$18,3,0))/Unit_Map!D$3)</f>
        <v>0</v>
      </c>
      <c r="I90" s="55">
        <f>IF(User_Operation_Input!I90="N/A","",User_Operation_Input!I90*(VLOOKUP(User_Operation_Input!$D90,Unit_Map!$A$6:$C$18,3,0))/Unit_Map!E$3)</f>
        <v>0</v>
      </c>
      <c r="J90" s="55">
        <f>IF(User_Operation_Input!J90="N/A","",User_Operation_Input!J90*(VLOOKUP(User_Operation_Input!$D90,Unit_Map!$A$6:$C$18,3,0))/Unit_Map!F$3)</f>
        <v>0</v>
      </c>
      <c r="K90" s="55">
        <f>IF(User_Operation_Input!K90="N/A","",User_Operation_Input!K90*(VLOOKUP(User_Operation_Input!$D90,Unit_Map!$A$6:$C$18,3,0))/Unit_Map!G$3)</f>
        <v>0</v>
      </c>
      <c r="L90" s="55">
        <f>IF(User_Operation_Input!L90="N/A","",User_Operation_Input!L90*(VLOOKUP(User_Operation_Input!$D90,Unit_Map!$A$6:$C$18,3,0))/Unit_Map!H$3)</f>
        <v>0</v>
      </c>
      <c r="M90" s="55">
        <f>IF(User_Operation_Input!M90="N/A","",User_Operation_Input!M90*(VLOOKUP(User_Operation_Input!$D90,Unit_Map!$A$6:$C$18,3,0))/Unit_Map!I$3)</f>
        <v>0</v>
      </c>
      <c r="N90" s="55">
        <f>IF(User_Operation_Input!N90="N/A","",User_Operation_Input!N90*(VLOOKUP(User_Operation_Input!$D90,Unit_Map!$A$6:$C$18,3,0))/Unit_Map!J$3)</f>
        <v>0</v>
      </c>
      <c r="O90" s="159">
        <f>IF(OR(G90="",H90="",I90="",J90=""),"",SUM(G90*Unit_Map!C$3,H90*Unit_Map!D$3,I90*Unit_Map!E$3,J90*Unit_Map!F$3)/Unit_Map!K$3)</f>
        <v>0</v>
      </c>
    </row>
    <row r="91" spans="2:16" x14ac:dyDescent="0.2">
      <c r="B91" s="260" t="s">
        <v>1365</v>
      </c>
      <c r="C91" s="241" t="s">
        <v>1087</v>
      </c>
      <c r="D91" s="64" t="str">
        <f>$D$26</f>
        <v>USD Million</v>
      </c>
      <c r="E91" s="52"/>
      <c r="F91" s="55">
        <f>IF(User_Operation_Input!F91="N/A","",User_Operation_Input!F91*(VLOOKUP(User_Operation_Input!$D91,Unit_Map!$A$6:$C$18,3,0))/Unit_Map!B$3)</f>
        <v>0</v>
      </c>
      <c r="G91" s="55">
        <f>IF(User_Operation_Input!G91="N/A","",User_Operation_Input!G91*(VLOOKUP(User_Operation_Input!$D91,Unit_Map!$A$6:$C$18,3,0))/Unit_Map!C$3)</f>
        <v>0</v>
      </c>
      <c r="H91" s="55">
        <f>IF(User_Operation_Input!H91="N/A","",User_Operation_Input!H91*(VLOOKUP(User_Operation_Input!$D91,Unit_Map!$A$6:$C$18,3,0))/Unit_Map!D$3)</f>
        <v>0</v>
      </c>
      <c r="I91" s="55">
        <f>IF(User_Operation_Input!I91="N/A","",User_Operation_Input!I91*(VLOOKUP(User_Operation_Input!$D91,Unit_Map!$A$6:$C$18,3,0))/Unit_Map!E$3)</f>
        <v>0</v>
      </c>
      <c r="J91" s="55">
        <f>IF(User_Operation_Input!J91="N/A","",User_Operation_Input!J91*(VLOOKUP(User_Operation_Input!$D91,Unit_Map!$A$6:$C$18,3,0))/Unit_Map!F$3)</f>
        <v>0</v>
      </c>
      <c r="K91" s="55">
        <f>IF(User_Operation_Input!K91="N/A","",User_Operation_Input!K91*(VLOOKUP(User_Operation_Input!$D91,Unit_Map!$A$6:$C$18,3,0))/Unit_Map!G$3)</f>
        <v>0</v>
      </c>
      <c r="L91" s="55">
        <f>IF(User_Operation_Input!L91="N/A","",User_Operation_Input!L91*(VLOOKUP(User_Operation_Input!$D91,Unit_Map!$A$6:$C$18,3,0))/Unit_Map!H$3)</f>
        <v>0</v>
      </c>
      <c r="M91" s="55">
        <f>IF(User_Operation_Input!M91="N/A","",User_Operation_Input!M91*(VLOOKUP(User_Operation_Input!$D91,Unit_Map!$A$6:$C$18,3,0))/Unit_Map!I$3)</f>
        <v>0</v>
      </c>
      <c r="N91" s="55">
        <f>IF(User_Operation_Input!N91="N/A","",User_Operation_Input!N91*(VLOOKUP(User_Operation_Input!$D91,Unit_Map!$A$6:$C$18,3,0))/Unit_Map!J$3)</f>
        <v>0</v>
      </c>
      <c r="O91" s="159">
        <f>IF(OR(G91="",H91="",I91="",J91=""),"",SUM(G91*Unit_Map!C$3,H91*Unit_Map!D$3,I91*Unit_Map!E$3,J91*Unit_Map!F$3)/Unit_Map!K$3)</f>
        <v>0</v>
      </c>
      <c r="P91" s="24"/>
    </row>
    <row r="92" spans="2:16" x14ac:dyDescent="0.2">
      <c r="B92" s="198"/>
      <c r="C92" s="248"/>
      <c r="D92" s="53"/>
      <c r="E92" s="53"/>
      <c r="F92" s="53"/>
      <c r="G92" s="53"/>
      <c r="H92" s="53"/>
      <c r="I92" s="53"/>
      <c r="J92" s="53"/>
      <c r="K92" s="53"/>
      <c r="L92" s="53"/>
      <c r="M92" s="53"/>
      <c r="N92" s="205"/>
      <c r="O92" s="53"/>
      <c r="P92" s="46"/>
    </row>
    <row r="93" spans="2:16" x14ac:dyDescent="0.2">
      <c r="B93" s="243" t="s">
        <v>638</v>
      </c>
      <c r="C93" s="249" t="s">
        <v>1212</v>
      </c>
      <c r="D93" s="64" t="str">
        <f>$D$26</f>
        <v>USD Million</v>
      </c>
      <c r="E93" s="52"/>
      <c r="F93" s="158">
        <f t="shared" ref="F93:O93" si="11">IF(AND(F94="",F95="",F96=""),"",SUM(F94:F96))</f>
        <v>0</v>
      </c>
      <c r="G93" s="158">
        <f t="shared" si="11"/>
        <v>0</v>
      </c>
      <c r="H93" s="158">
        <f t="shared" si="11"/>
        <v>0</v>
      </c>
      <c r="I93" s="158">
        <f t="shared" si="11"/>
        <v>0</v>
      </c>
      <c r="J93" s="158">
        <f t="shared" si="11"/>
        <v>0</v>
      </c>
      <c r="K93" s="158">
        <f t="shared" si="11"/>
        <v>0</v>
      </c>
      <c r="L93" s="158">
        <f t="shared" si="11"/>
        <v>0</v>
      </c>
      <c r="M93" s="158">
        <f t="shared" si="11"/>
        <v>0</v>
      </c>
      <c r="N93" s="158">
        <f t="shared" si="11"/>
        <v>0</v>
      </c>
      <c r="O93" s="158">
        <f t="shared" si="11"/>
        <v>0</v>
      </c>
    </row>
    <row r="94" spans="2:16" x14ac:dyDescent="0.2">
      <c r="B94" s="260" t="s">
        <v>639</v>
      </c>
      <c r="C94" s="241" t="s">
        <v>1130</v>
      </c>
      <c r="D94" s="64" t="str">
        <f>$D$26</f>
        <v>USD Million</v>
      </c>
      <c r="E94" s="52"/>
      <c r="F94" s="55">
        <f>IF(User_Operation_Input!F94="N/A","",User_Operation_Input!F94*(VLOOKUP(User_Operation_Input!$D94,Unit_Map!$A$6:$C$18,3,0))/Unit_Map!B$3)</f>
        <v>0</v>
      </c>
      <c r="G94" s="55">
        <f>IF(User_Operation_Input!G94="N/A","",User_Operation_Input!G94*(VLOOKUP(User_Operation_Input!$D94,Unit_Map!$A$6:$C$18,3,0))/Unit_Map!C$3)</f>
        <v>0</v>
      </c>
      <c r="H94" s="55">
        <f>IF(User_Operation_Input!H94="N/A","",User_Operation_Input!H94*(VLOOKUP(User_Operation_Input!$D94,Unit_Map!$A$6:$C$18,3,0))/Unit_Map!D$3)</f>
        <v>0</v>
      </c>
      <c r="I94" s="55">
        <f>IF(User_Operation_Input!I94="N/A","",User_Operation_Input!I94*(VLOOKUP(User_Operation_Input!$D94,Unit_Map!$A$6:$C$18,3,0))/Unit_Map!E$3)</f>
        <v>0</v>
      </c>
      <c r="J94" s="55">
        <f>IF(User_Operation_Input!J94="N/A","",User_Operation_Input!J94*(VLOOKUP(User_Operation_Input!$D94,Unit_Map!$A$6:$C$18,3,0))/Unit_Map!F$3)</f>
        <v>0</v>
      </c>
      <c r="K94" s="55">
        <f>IF(User_Operation_Input!K94="N/A","",User_Operation_Input!K94*(VLOOKUP(User_Operation_Input!$D94,Unit_Map!$A$6:$C$18,3,0))/Unit_Map!G$3)</f>
        <v>0</v>
      </c>
      <c r="L94" s="55">
        <f>IF(User_Operation_Input!L94="N/A","",User_Operation_Input!L94*(VLOOKUP(User_Operation_Input!$D94,Unit_Map!$A$6:$C$18,3,0))/Unit_Map!H$3)</f>
        <v>0</v>
      </c>
      <c r="M94" s="55">
        <f>IF(User_Operation_Input!M94="N/A","",User_Operation_Input!M94*(VLOOKUP(User_Operation_Input!$D94,Unit_Map!$A$6:$C$18,3,0))/Unit_Map!I$3)</f>
        <v>0</v>
      </c>
      <c r="N94" s="55">
        <f>IF(User_Operation_Input!N94="N/A","",User_Operation_Input!N94*(VLOOKUP(User_Operation_Input!$D94,Unit_Map!$A$6:$C$18,3,0))/Unit_Map!J$3)</f>
        <v>0</v>
      </c>
      <c r="O94" s="159">
        <f>IF(OR(G94="",H94="",I94="",J94=""),"",SUM(G94*Unit_Map!C$3,H94*Unit_Map!D$3,I94*Unit_Map!E$3,J94*Unit_Map!F$3)/Unit_Map!K$3)</f>
        <v>0</v>
      </c>
    </row>
    <row r="95" spans="2:16" x14ac:dyDescent="0.2">
      <c r="B95" s="260" t="s">
        <v>640</v>
      </c>
      <c r="C95" s="241" t="s">
        <v>1077</v>
      </c>
      <c r="D95" s="64" t="str">
        <f>$D$26</f>
        <v>USD Million</v>
      </c>
      <c r="E95" s="52"/>
      <c r="F95" s="55">
        <f>IF(User_Operation_Input!F95="N/A","",User_Operation_Input!F95*(VLOOKUP(User_Operation_Input!$D95,Unit_Map!$A$6:$C$18,3,0))/Unit_Map!B$3)</f>
        <v>0</v>
      </c>
      <c r="G95" s="55">
        <f>IF(User_Operation_Input!G95="N/A","",User_Operation_Input!G95*(VLOOKUP(User_Operation_Input!$D95,Unit_Map!$A$6:$C$18,3,0))/Unit_Map!C$3)</f>
        <v>0</v>
      </c>
      <c r="H95" s="55">
        <f>IF(User_Operation_Input!H95="N/A","",User_Operation_Input!H95*(VLOOKUP(User_Operation_Input!$D95,Unit_Map!$A$6:$C$18,3,0))/Unit_Map!D$3)</f>
        <v>0</v>
      </c>
      <c r="I95" s="55">
        <f>IF(User_Operation_Input!I95="N/A","",User_Operation_Input!I95*(VLOOKUP(User_Operation_Input!$D95,Unit_Map!$A$6:$C$18,3,0))/Unit_Map!E$3)</f>
        <v>0</v>
      </c>
      <c r="J95" s="55">
        <f>IF(User_Operation_Input!J95="N/A","",User_Operation_Input!J95*(VLOOKUP(User_Operation_Input!$D95,Unit_Map!$A$6:$C$18,3,0))/Unit_Map!F$3)</f>
        <v>0</v>
      </c>
      <c r="K95" s="55">
        <f>IF(User_Operation_Input!K95="N/A","",User_Operation_Input!K95*(VLOOKUP(User_Operation_Input!$D95,Unit_Map!$A$6:$C$18,3,0))/Unit_Map!G$3)</f>
        <v>0</v>
      </c>
      <c r="L95" s="55">
        <f>IF(User_Operation_Input!L95="N/A","",User_Operation_Input!L95*(VLOOKUP(User_Operation_Input!$D95,Unit_Map!$A$6:$C$18,3,0))/Unit_Map!H$3)</f>
        <v>0</v>
      </c>
      <c r="M95" s="55">
        <f>IF(User_Operation_Input!M95="N/A","",User_Operation_Input!M95*(VLOOKUP(User_Operation_Input!$D95,Unit_Map!$A$6:$C$18,3,0))/Unit_Map!I$3)</f>
        <v>0</v>
      </c>
      <c r="N95" s="55">
        <f>IF(User_Operation_Input!N95="N/A","",User_Operation_Input!N95*(VLOOKUP(User_Operation_Input!$D95,Unit_Map!$A$6:$C$18,3,0))/Unit_Map!J$3)</f>
        <v>0</v>
      </c>
      <c r="O95" s="159">
        <f>IF(OR(G95="",H95="",I95="",J95=""),"",SUM(G95*Unit_Map!C$3,H95*Unit_Map!D$3,I95*Unit_Map!E$3,J95*Unit_Map!F$3)/Unit_Map!K$3)</f>
        <v>0</v>
      </c>
    </row>
    <row r="96" spans="2:16" x14ac:dyDescent="0.2">
      <c r="B96" s="260" t="s">
        <v>976</v>
      </c>
      <c r="C96" s="241" t="s">
        <v>1506</v>
      </c>
      <c r="D96" s="64" t="str">
        <f>$D$26</f>
        <v>USD Million</v>
      </c>
      <c r="E96" s="52"/>
      <c r="F96" s="55">
        <f>IF(User_Operation_Input!F96="N/A","",User_Operation_Input!F96*(VLOOKUP(User_Operation_Input!$D96,Unit_Map!$A$6:$C$18,3,0))/Unit_Map!B$3)</f>
        <v>0</v>
      </c>
      <c r="G96" s="55">
        <f>IF(User_Operation_Input!G96="N/A","",User_Operation_Input!G96*(VLOOKUP(User_Operation_Input!$D96,Unit_Map!$A$6:$C$18,3,0))/Unit_Map!C$3)</f>
        <v>0</v>
      </c>
      <c r="H96" s="55">
        <f>IF(User_Operation_Input!H96="N/A","",User_Operation_Input!H96*(VLOOKUP(User_Operation_Input!$D96,Unit_Map!$A$6:$C$18,3,0))/Unit_Map!D$3)</f>
        <v>0</v>
      </c>
      <c r="I96" s="55">
        <f>IF(User_Operation_Input!I96="N/A","",User_Operation_Input!I96*(VLOOKUP(User_Operation_Input!$D96,Unit_Map!$A$6:$C$18,3,0))/Unit_Map!E$3)</f>
        <v>0</v>
      </c>
      <c r="J96" s="55">
        <f>IF(User_Operation_Input!J96="N/A","",User_Operation_Input!J96*(VLOOKUP(User_Operation_Input!$D96,Unit_Map!$A$6:$C$18,3,0))/Unit_Map!F$3)</f>
        <v>0</v>
      </c>
      <c r="K96" s="55">
        <f>IF(User_Operation_Input!K96="N/A","",User_Operation_Input!K96*(VLOOKUP(User_Operation_Input!$D96,Unit_Map!$A$6:$C$18,3,0))/Unit_Map!G$3)</f>
        <v>0</v>
      </c>
      <c r="L96" s="55">
        <f>IF(User_Operation_Input!L96="N/A","",User_Operation_Input!L96*(VLOOKUP(User_Operation_Input!$D96,Unit_Map!$A$6:$C$18,3,0))/Unit_Map!H$3)</f>
        <v>0</v>
      </c>
      <c r="M96" s="55">
        <f>IF(User_Operation_Input!M96="N/A","",User_Operation_Input!M96*(VLOOKUP(User_Operation_Input!$D96,Unit_Map!$A$6:$C$18,3,0))/Unit_Map!I$3)</f>
        <v>0</v>
      </c>
      <c r="N96" s="55">
        <f>IF(User_Operation_Input!N96="N/A","",User_Operation_Input!N96*(VLOOKUP(User_Operation_Input!$D96,Unit_Map!$A$6:$C$18,3,0))/Unit_Map!J$3)</f>
        <v>0</v>
      </c>
      <c r="O96" s="159">
        <f>IF(OR(G96="",H96="",I96="",J96=""),"",SUM(G96*Unit_Map!C$3,H96*Unit_Map!D$3,I96*Unit_Map!E$3,J96*Unit_Map!F$3)/Unit_Map!K$3)</f>
        <v>0</v>
      </c>
    </row>
    <row r="97" spans="1:15" x14ac:dyDescent="0.2">
      <c r="B97" s="198"/>
      <c r="C97" s="248"/>
      <c r="D97" s="53"/>
      <c r="E97" s="53"/>
      <c r="F97" s="53"/>
      <c r="G97" s="53"/>
      <c r="H97" s="53"/>
      <c r="I97" s="53"/>
      <c r="J97" s="53"/>
      <c r="K97" s="53"/>
      <c r="L97" s="53"/>
      <c r="M97" s="53"/>
      <c r="N97" s="205"/>
      <c r="O97" s="53"/>
    </row>
    <row r="98" spans="1:15" x14ac:dyDescent="0.2">
      <c r="B98" s="243" t="s">
        <v>641</v>
      </c>
      <c r="C98" s="249" t="s">
        <v>1366</v>
      </c>
      <c r="D98" s="64" t="str">
        <f t="shared" ref="D98:D104" si="12">$D$26</f>
        <v>USD Million</v>
      </c>
      <c r="E98" s="52"/>
      <c r="F98" s="158">
        <f t="shared" ref="F98:O98" si="13">IF(AND(F99="",F100="",F101="",F102="",F103="",F104=""),"",SUM(F99:F104))</f>
        <v>0</v>
      </c>
      <c r="G98" s="158">
        <f t="shared" si="13"/>
        <v>0</v>
      </c>
      <c r="H98" s="158">
        <f t="shared" si="13"/>
        <v>0</v>
      </c>
      <c r="I98" s="158">
        <f t="shared" si="13"/>
        <v>0</v>
      </c>
      <c r="J98" s="158">
        <f t="shared" si="13"/>
        <v>0</v>
      </c>
      <c r="K98" s="158">
        <f t="shared" si="13"/>
        <v>0</v>
      </c>
      <c r="L98" s="158">
        <f t="shared" si="13"/>
        <v>0</v>
      </c>
      <c r="M98" s="158">
        <f t="shared" si="13"/>
        <v>0</v>
      </c>
      <c r="N98" s="158">
        <f t="shared" si="13"/>
        <v>0</v>
      </c>
      <c r="O98" s="158">
        <f t="shared" si="13"/>
        <v>0</v>
      </c>
    </row>
    <row r="99" spans="1:15" x14ac:dyDescent="0.2">
      <c r="B99" s="260" t="s">
        <v>642</v>
      </c>
      <c r="C99" s="241" t="s">
        <v>790</v>
      </c>
      <c r="D99" s="64" t="str">
        <f t="shared" si="12"/>
        <v>USD Million</v>
      </c>
      <c r="E99" s="52"/>
      <c r="F99" s="55">
        <f>IF(User_Operation_Input!F99="N/A","",User_Operation_Input!F99*(VLOOKUP(User_Operation_Input!$D99,Unit_Map!$A$6:$C$18,3,0))/Unit_Map!B$3)</f>
        <v>0</v>
      </c>
      <c r="G99" s="55">
        <f>IF(User_Operation_Input!G99="N/A","",User_Operation_Input!G99*(VLOOKUP(User_Operation_Input!$D99,Unit_Map!$A$6:$C$18,3,0))/Unit_Map!C$3)</f>
        <v>0</v>
      </c>
      <c r="H99" s="55">
        <f>IF(User_Operation_Input!H99="N/A","",User_Operation_Input!H99*(VLOOKUP(User_Operation_Input!$D99,Unit_Map!$A$6:$C$18,3,0))/Unit_Map!D$3)</f>
        <v>0</v>
      </c>
      <c r="I99" s="55">
        <f>IF(User_Operation_Input!I99="N/A","",User_Operation_Input!I99*(VLOOKUP(User_Operation_Input!$D99,Unit_Map!$A$6:$C$18,3,0))/Unit_Map!E$3)</f>
        <v>0</v>
      </c>
      <c r="J99" s="55">
        <f>IF(User_Operation_Input!J99="N/A","",User_Operation_Input!J99*(VLOOKUP(User_Operation_Input!$D99,Unit_Map!$A$6:$C$18,3,0))/Unit_Map!F$3)</f>
        <v>0</v>
      </c>
      <c r="K99" s="55">
        <f>IF(User_Operation_Input!K99="N/A","",User_Operation_Input!K99*(VLOOKUP(User_Operation_Input!$D99,Unit_Map!$A$6:$C$18,3,0))/Unit_Map!G$3)</f>
        <v>0</v>
      </c>
      <c r="L99" s="55">
        <f>IF(User_Operation_Input!L99="N/A","",User_Operation_Input!L99*(VLOOKUP(User_Operation_Input!$D99,Unit_Map!$A$6:$C$18,3,0))/Unit_Map!H$3)</f>
        <v>0</v>
      </c>
      <c r="M99" s="55">
        <f>IF(User_Operation_Input!M99="N/A","",User_Operation_Input!M99*(VLOOKUP(User_Operation_Input!$D99,Unit_Map!$A$6:$C$18,3,0))/Unit_Map!I$3)</f>
        <v>0</v>
      </c>
      <c r="N99" s="55">
        <f>IF(User_Operation_Input!N99="N/A","",User_Operation_Input!N99*(VLOOKUP(User_Operation_Input!$D99,Unit_Map!$A$6:$C$18,3,0))/Unit_Map!J$3)</f>
        <v>0</v>
      </c>
      <c r="O99" s="159">
        <f>IF(OR(G99="",H99="",I99="",J99=""),"",SUM(G99*Unit_Map!C$3,H99*Unit_Map!D$3,I99*Unit_Map!E$3,J99*Unit_Map!F$3)/Unit_Map!K$3)</f>
        <v>0</v>
      </c>
    </row>
    <row r="100" spans="1:15" x14ac:dyDescent="0.2">
      <c r="B100" s="260" t="s">
        <v>643</v>
      </c>
      <c r="C100" s="241" t="s">
        <v>778</v>
      </c>
      <c r="D100" s="64" t="str">
        <f t="shared" si="12"/>
        <v>USD Million</v>
      </c>
      <c r="E100" s="52"/>
      <c r="F100" s="55">
        <f>IF(User_Operation_Input!F100="N/A","",User_Operation_Input!F100*(VLOOKUP(User_Operation_Input!$D100,Unit_Map!$A$6:$C$18,3,0))/Unit_Map!B$3)</f>
        <v>0</v>
      </c>
      <c r="G100" s="55">
        <f>IF(User_Operation_Input!G100="N/A","",User_Operation_Input!G100*(VLOOKUP(User_Operation_Input!$D100,Unit_Map!$A$6:$C$18,3,0))/Unit_Map!C$3)</f>
        <v>0</v>
      </c>
      <c r="H100" s="55">
        <f>IF(User_Operation_Input!H100="N/A","",User_Operation_Input!H100*(VLOOKUP(User_Operation_Input!$D100,Unit_Map!$A$6:$C$18,3,0))/Unit_Map!D$3)</f>
        <v>0</v>
      </c>
      <c r="I100" s="55">
        <f>IF(User_Operation_Input!I100="N/A","",User_Operation_Input!I100*(VLOOKUP(User_Operation_Input!$D100,Unit_Map!$A$6:$C$18,3,0))/Unit_Map!E$3)</f>
        <v>0</v>
      </c>
      <c r="J100" s="55">
        <f>IF(User_Operation_Input!J100="N/A","",User_Operation_Input!J100*(VLOOKUP(User_Operation_Input!$D100,Unit_Map!$A$6:$C$18,3,0))/Unit_Map!F$3)</f>
        <v>0</v>
      </c>
      <c r="K100" s="55">
        <f>IF(User_Operation_Input!K100="N/A","",User_Operation_Input!K100*(VLOOKUP(User_Operation_Input!$D100,Unit_Map!$A$6:$C$18,3,0))/Unit_Map!G$3)</f>
        <v>0</v>
      </c>
      <c r="L100" s="55">
        <f>IF(User_Operation_Input!L100="N/A","",User_Operation_Input!L100*(VLOOKUP(User_Operation_Input!$D100,Unit_Map!$A$6:$C$18,3,0))/Unit_Map!H$3)</f>
        <v>0</v>
      </c>
      <c r="M100" s="55">
        <f>IF(User_Operation_Input!M100="N/A","",User_Operation_Input!M100*(VLOOKUP(User_Operation_Input!$D100,Unit_Map!$A$6:$C$18,3,0))/Unit_Map!I$3)</f>
        <v>0</v>
      </c>
      <c r="N100" s="55">
        <f>IF(User_Operation_Input!N100="N/A","",User_Operation_Input!N100*(VLOOKUP(User_Operation_Input!$D100,Unit_Map!$A$6:$C$18,3,0))/Unit_Map!J$3)</f>
        <v>0</v>
      </c>
      <c r="O100" s="159">
        <f>IF(OR(G100="",H100="",I100="",J100=""),"",SUM(G100*Unit_Map!C$3,H100*Unit_Map!D$3,I100*Unit_Map!E$3,J100*Unit_Map!F$3)/Unit_Map!K$3)</f>
        <v>0</v>
      </c>
    </row>
    <row r="101" spans="1:15" x14ac:dyDescent="0.2">
      <c r="B101" s="260" t="s">
        <v>644</v>
      </c>
      <c r="C101" s="241" t="s">
        <v>776</v>
      </c>
      <c r="D101" s="64" t="str">
        <f t="shared" si="12"/>
        <v>USD Million</v>
      </c>
      <c r="E101" s="52"/>
      <c r="F101" s="55">
        <f>IF(User_Operation_Input!F101="N/A","",User_Operation_Input!F101*(VLOOKUP(User_Operation_Input!$D101,Unit_Map!$A$6:$C$18,3,0))/Unit_Map!B$3)</f>
        <v>0</v>
      </c>
      <c r="G101" s="55">
        <f>IF(User_Operation_Input!G101="N/A","",User_Operation_Input!G101*(VLOOKUP(User_Operation_Input!$D101,Unit_Map!$A$6:$C$18,3,0))/Unit_Map!C$3)</f>
        <v>0</v>
      </c>
      <c r="H101" s="55">
        <f>IF(User_Operation_Input!H101="N/A","",User_Operation_Input!H101*(VLOOKUP(User_Operation_Input!$D101,Unit_Map!$A$6:$C$18,3,0))/Unit_Map!D$3)</f>
        <v>0</v>
      </c>
      <c r="I101" s="55">
        <f>IF(User_Operation_Input!I101="N/A","",User_Operation_Input!I101*(VLOOKUP(User_Operation_Input!$D101,Unit_Map!$A$6:$C$18,3,0))/Unit_Map!E$3)</f>
        <v>0</v>
      </c>
      <c r="J101" s="55">
        <f>IF(User_Operation_Input!J101="N/A","",User_Operation_Input!J101*(VLOOKUP(User_Operation_Input!$D101,Unit_Map!$A$6:$C$18,3,0))/Unit_Map!F$3)</f>
        <v>0</v>
      </c>
      <c r="K101" s="55">
        <f>IF(User_Operation_Input!K101="N/A","",User_Operation_Input!K101*(VLOOKUP(User_Operation_Input!$D101,Unit_Map!$A$6:$C$18,3,0))/Unit_Map!G$3)</f>
        <v>0</v>
      </c>
      <c r="L101" s="55">
        <f>IF(User_Operation_Input!L101="N/A","",User_Operation_Input!L101*(VLOOKUP(User_Operation_Input!$D101,Unit_Map!$A$6:$C$18,3,0))/Unit_Map!H$3)</f>
        <v>0</v>
      </c>
      <c r="M101" s="55">
        <f>IF(User_Operation_Input!M101="N/A","",User_Operation_Input!M101*(VLOOKUP(User_Operation_Input!$D101,Unit_Map!$A$6:$C$18,3,0))/Unit_Map!I$3)</f>
        <v>0</v>
      </c>
      <c r="N101" s="55">
        <f>IF(User_Operation_Input!N101="N/A","",User_Operation_Input!N101*(VLOOKUP(User_Operation_Input!$D101,Unit_Map!$A$6:$C$18,3,0))/Unit_Map!J$3)</f>
        <v>0</v>
      </c>
      <c r="O101" s="159">
        <f>IF(OR(G101="",H101="",I101="",J101=""),"",SUM(G101*Unit_Map!C$3,H101*Unit_Map!D$3,I101*Unit_Map!E$3,J101*Unit_Map!F$3)/Unit_Map!K$3)</f>
        <v>0</v>
      </c>
    </row>
    <row r="102" spans="1:15" x14ac:dyDescent="0.2">
      <c r="B102" s="260" t="s">
        <v>802</v>
      </c>
      <c r="C102" s="241" t="s">
        <v>1209</v>
      </c>
      <c r="D102" s="64" t="str">
        <f t="shared" si="12"/>
        <v>USD Million</v>
      </c>
      <c r="E102" s="52"/>
      <c r="F102" s="55">
        <f>IF(User_Operation_Input!F102="N/A","",User_Operation_Input!F102*(VLOOKUP(User_Operation_Input!$D102,Unit_Map!$A$6:$C$18,3,0))/Unit_Map!B$3)</f>
        <v>0</v>
      </c>
      <c r="G102" s="55">
        <f>IF(User_Operation_Input!G102="N/A","",User_Operation_Input!G102*(VLOOKUP(User_Operation_Input!$D102,Unit_Map!$A$6:$C$18,3,0))/Unit_Map!C$3)</f>
        <v>0</v>
      </c>
      <c r="H102" s="55">
        <f>IF(User_Operation_Input!H102="N/A","",User_Operation_Input!H102*(VLOOKUP(User_Operation_Input!$D102,Unit_Map!$A$6:$C$18,3,0))/Unit_Map!D$3)</f>
        <v>0</v>
      </c>
      <c r="I102" s="55">
        <f>IF(User_Operation_Input!I102="N/A","",User_Operation_Input!I102*(VLOOKUP(User_Operation_Input!$D102,Unit_Map!$A$6:$C$18,3,0))/Unit_Map!E$3)</f>
        <v>0</v>
      </c>
      <c r="J102" s="55">
        <f>IF(User_Operation_Input!J102="N/A","",User_Operation_Input!J102*(VLOOKUP(User_Operation_Input!$D102,Unit_Map!$A$6:$C$18,3,0))/Unit_Map!F$3)</f>
        <v>0</v>
      </c>
      <c r="K102" s="55">
        <f>IF(User_Operation_Input!K102="N/A","",User_Operation_Input!K102*(VLOOKUP(User_Operation_Input!$D102,Unit_Map!$A$6:$C$18,3,0))/Unit_Map!G$3)</f>
        <v>0</v>
      </c>
      <c r="L102" s="55">
        <f>IF(User_Operation_Input!L102="N/A","",User_Operation_Input!L102*(VLOOKUP(User_Operation_Input!$D102,Unit_Map!$A$6:$C$18,3,0))/Unit_Map!H$3)</f>
        <v>0</v>
      </c>
      <c r="M102" s="55">
        <f>IF(User_Operation_Input!M102="N/A","",User_Operation_Input!M102*(VLOOKUP(User_Operation_Input!$D102,Unit_Map!$A$6:$C$18,3,0))/Unit_Map!I$3)</f>
        <v>0</v>
      </c>
      <c r="N102" s="55">
        <f>IF(User_Operation_Input!N102="N/A","",User_Operation_Input!N102*(VLOOKUP(User_Operation_Input!$D102,Unit_Map!$A$6:$C$18,3,0))/Unit_Map!J$3)</f>
        <v>0</v>
      </c>
      <c r="O102" s="159">
        <f>IF(OR(G102="",H102="",I102="",J102=""),"",SUM(G102*Unit_Map!C$3,H102*Unit_Map!D$3,I102*Unit_Map!E$3,J102*Unit_Map!F$3)/Unit_Map!K$3)</f>
        <v>0</v>
      </c>
    </row>
    <row r="103" spans="1:15" x14ac:dyDescent="0.2">
      <c r="B103" s="260" t="s">
        <v>803</v>
      </c>
      <c r="C103" s="241" t="s">
        <v>779</v>
      </c>
      <c r="D103" s="64" t="str">
        <f t="shared" si="12"/>
        <v>USD Million</v>
      </c>
      <c r="E103" s="52"/>
      <c r="F103" s="55">
        <f>IF(User_Operation_Input!F103="N/A","",User_Operation_Input!F103*(VLOOKUP(User_Operation_Input!$D103,Unit_Map!$A$6:$C$18,3,0))/Unit_Map!B$3)</f>
        <v>0</v>
      </c>
      <c r="G103" s="55">
        <f>IF(User_Operation_Input!G103="N/A","",User_Operation_Input!G103*(VLOOKUP(User_Operation_Input!$D103,Unit_Map!$A$6:$C$18,3,0))/Unit_Map!C$3)</f>
        <v>0</v>
      </c>
      <c r="H103" s="55">
        <f>IF(User_Operation_Input!H103="N/A","",User_Operation_Input!H103*(VLOOKUP(User_Operation_Input!$D103,Unit_Map!$A$6:$C$18,3,0))/Unit_Map!D$3)</f>
        <v>0</v>
      </c>
      <c r="I103" s="55">
        <f>IF(User_Operation_Input!I103="N/A","",User_Operation_Input!I103*(VLOOKUP(User_Operation_Input!$D103,Unit_Map!$A$6:$C$18,3,0))/Unit_Map!E$3)</f>
        <v>0</v>
      </c>
      <c r="J103" s="55">
        <f>IF(User_Operation_Input!J103="N/A","",User_Operation_Input!J103*(VLOOKUP(User_Operation_Input!$D103,Unit_Map!$A$6:$C$18,3,0))/Unit_Map!F$3)</f>
        <v>0</v>
      </c>
      <c r="K103" s="55">
        <f>IF(User_Operation_Input!K103="N/A","",User_Operation_Input!K103*(VLOOKUP(User_Operation_Input!$D103,Unit_Map!$A$6:$C$18,3,0))/Unit_Map!G$3)</f>
        <v>0</v>
      </c>
      <c r="L103" s="55">
        <f>IF(User_Operation_Input!L103="N/A","",User_Operation_Input!L103*(VLOOKUP(User_Operation_Input!$D103,Unit_Map!$A$6:$C$18,3,0))/Unit_Map!H$3)</f>
        <v>0</v>
      </c>
      <c r="M103" s="55">
        <f>IF(User_Operation_Input!M103="N/A","",User_Operation_Input!M103*(VLOOKUP(User_Operation_Input!$D103,Unit_Map!$A$6:$C$18,3,0))/Unit_Map!I$3)</f>
        <v>0</v>
      </c>
      <c r="N103" s="55">
        <f>IF(User_Operation_Input!N103="N/A","",User_Operation_Input!N103*(VLOOKUP(User_Operation_Input!$D103,Unit_Map!$A$6:$C$18,3,0))/Unit_Map!J$3)</f>
        <v>0</v>
      </c>
      <c r="O103" s="159">
        <f>IF(OR(G103="",H103="",I103="",J103=""),"",SUM(G103*Unit_Map!C$3,H103*Unit_Map!D$3,I103*Unit_Map!E$3,J103*Unit_Map!F$3)/Unit_Map!K$3)</f>
        <v>0</v>
      </c>
    </row>
    <row r="104" spans="1:15" x14ac:dyDescent="0.2">
      <c r="B104" s="260" t="s">
        <v>977</v>
      </c>
      <c r="C104" s="241" t="s">
        <v>1506</v>
      </c>
      <c r="D104" s="64" t="str">
        <f t="shared" si="12"/>
        <v>USD Million</v>
      </c>
      <c r="E104" s="52"/>
      <c r="F104" s="55">
        <f>IF(User_Operation_Input!F104="N/A","",User_Operation_Input!F104*(VLOOKUP(User_Operation_Input!$D104,Unit_Map!$A$6:$C$18,3,0))/Unit_Map!B$3)</f>
        <v>0</v>
      </c>
      <c r="G104" s="55">
        <f>IF(User_Operation_Input!G104="N/A","",User_Operation_Input!G104*(VLOOKUP(User_Operation_Input!$D104,Unit_Map!$A$6:$C$18,3,0))/Unit_Map!C$3)</f>
        <v>0</v>
      </c>
      <c r="H104" s="55">
        <f>IF(User_Operation_Input!H104="N/A","",User_Operation_Input!H104*(VLOOKUP(User_Operation_Input!$D104,Unit_Map!$A$6:$C$18,3,0))/Unit_Map!D$3)</f>
        <v>0</v>
      </c>
      <c r="I104" s="55">
        <f>IF(User_Operation_Input!I104="N/A","",User_Operation_Input!I104*(VLOOKUP(User_Operation_Input!$D104,Unit_Map!$A$6:$C$18,3,0))/Unit_Map!E$3)</f>
        <v>0</v>
      </c>
      <c r="J104" s="55">
        <f>IF(User_Operation_Input!J104="N/A","",User_Operation_Input!J104*(VLOOKUP(User_Operation_Input!$D104,Unit_Map!$A$6:$C$18,3,0))/Unit_Map!F$3)</f>
        <v>0</v>
      </c>
      <c r="K104" s="55">
        <f>IF(User_Operation_Input!K104="N/A","",User_Operation_Input!K104*(VLOOKUP(User_Operation_Input!$D104,Unit_Map!$A$6:$C$18,3,0))/Unit_Map!G$3)</f>
        <v>0</v>
      </c>
      <c r="L104" s="55">
        <f>IF(User_Operation_Input!L104="N/A","",User_Operation_Input!L104*(VLOOKUP(User_Operation_Input!$D104,Unit_Map!$A$6:$C$18,3,0))/Unit_Map!H$3)</f>
        <v>0</v>
      </c>
      <c r="M104" s="55">
        <f>IF(User_Operation_Input!M104="N/A","",User_Operation_Input!M104*(VLOOKUP(User_Operation_Input!$D104,Unit_Map!$A$6:$C$18,3,0))/Unit_Map!I$3)</f>
        <v>0</v>
      </c>
      <c r="N104" s="55">
        <f>IF(User_Operation_Input!N104="N/A","",User_Operation_Input!N104*(VLOOKUP(User_Operation_Input!$D104,Unit_Map!$A$6:$C$18,3,0))/Unit_Map!J$3)</f>
        <v>0</v>
      </c>
      <c r="O104" s="159">
        <f>IF(OR(G104="",H104="",I104="",J104=""),"",SUM(G104*Unit_Map!C$3,H104*Unit_Map!D$3,I104*Unit_Map!E$3,J104*Unit_Map!F$3)/Unit_Map!K$3)</f>
        <v>0</v>
      </c>
    </row>
    <row r="105" spans="1:15" x14ac:dyDescent="0.2">
      <c r="B105" s="198"/>
      <c r="C105" s="248"/>
      <c r="D105" s="53"/>
      <c r="E105" s="53"/>
      <c r="F105" s="53"/>
      <c r="G105" s="53"/>
      <c r="H105" s="53"/>
      <c r="I105" s="53"/>
      <c r="J105" s="53"/>
      <c r="K105" s="53"/>
      <c r="L105" s="53"/>
      <c r="M105" s="53"/>
      <c r="N105" s="205"/>
      <c r="O105" s="53"/>
    </row>
    <row r="106" spans="1:15" x14ac:dyDescent="0.2">
      <c r="B106" s="243" t="s">
        <v>804</v>
      </c>
      <c r="C106" s="249" t="s">
        <v>1367</v>
      </c>
      <c r="D106" s="64" t="str">
        <f>$D$26</f>
        <v>USD Million</v>
      </c>
      <c r="E106" s="52"/>
      <c r="F106" s="158">
        <f t="shared" ref="F106:O106" si="14">IF(AND(F107="",F108=""),"",SUM(F107:F108))</f>
        <v>0</v>
      </c>
      <c r="G106" s="158">
        <f t="shared" si="14"/>
        <v>0</v>
      </c>
      <c r="H106" s="158">
        <f t="shared" si="14"/>
        <v>0</v>
      </c>
      <c r="I106" s="158">
        <f t="shared" si="14"/>
        <v>0</v>
      </c>
      <c r="J106" s="158">
        <f t="shared" si="14"/>
        <v>0</v>
      </c>
      <c r="K106" s="158">
        <f t="shared" si="14"/>
        <v>0</v>
      </c>
      <c r="L106" s="158">
        <f t="shared" si="14"/>
        <v>0</v>
      </c>
      <c r="M106" s="158">
        <f t="shared" si="14"/>
        <v>0</v>
      </c>
      <c r="N106" s="158">
        <f t="shared" si="14"/>
        <v>0</v>
      </c>
      <c r="O106" s="158">
        <f t="shared" si="14"/>
        <v>0</v>
      </c>
    </row>
    <row r="107" spans="1:15" x14ac:dyDescent="0.2">
      <c r="B107" s="260" t="s">
        <v>805</v>
      </c>
      <c r="C107" s="127" t="s">
        <v>1255</v>
      </c>
      <c r="D107" s="64" t="str">
        <f>$D$26</f>
        <v>USD Million</v>
      </c>
      <c r="E107" s="52"/>
      <c r="F107" s="55">
        <f>IF(User_Operation_Input!F107="N/A","",User_Operation_Input!F107*(VLOOKUP(User_Operation_Input!$D107,Unit_Map!$A$6:$C$18,3,0))/Unit_Map!B$3)</f>
        <v>0</v>
      </c>
      <c r="G107" s="55">
        <f>IF(User_Operation_Input!G107="N/A","",User_Operation_Input!G107*(VLOOKUP(User_Operation_Input!$D107,Unit_Map!$A$6:$C$18,3,0))/Unit_Map!C$3)</f>
        <v>0</v>
      </c>
      <c r="H107" s="55">
        <f>IF(User_Operation_Input!H107="N/A","",User_Operation_Input!H107*(VLOOKUP(User_Operation_Input!$D107,Unit_Map!$A$6:$C$18,3,0))/Unit_Map!D$3)</f>
        <v>0</v>
      </c>
      <c r="I107" s="55">
        <f>IF(User_Operation_Input!I107="N/A","",User_Operation_Input!I107*(VLOOKUP(User_Operation_Input!$D107,Unit_Map!$A$6:$C$18,3,0))/Unit_Map!E$3)</f>
        <v>0</v>
      </c>
      <c r="J107" s="55">
        <f>IF(User_Operation_Input!J107="N/A","",User_Operation_Input!J107*(VLOOKUP(User_Operation_Input!$D107,Unit_Map!$A$6:$C$18,3,0))/Unit_Map!F$3)</f>
        <v>0</v>
      </c>
      <c r="K107" s="55">
        <f>IF(User_Operation_Input!K107="N/A","",User_Operation_Input!K107*(VLOOKUP(User_Operation_Input!$D107,Unit_Map!$A$6:$C$18,3,0))/Unit_Map!G$3)</f>
        <v>0</v>
      </c>
      <c r="L107" s="55">
        <f>IF(User_Operation_Input!L107="N/A","",User_Operation_Input!L107*(VLOOKUP(User_Operation_Input!$D107,Unit_Map!$A$6:$C$18,3,0))/Unit_Map!H$3)</f>
        <v>0</v>
      </c>
      <c r="M107" s="55">
        <f>IF(User_Operation_Input!M107="N/A","",User_Operation_Input!M107*(VLOOKUP(User_Operation_Input!$D107,Unit_Map!$A$6:$C$18,3,0))/Unit_Map!I$3)</f>
        <v>0</v>
      </c>
      <c r="N107" s="55">
        <f>IF(User_Operation_Input!N107="N/A","",User_Operation_Input!N107*(VLOOKUP(User_Operation_Input!$D107,Unit_Map!$A$6:$C$18,3,0))/Unit_Map!J$3)</f>
        <v>0</v>
      </c>
      <c r="O107" s="159">
        <f>IF(OR(G107="",H107="",I107="",J107=""),"",SUM(G107*Unit_Map!C$3,H107*Unit_Map!D$3,I107*Unit_Map!E$3,J107*Unit_Map!F$3)/Unit_Map!K$3)</f>
        <v>0</v>
      </c>
    </row>
    <row r="108" spans="1:15" x14ac:dyDescent="0.2">
      <c r="B108" s="260" t="s">
        <v>806</v>
      </c>
      <c r="C108" s="127" t="s">
        <v>986</v>
      </c>
      <c r="D108" s="64" t="str">
        <f>$D$26</f>
        <v>USD Million</v>
      </c>
      <c r="E108" s="52"/>
      <c r="F108" s="55">
        <f>IF(User_Operation_Input!F108="N/A","",User_Operation_Input!F108*(VLOOKUP(User_Operation_Input!$D108,Unit_Map!$A$6:$C$18,3,0))/Unit_Map!B$3)</f>
        <v>0</v>
      </c>
      <c r="G108" s="55">
        <f>IF(User_Operation_Input!G108="N/A","",User_Operation_Input!G108*(VLOOKUP(User_Operation_Input!$D108,Unit_Map!$A$6:$C$18,3,0))/Unit_Map!C$3)</f>
        <v>0</v>
      </c>
      <c r="H108" s="55">
        <f>IF(User_Operation_Input!H108="N/A","",User_Operation_Input!H108*(VLOOKUP(User_Operation_Input!$D108,Unit_Map!$A$6:$C$18,3,0))/Unit_Map!D$3)</f>
        <v>0</v>
      </c>
      <c r="I108" s="55">
        <f>IF(User_Operation_Input!I108="N/A","",User_Operation_Input!I108*(VLOOKUP(User_Operation_Input!$D108,Unit_Map!$A$6:$C$18,3,0))/Unit_Map!E$3)</f>
        <v>0</v>
      </c>
      <c r="J108" s="55">
        <f>IF(User_Operation_Input!J108="N/A","",User_Operation_Input!J108*(VLOOKUP(User_Operation_Input!$D108,Unit_Map!$A$6:$C$18,3,0))/Unit_Map!F$3)</f>
        <v>0</v>
      </c>
      <c r="K108" s="55">
        <f>IF(User_Operation_Input!K108="N/A","",User_Operation_Input!K108*(VLOOKUP(User_Operation_Input!$D108,Unit_Map!$A$6:$C$18,3,0))/Unit_Map!G$3)</f>
        <v>0</v>
      </c>
      <c r="L108" s="55">
        <f>IF(User_Operation_Input!L108="N/A","",User_Operation_Input!L108*(VLOOKUP(User_Operation_Input!$D108,Unit_Map!$A$6:$C$18,3,0))/Unit_Map!H$3)</f>
        <v>0</v>
      </c>
      <c r="M108" s="55">
        <f>IF(User_Operation_Input!M108="N/A","",User_Operation_Input!M108*(VLOOKUP(User_Operation_Input!$D108,Unit_Map!$A$6:$C$18,3,0))/Unit_Map!I$3)</f>
        <v>0</v>
      </c>
      <c r="N108" s="55">
        <f>IF(User_Operation_Input!N108="N/A","",User_Operation_Input!N108*(VLOOKUP(User_Operation_Input!$D108,Unit_Map!$A$6:$C$18,3,0))/Unit_Map!J$3)</f>
        <v>0</v>
      </c>
      <c r="O108" s="159">
        <f>IF(OR(G108="",H108="",I108="",J108=""),"",SUM(G108*Unit_Map!C$3,H108*Unit_Map!D$3,I108*Unit_Map!E$3,J108*Unit_Map!F$3)/Unit_Map!K$3)</f>
        <v>0</v>
      </c>
    </row>
    <row r="109" spans="1:15" x14ac:dyDescent="0.2">
      <c r="B109" s="198"/>
      <c r="C109" s="248"/>
      <c r="D109" s="53"/>
      <c r="E109" s="53"/>
      <c r="F109" s="53"/>
      <c r="G109" s="53"/>
      <c r="H109" s="53"/>
      <c r="I109" s="53"/>
      <c r="J109" s="53"/>
      <c r="K109" s="53"/>
      <c r="L109" s="53"/>
      <c r="M109" s="53"/>
      <c r="N109" s="205"/>
      <c r="O109" s="53"/>
    </row>
    <row r="110" spans="1:15" x14ac:dyDescent="0.2">
      <c r="B110" s="243" t="s">
        <v>819</v>
      </c>
      <c r="C110" s="187" t="s">
        <v>1368</v>
      </c>
      <c r="D110" s="64" t="str">
        <f>$D$26</f>
        <v>USD Million</v>
      </c>
      <c r="E110" s="52"/>
      <c r="F110" s="158">
        <f t="shared" ref="F110:O110" si="15">IF(AND(F111="",F112=""),"",SUM(F111:F112))</f>
        <v>0</v>
      </c>
      <c r="G110" s="158">
        <f t="shared" si="15"/>
        <v>0</v>
      </c>
      <c r="H110" s="158">
        <f t="shared" si="15"/>
        <v>0</v>
      </c>
      <c r="I110" s="158">
        <f t="shared" si="15"/>
        <v>0</v>
      </c>
      <c r="J110" s="158">
        <f t="shared" si="15"/>
        <v>0</v>
      </c>
      <c r="K110" s="158">
        <f t="shared" si="15"/>
        <v>0</v>
      </c>
      <c r="L110" s="158">
        <f t="shared" si="15"/>
        <v>0</v>
      </c>
      <c r="M110" s="158">
        <f t="shared" si="15"/>
        <v>0</v>
      </c>
      <c r="N110" s="158">
        <f t="shared" si="15"/>
        <v>0</v>
      </c>
      <c r="O110" s="158">
        <f t="shared" si="15"/>
        <v>0</v>
      </c>
    </row>
    <row r="111" spans="1:15" x14ac:dyDescent="0.2">
      <c r="B111" s="260" t="s">
        <v>820</v>
      </c>
      <c r="C111" s="241" t="s">
        <v>1361</v>
      </c>
      <c r="D111" s="64" t="str">
        <f>$D$26</f>
        <v>USD Million</v>
      </c>
      <c r="E111" s="52"/>
      <c r="F111" s="55">
        <f>IF(User_Operation_Input!F111="N/A","",User_Operation_Input!F111*(VLOOKUP(User_Operation_Input!$D111,Unit_Map!$A$6:$C$18,3,0))/Unit_Map!B$3)</f>
        <v>0</v>
      </c>
      <c r="G111" s="55">
        <f>IF(User_Operation_Input!G111="N/A","",User_Operation_Input!G111*(VLOOKUP(User_Operation_Input!$D111,Unit_Map!$A$6:$C$18,3,0))/Unit_Map!C$3)</f>
        <v>0</v>
      </c>
      <c r="H111" s="55">
        <f>IF(User_Operation_Input!H111="N/A","",User_Operation_Input!H111*(VLOOKUP(User_Operation_Input!$D111,Unit_Map!$A$6:$C$18,3,0))/Unit_Map!D$3)</f>
        <v>0</v>
      </c>
      <c r="I111" s="55">
        <f>IF(User_Operation_Input!I111="N/A","",User_Operation_Input!I111*(VLOOKUP(User_Operation_Input!$D111,Unit_Map!$A$6:$C$18,3,0))/Unit_Map!E$3)</f>
        <v>0</v>
      </c>
      <c r="J111" s="55">
        <f>IF(User_Operation_Input!J111="N/A","",User_Operation_Input!J111*(VLOOKUP(User_Operation_Input!$D111,Unit_Map!$A$6:$C$18,3,0))/Unit_Map!F$3)</f>
        <v>0</v>
      </c>
      <c r="K111" s="55">
        <f>IF(User_Operation_Input!K111="N/A","",User_Operation_Input!K111*(VLOOKUP(User_Operation_Input!$D111,Unit_Map!$A$6:$C$18,3,0))/Unit_Map!G$3)</f>
        <v>0</v>
      </c>
      <c r="L111" s="55">
        <f>IF(User_Operation_Input!L111="N/A","",User_Operation_Input!L111*(VLOOKUP(User_Operation_Input!$D111,Unit_Map!$A$6:$C$18,3,0))/Unit_Map!H$3)</f>
        <v>0</v>
      </c>
      <c r="M111" s="55">
        <f>IF(User_Operation_Input!M111="N/A","",User_Operation_Input!M111*(VLOOKUP(User_Operation_Input!$D111,Unit_Map!$A$6:$C$18,3,0))/Unit_Map!I$3)</f>
        <v>0</v>
      </c>
      <c r="N111" s="55">
        <f>IF(User_Operation_Input!N111="N/A","",User_Operation_Input!N111*(VLOOKUP(User_Operation_Input!$D111,Unit_Map!$A$6:$C$18,3,0))/Unit_Map!J$3)</f>
        <v>0</v>
      </c>
      <c r="O111" s="159">
        <f>IF(OR(G111="",H111="",I111="",J111=""),"",SUM(G111*Unit_Map!C$3,H111*Unit_Map!D$3,I111*Unit_Map!E$3,J111*Unit_Map!F$3)/Unit_Map!K$3)</f>
        <v>0</v>
      </c>
    </row>
    <row r="112" spans="1:15" x14ac:dyDescent="0.2">
      <c r="A112" s="6" t="s">
        <v>690</v>
      </c>
      <c r="B112" s="260" t="s">
        <v>821</v>
      </c>
      <c r="C112" s="241" t="s">
        <v>1348</v>
      </c>
      <c r="D112" s="64" t="str">
        <f>$D$26</f>
        <v>USD Million</v>
      </c>
      <c r="E112" s="52"/>
      <c r="F112" s="55">
        <f>IF(User_Operation_Input!F112="N/A","",User_Operation_Input!F112*(VLOOKUP(User_Operation_Input!$D112,Unit_Map!$A$6:$C$18,3,0))/Unit_Map!B$3)</f>
        <v>0</v>
      </c>
      <c r="G112" s="55">
        <f>IF(User_Operation_Input!G112="N/A","",User_Operation_Input!G112*(VLOOKUP(User_Operation_Input!$D112,Unit_Map!$A$6:$C$18,3,0))/Unit_Map!C$3)</f>
        <v>0</v>
      </c>
      <c r="H112" s="55">
        <f>IF(User_Operation_Input!H112="N/A","",User_Operation_Input!H112*(VLOOKUP(User_Operation_Input!$D112,Unit_Map!$A$6:$C$18,3,0))/Unit_Map!D$3)</f>
        <v>0</v>
      </c>
      <c r="I112" s="55">
        <f>IF(User_Operation_Input!I112="N/A","",User_Operation_Input!I112*(VLOOKUP(User_Operation_Input!$D112,Unit_Map!$A$6:$C$18,3,0))/Unit_Map!E$3)</f>
        <v>0</v>
      </c>
      <c r="J112" s="55">
        <f>IF(User_Operation_Input!J112="N/A","",User_Operation_Input!J112*(VLOOKUP(User_Operation_Input!$D112,Unit_Map!$A$6:$C$18,3,0))/Unit_Map!F$3)</f>
        <v>0</v>
      </c>
      <c r="K112" s="55">
        <f>IF(User_Operation_Input!K112="N/A","",User_Operation_Input!K112*(VLOOKUP(User_Operation_Input!$D112,Unit_Map!$A$6:$C$18,3,0))/Unit_Map!G$3)</f>
        <v>0</v>
      </c>
      <c r="L112" s="55">
        <f>IF(User_Operation_Input!L112="N/A","",User_Operation_Input!L112*(VLOOKUP(User_Operation_Input!$D112,Unit_Map!$A$6:$C$18,3,0))/Unit_Map!H$3)</f>
        <v>0</v>
      </c>
      <c r="M112" s="55">
        <f>IF(User_Operation_Input!M112="N/A","",User_Operation_Input!M112*(VLOOKUP(User_Operation_Input!$D112,Unit_Map!$A$6:$C$18,3,0))/Unit_Map!I$3)</f>
        <v>0</v>
      </c>
      <c r="N112" s="55">
        <f>IF(User_Operation_Input!N112="N/A","",User_Operation_Input!N112*(VLOOKUP(User_Operation_Input!$D112,Unit_Map!$A$6:$C$18,3,0))/Unit_Map!J$3)</f>
        <v>0</v>
      </c>
      <c r="O112" s="159">
        <f>IF(OR(G112="",H112="",I112="",J112=""),"",SUM(G112*Unit_Map!C$3,H112*Unit_Map!D$3,I112*Unit_Map!E$3,J112*Unit_Map!F$3)/Unit_Map!K$3)</f>
        <v>0</v>
      </c>
    </row>
    <row r="113" spans="1:16" x14ac:dyDescent="0.2">
      <c r="B113" s="218"/>
      <c r="C113" s="219"/>
      <c r="D113" s="53"/>
      <c r="E113" s="52"/>
      <c r="F113" s="53"/>
      <c r="G113" s="53"/>
      <c r="H113" s="53"/>
      <c r="I113" s="53"/>
      <c r="J113" s="53"/>
      <c r="K113" s="53"/>
      <c r="L113" s="53"/>
      <c r="M113" s="53"/>
      <c r="N113" s="205"/>
      <c r="O113" s="53"/>
    </row>
    <row r="114" spans="1:16" x14ac:dyDescent="0.2">
      <c r="A114" s="6" t="s">
        <v>691</v>
      </c>
      <c r="B114" s="226" t="s">
        <v>658</v>
      </c>
      <c r="C114" s="79" t="s">
        <v>1324</v>
      </c>
      <c r="D114" s="80"/>
      <c r="E114" s="81"/>
      <c r="F114" s="82">
        <f>-Financial_Standard!F18-Financial_Standard!F28</f>
        <v>0</v>
      </c>
      <c r="G114" s="82">
        <f>-Financial_Standard!G18-Financial_Standard!G28</f>
        <v>0</v>
      </c>
      <c r="H114" s="82">
        <f>-Financial_Standard!H18-Financial_Standard!H28</f>
        <v>0</v>
      </c>
      <c r="I114" s="82">
        <f>-Financial_Standard!I18-Financial_Standard!I28</f>
        <v>0</v>
      </c>
      <c r="J114" s="82">
        <f>-Financial_Standard!J18-Financial_Standard!J28</f>
        <v>0</v>
      </c>
      <c r="K114" s="82">
        <f>-Financial_Standard!K18-Financial_Standard!K28</f>
        <v>0</v>
      </c>
      <c r="L114" s="82">
        <f>-Financial_Standard!L18-Financial_Standard!L28</f>
        <v>0</v>
      </c>
      <c r="M114" s="82">
        <f>-Financial_Standard!M18-Financial_Standard!M28</f>
        <v>0</v>
      </c>
      <c r="N114" s="82">
        <f>-Financial_Standard!N18-Financial_Standard!N28</f>
        <v>0</v>
      </c>
      <c r="O114" s="82">
        <f>-Financial_Standard!O18-Financial_Standard!O28</f>
        <v>0</v>
      </c>
      <c r="P114" s="231"/>
    </row>
    <row r="115" spans="1:16" x14ac:dyDescent="0.2">
      <c r="B115" s="226"/>
      <c r="C115" s="79" t="s">
        <v>1325</v>
      </c>
      <c r="D115" s="80"/>
      <c r="E115" s="81"/>
      <c r="F115" s="206">
        <f t="shared" ref="F115:O115" si="16">SUM(F57,F66)</f>
        <v>0</v>
      </c>
      <c r="G115" s="206">
        <f t="shared" si="16"/>
        <v>0</v>
      </c>
      <c r="H115" s="206">
        <f t="shared" si="16"/>
        <v>0</v>
      </c>
      <c r="I115" s="206">
        <f t="shared" si="16"/>
        <v>0</v>
      </c>
      <c r="J115" s="206">
        <f t="shared" si="16"/>
        <v>0</v>
      </c>
      <c r="K115" s="206">
        <f t="shared" si="16"/>
        <v>0</v>
      </c>
      <c r="L115" s="206">
        <f t="shared" si="16"/>
        <v>0</v>
      </c>
      <c r="M115" s="206">
        <f t="shared" si="16"/>
        <v>0</v>
      </c>
      <c r="N115" s="206">
        <f t="shared" si="16"/>
        <v>0</v>
      </c>
      <c r="O115" s="206">
        <f t="shared" si="16"/>
        <v>0</v>
      </c>
      <c r="P115" s="231"/>
    </row>
    <row r="116" spans="1:16" x14ac:dyDescent="0.2">
      <c r="B116" s="220"/>
      <c r="C116" s="86" t="s">
        <v>655</v>
      </c>
      <c r="D116" s="80"/>
      <c r="E116" s="83">
        <v>0.05</v>
      </c>
      <c r="F116" s="77" t="e">
        <f t="shared" ref="F116:O116" si="17">IF(OR((F114/F115)&gt;(1+$E$116),((F114/F115)&lt;(1-$E$116))),"Fail","Pass")</f>
        <v>#DIV/0!</v>
      </c>
      <c r="G116" s="77" t="e">
        <f t="shared" si="17"/>
        <v>#DIV/0!</v>
      </c>
      <c r="H116" s="77" t="e">
        <f t="shared" si="17"/>
        <v>#DIV/0!</v>
      </c>
      <c r="I116" s="77" t="e">
        <f t="shared" si="17"/>
        <v>#DIV/0!</v>
      </c>
      <c r="J116" s="77" t="e">
        <f t="shared" si="17"/>
        <v>#DIV/0!</v>
      </c>
      <c r="K116" s="77" t="e">
        <f t="shared" si="17"/>
        <v>#DIV/0!</v>
      </c>
      <c r="L116" s="77" t="e">
        <f t="shared" si="17"/>
        <v>#DIV/0!</v>
      </c>
      <c r="M116" s="77" t="e">
        <f t="shared" si="17"/>
        <v>#DIV/0!</v>
      </c>
      <c r="N116" s="77" t="e">
        <f t="shared" si="17"/>
        <v>#DIV/0!</v>
      </c>
      <c r="O116" s="77" t="e">
        <f t="shared" si="17"/>
        <v>#DIV/0!</v>
      </c>
      <c r="P116" s="231"/>
    </row>
    <row r="117" spans="1:16" x14ac:dyDescent="0.2">
      <c r="B117" s="220"/>
      <c r="C117" s="79"/>
      <c r="D117" s="80"/>
      <c r="E117" s="81"/>
      <c r="F117" s="82"/>
      <c r="G117" s="82"/>
      <c r="H117" s="82"/>
      <c r="I117" s="82"/>
      <c r="J117" s="82"/>
      <c r="K117" s="82"/>
      <c r="L117" s="82"/>
      <c r="M117" s="82"/>
      <c r="N117" s="206"/>
      <c r="O117" s="82"/>
      <c r="P117" s="231"/>
    </row>
    <row r="118" spans="1:16" x14ac:dyDescent="0.2">
      <c r="B118" s="220"/>
      <c r="C118" s="79" t="s">
        <v>1326</v>
      </c>
      <c r="D118" s="80"/>
      <c r="E118" s="81"/>
      <c r="F118" s="82">
        <f>Financial_Standard!F13</f>
        <v>0</v>
      </c>
      <c r="G118" s="82">
        <f>Financial_Standard!G13</f>
        <v>0</v>
      </c>
      <c r="H118" s="82">
        <f>Financial_Standard!H13</f>
        <v>0</v>
      </c>
      <c r="I118" s="82">
        <f>Financial_Standard!I13</f>
        <v>0</v>
      </c>
      <c r="J118" s="82">
        <f>Financial_Standard!J13</f>
        <v>0</v>
      </c>
      <c r="K118" s="82">
        <f>Financial_Standard!K13</f>
        <v>0</v>
      </c>
      <c r="L118" s="82">
        <f>Financial_Standard!L13</f>
        <v>0</v>
      </c>
      <c r="M118" s="82">
        <f>Financial_Standard!M13</f>
        <v>0</v>
      </c>
      <c r="N118" s="82">
        <f>Financial_Standard!N13</f>
        <v>0</v>
      </c>
      <c r="O118" s="82">
        <f>Financial_Standard!O13</f>
        <v>0</v>
      </c>
      <c r="P118" s="231"/>
    </row>
    <row r="119" spans="1:16" x14ac:dyDescent="0.2">
      <c r="B119" s="220"/>
      <c r="C119" s="79" t="s">
        <v>1327</v>
      </c>
      <c r="D119" s="80"/>
      <c r="E119" s="81"/>
      <c r="F119" s="206">
        <f t="shared" ref="F119:O119" si="18">SUM(F87,F88)</f>
        <v>0</v>
      </c>
      <c r="G119" s="206">
        <f t="shared" si="18"/>
        <v>0</v>
      </c>
      <c r="H119" s="206">
        <f t="shared" si="18"/>
        <v>0</v>
      </c>
      <c r="I119" s="206">
        <f t="shared" si="18"/>
        <v>0</v>
      </c>
      <c r="J119" s="206">
        <f t="shared" si="18"/>
        <v>0</v>
      </c>
      <c r="K119" s="206">
        <f t="shared" si="18"/>
        <v>0</v>
      </c>
      <c r="L119" s="206">
        <f t="shared" si="18"/>
        <v>0</v>
      </c>
      <c r="M119" s="206">
        <f t="shared" si="18"/>
        <v>0</v>
      </c>
      <c r="N119" s="206">
        <f t="shared" si="18"/>
        <v>0</v>
      </c>
      <c r="O119" s="206">
        <f t="shared" si="18"/>
        <v>0</v>
      </c>
      <c r="P119" s="231"/>
    </row>
    <row r="120" spans="1:16" x14ac:dyDescent="0.2">
      <c r="B120" s="220"/>
      <c r="C120" s="86" t="s">
        <v>657</v>
      </c>
      <c r="D120" s="80"/>
      <c r="E120" s="83">
        <v>0.05</v>
      </c>
      <c r="F120" s="77" t="e">
        <f t="shared" ref="F120:O120" si="19">IF(OR((F118/F119)&gt;(1+$E$120),((F118/F119)&lt;(1-$E$120))),"Fail","Pass")</f>
        <v>#DIV/0!</v>
      </c>
      <c r="G120" s="77" t="e">
        <f t="shared" si="19"/>
        <v>#DIV/0!</v>
      </c>
      <c r="H120" s="77" t="e">
        <f t="shared" si="19"/>
        <v>#DIV/0!</v>
      </c>
      <c r="I120" s="77" t="e">
        <f t="shared" si="19"/>
        <v>#DIV/0!</v>
      </c>
      <c r="J120" s="77" t="e">
        <f t="shared" si="19"/>
        <v>#DIV/0!</v>
      </c>
      <c r="K120" s="77" t="e">
        <f t="shared" si="19"/>
        <v>#DIV/0!</v>
      </c>
      <c r="L120" s="77" t="e">
        <f t="shared" si="19"/>
        <v>#DIV/0!</v>
      </c>
      <c r="M120" s="77" t="e">
        <f t="shared" si="19"/>
        <v>#DIV/0!</v>
      </c>
      <c r="N120" s="77" t="e">
        <f t="shared" si="19"/>
        <v>#DIV/0!</v>
      </c>
      <c r="O120" s="77" t="e">
        <f t="shared" si="19"/>
        <v>#DIV/0!</v>
      </c>
      <c r="P120" s="231"/>
    </row>
    <row r="121" spans="1:16" x14ac:dyDescent="0.2">
      <c r="B121" s="220"/>
      <c r="C121" s="78"/>
      <c r="D121" s="79"/>
      <c r="E121" s="80"/>
      <c r="F121" s="81"/>
      <c r="G121" s="82"/>
      <c r="H121" s="82"/>
      <c r="I121" s="82"/>
      <c r="J121" s="82"/>
      <c r="K121" s="82"/>
      <c r="L121" s="82"/>
      <c r="M121" s="82"/>
      <c r="N121" s="206"/>
      <c r="O121" s="82"/>
      <c r="P121" s="231"/>
    </row>
    <row r="122" spans="1:16" x14ac:dyDescent="0.2">
      <c r="B122" s="220"/>
      <c r="C122" s="79" t="s">
        <v>1328</v>
      </c>
      <c r="D122" s="79"/>
      <c r="E122" s="80"/>
      <c r="F122" s="81">
        <f>Financial_Standard!F24</f>
        <v>0</v>
      </c>
      <c r="G122" s="81">
        <f>Financial_Standard!G24</f>
        <v>0</v>
      </c>
      <c r="H122" s="81">
        <f>Financial_Standard!H24</f>
        <v>0</v>
      </c>
      <c r="I122" s="81">
        <f>Financial_Standard!I24</f>
        <v>0</v>
      </c>
      <c r="J122" s="81">
        <f>Financial_Standard!J24</f>
        <v>0</v>
      </c>
      <c r="K122" s="81">
        <f>Financial_Standard!K24</f>
        <v>0</v>
      </c>
      <c r="L122" s="81">
        <f>Financial_Standard!L24</f>
        <v>0</v>
      </c>
      <c r="M122" s="81">
        <f>Financial_Standard!M24</f>
        <v>0</v>
      </c>
      <c r="N122" s="81">
        <f>Financial_Standard!N24</f>
        <v>0</v>
      </c>
      <c r="O122" s="81">
        <f>Financial_Standard!O24</f>
        <v>0</v>
      </c>
      <c r="P122" s="231"/>
    </row>
    <row r="123" spans="1:16" x14ac:dyDescent="0.2">
      <c r="B123" s="220"/>
      <c r="C123" s="79" t="s">
        <v>1329</v>
      </c>
      <c r="D123" s="79"/>
      <c r="E123" s="80"/>
      <c r="F123" s="81">
        <f t="shared" ref="F123:O123" si="20">F110</f>
        <v>0</v>
      </c>
      <c r="G123" s="81">
        <f t="shared" si="20"/>
        <v>0</v>
      </c>
      <c r="H123" s="81">
        <f t="shared" si="20"/>
        <v>0</v>
      </c>
      <c r="I123" s="81">
        <f t="shared" si="20"/>
        <v>0</v>
      </c>
      <c r="J123" s="81">
        <f t="shared" si="20"/>
        <v>0</v>
      </c>
      <c r="K123" s="81">
        <f t="shared" si="20"/>
        <v>0</v>
      </c>
      <c r="L123" s="81">
        <f t="shared" si="20"/>
        <v>0</v>
      </c>
      <c r="M123" s="81">
        <f t="shared" si="20"/>
        <v>0</v>
      </c>
      <c r="N123" s="81">
        <f t="shared" si="20"/>
        <v>0</v>
      </c>
      <c r="O123" s="81">
        <f t="shared" si="20"/>
        <v>0</v>
      </c>
      <c r="P123" s="231"/>
    </row>
    <row r="124" spans="1:16" x14ac:dyDescent="0.2">
      <c r="A124" s="6" t="s">
        <v>692</v>
      </c>
      <c r="B124" s="220"/>
      <c r="C124" s="86" t="s">
        <v>960</v>
      </c>
      <c r="D124" s="86"/>
      <c r="E124" s="83">
        <v>0.05</v>
      </c>
      <c r="F124" s="77" t="e">
        <f t="shared" ref="F124:O124" si="21">IF(OR((F122/F123)&gt;(1+$E$124),((F122/F123)&lt;(1-$E$124))),"Fail","Pass")</f>
        <v>#DIV/0!</v>
      </c>
      <c r="G124" s="77" t="e">
        <f t="shared" si="21"/>
        <v>#DIV/0!</v>
      </c>
      <c r="H124" s="77" t="e">
        <f t="shared" si="21"/>
        <v>#DIV/0!</v>
      </c>
      <c r="I124" s="77" t="e">
        <f t="shared" si="21"/>
        <v>#DIV/0!</v>
      </c>
      <c r="J124" s="77" t="e">
        <f t="shared" si="21"/>
        <v>#DIV/0!</v>
      </c>
      <c r="K124" s="77" t="e">
        <f t="shared" si="21"/>
        <v>#DIV/0!</v>
      </c>
      <c r="L124" s="77" t="e">
        <f t="shared" si="21"/>
        <v>#DIV/0!</v>
      </c>
      <c r="M124" s="77" t="e">
        <f t="shared" si="21"/>
        <v>#DIV/0!</v>
      </c>
      <c r="N124" s="77" t="e">
        <f t="shared" si="21"/>
        <v>#DIV/0!</v>
      </c>
      <c r="O124" s="77" t="e">
        <f t="shared" si="21"/>
        <v>#DIV/0!</v>
      </c>
      <c r="P124" s="231"/>
    </row>
    <row r="125" spans="1:16" x14ac:dyDescent="0.2">
      <c r="F125" s="107"/>
      <c r="G125" s="107"/>
      <c r="H125" s="107"/>
      <c r="I125" s="107"/>
      <c r="J125" s="107"/>
      <c r="K125" s="107"/>
      <c r="L125" s="107"/>
      <c r="M125" s="107"/>
      <c r="N125" s="208"/>
      <c r="O125" s="107"/>
      <c r="P125" s="231"/>
    </row>
    <row r="126" spans="1:16" x14ac:dyDescent="0.2">
      <c r="B126" s="310"/>
      <c r="C126" s="310"/>
      <c r="D126" s="240"/>
      <c r="E126" s="240"/>
      <c r="F126" s="311"/>
      <c r="G126" s="311"/>
      <c r="H126" s="311"/>
      <c r="I126" s="311"/>
      <c r="J126" s="311"/>
      <c r="K126" s="311"/>
      <c r="L126" s="311"/>
      <c r="M126" s="311"/>
      <c r="N126" s="312"/>
      <c r="O126" s="311"/>
      <c r="P126" s="231"/>
    </row>
    <row r="127" spans="1:16" x14ac:dyDescent="0.2">
      <c r="P127" s="231"/>
    </row>
    <row r="128" spans="1:16" ht="45" customHeight="1" x14ac:dyDescent="0.2">
      <c r="B128" s="222" t="s">
        <v>142</v>
      </c>
      <c r="C128" s="222" t="s">
        <v>335</v>
      </c>
      <c r="D128" s="210" t="s">
        <v>68</v>
      </c>
      <c r="E128" s="210" t="s">
        <v>70</v>
      </c>
      <c r="F128" s="210" t="s">
        <v>63</v>
      </c>
      <c r="G128" s="210"/>
      <c r="H128" s="210"/>
      <c r="I128" s="211"/>
      <c r="J128" s="211" t="s">
        <v>829</v>
      </c>
      <c r="K128" s="211" t="s">
        <v>76</v>
      </c>
      <c r="L128" s="211" t="s">
        <v>75</v>
      </c>
      <c r="M128" s="211" t="s">
        <v>74</v>
      </c>
      <c r="N128" s="211" t="s">
        <v>73</v>
      </c>
      <c r="O128" s="211" t="s">
        <v>71</v>
      </c>
      <c r="P128" s="231"/>
    </row>
    <row r="129" spans="1:16" x14ac:dyDescent="0.2">
      <c r="B129" s="222"/>
      <c r="C129" s="222" t="s">
        <v>300</v>
      </c>
      <c r="D129" s="210"/>
      <c r="E129" s="210" t="s">
        <v>87</v>
      </c>
      <c r="F129" s="151">
        <f t="shared" ref="F129:O129" si="22">F9</f>
        <v>41906.600000000006</v>
      </c>
      <c r="G129" s="151">
        <f t="shared" si="22"/>
        <v>41999.200000000004</v>
      </c>
      <c r="H129" s="151">
        <f t="shared" si="22"/>
        <v>42091.8</v>
      </c>
      <c r="I129" s="151">
        <f t="shared" si="22"/>
        <v>42184.4</v>
      </c>
      <c r="J129" s="151">
        <f t="shared" si="22"/>
        <v>42277</v>
      </c>
      <c r="K129" s="157">
        <f t="shared" si="22"/>
        <v>40905</v>
      </c>
      <c r="L129" s="157">
        <f t="shared" si="22"/>
        <v>41271</v>
      </c>
      <c r="M129" s="157">
        <f t="shared" si="22"/>
        <v>41637</v>
      </c>
      <c r="N129" s="157">
        <f t="shared" si="22"/>
        <v>42003</v>
      </c>
      <c r="O129" s="151">
        <f t="shared" si="22"/>
        <v>42277</v>
      </c>
      <c r="P129" s="231"/>
    </row>
    <row r="130" spans="1:16" x14ac:dyDescent="0.2">
      <c r="A130" s="6" t="s">
        <v>693</v>
      </c>
      <c r="B130" s="222" t="s">
        <v>998</v>
      </c>
      <c r="C130" s="222" t="s">
        <v>1207</v>
      </c>
      <c r="D130" s="270"/>
      <c r="E130" s="270"/>
      <c r="F130" s="305"/>
      <c r="G130" s="305"/>
      <c r="H130" s="305"/>
      <c r="I130" s="305"/>
      <c r="J130" s="305"/>
      <c r="K130" s="305"/>
      <c r="L130" s="305"/>
      <c r="M130" s="305"/>
      <c r="N130" s="305"/>
      <c r="O130" s="305"/>
      <c r="P130" s="231"/>
    </row>
    <row r="131" spans="1:16" x14ac:dyDescent="0.2">
      <c r="B131" s="222" t="s">
        <v>999</v>
      </c>
      <c r="C131" s="222" t="s">
        <v>1119</v>
      </c>
      <c r="D131" s="270"/>
      <c r="E131" s="270"/>
      <c r="F131" s="305"/>
      <c r="G131" s="305"/>
      <c r="H131" s="305"/>
      <c r="I131" s="305"/>
      <c r="J131" s="305"/>
      <c r="K131" s="305"/>
      <c r="L131" s="305"/>
      <c r="M131" s="305"/>
      <c r="N131" s="305"/>
      <c r="O131" s="305"/>
      <c r="P131" s="231"/>
    </row>
    <row r="132" spans="1:16" x14ac:dyDescent="0.2">
      <c r="B132" s="271" t="s">
        <v>1000</v>
      </c>
      <c r="C132" s="271" t="s">
        <v>1208</v>
      </c>
      <c r="D132" s="273" t="s">
        <v>1501</v>
      </c>
      <c r="E132" s="273"/>
      <c r="F132" s="298">
        <f t="shared" ref="F132:O132" si="23">F13</f>
        <v>0</v>
      </c>
      <c r="G132" s="298">
        <f t="shared" si="23"/>
        <v>0</v>
      </c>
      <c r="H132" s="298">
        <f t="shared" si="23"/>
        <v>0</v>
      </c>
      <c r="I132" s="298">
        <f t="shared" si="23"/>
        <v>0</v>
      </c>
      <c r="J132" s="298">
        <f t="shared" si="23"/>
        <v>0</v>
      </c>
      <c r="K132" s="298">
        <f t="shared" si="23"/>
        <v>0</v>
      </c>
      <c r="L132" s="298">
        <f t="shared" si="23"/>
        <v>0</v>
      </c>
      <c r="M132" s="298">
        <f t="shared" si="23"/>
        <v>0</v>
      </c>
      <c r="N132" s="298">
        <f t="shared" si="23"/>
        <v>0</v>
      </c>
      <c r="O132" s="298">
        <f t="shared" si="23"/>
        <v>0</v>
      </c>
      <c r="P132" s="231"/>
    </row>
    <row r="133" spans="1:16" x14ac:dyDescent="0.2">
      <c r="B133" s="271" t="s">
        <v>1001</v>
      </c>
      <c r="C133" s="271" t="s">
        <v>1306</v>
      </c>
      <c r="D133" s="273" t="s">
        <v>93</v>
      </c>
      <c r="E133" s="273"/>
      <c r="F133" s="272" t="e">
        <f t="shared" ref="F133:O133" si="24">F15/F$132</f>
        <v>#DIV/0!</v>
      </c>
      <c r="G133" s="272" t="e">
        <f t="shared" si="24"/>
        <v>#DIV/0!</v>
      </c>
      <c r="H133" s="272" t="e">
        <f t="shared" si="24"/>
        <v>#DIV/0!</v>
      </c>
      <c r="I133" s="272" t="e">
        <f t="shared" si="24"/>
        <v>#DIV/0!</v>
      </c>
      <c r="J133" s="272" t="e">
        <f t="shared" si="24"/>
        <v>#DIV/0!</v>
      </c>
      <c r="K133" s="272" t="e">
        <f t="shared" si="24"/>
        <v>#DIV/0!</v>
      </c>
      <c r="L133" s="272" t="e">
        <f t="shared" si="24"/>
        <v>#DIV/0!</v>
      </c>
      <c r="M133" s="272" t="e">
        <f t="shared" si="24"/>
        <v>#DIV/0!</v>
      </c>
      <c r="N133" s="272" t="e">
        <f t="shared" si="24"/>
        <v>#DIV/0!</v>
      </c>
      <c r="O133" s="272" t="e">
        <f t="shared" si="24"/>
        <v>#DIV/0!</v>
      </c>
      <c r="P133" s="231"/>
    </row>
    <row r="134" spans="1:16" x14ac:dyDescent="0.2">
      <c r="B134" s="271" t="s">
        <v>1002</v>
      </c>
      <c r="C134" s="271" t="s">
        <v>1307</v>
      </c>
      <c r="D134" s="273" t="s">
        <v>93</v>
      </c>
      <c r="E134" s="273"/>
      <c r="F134" s="272" t="e">
        <f t="shared" ref="F134:O134" si="25">F16/F$132</f>
        <v>#DIV/0!</v>
      </c>
      <c r="G134" s="272" t="e">
        <f t="shared" si="25"/>
        <v>#DIV/0!</v>
      </c>
      <c r="H134" s="272" t="e">
        <f t="shared" si="25"/>
        <v>#DIV/0!</v>
      </c>
      <c r="I134" s="272" t="e">
        <f t="shared" si="25"/>
        <v>#DIV/0!</v>
      </c>
      <c r="J134" s="272" t="e">
        <f t="shared" si="25"/>
        <v>#DIV/0!</v>
      </c>
      <c r="K134" s="272" t="e">
        <f t="shared" si="25"/>
        <v>#DIV/0!</v>
      </c>
      <c r="L134" s="272" t="e">
        <f t="shared" si="25"/>
        <v>#DIV/0!</v>
      </c>
      <c r="M134" s="272" t="e">
        <f t="shared" si="25"/>
        <v>#DIV/0!</v>
      </c>
      <c r="N134" s="272" t="e">
        <f t="shared" si="25"/>
        <v>#DIV/0!</v>
      </c>
      <c r="O134" s="272" t="e">
        <f t="shared" si="25"/>
        <v>#DIV/0!</v>
      </c>
      <c r="P134" s="128"/>
    </row>
    <row r="135" spans="1:16" x14ac:dyDescent="0.2">
      <c r="B135" s="271" t="s">
        <v>1003</v>
      </c>
      <c r="C135" s="271" t="s">
        <v>1507</v>
      </c>
      <c r="D135" s="273" t="s">
        <v>93</v>
      </c>
      <c r="E135" s="273"/>
      <c r="F135" s="272" t="e">
        <f t="shared" ref="F135:O135" si="26">F17/F$132</f>
        <v>#DIV/0!</v>
      </c>
      <c r="G135" s="272" t="e">
        <f t="shared" si="26"/>
        <v>#DIV/0!</v>
      </c>
      <c r="H135" s="272" t="e">
        <f t="shared" si="26"/>
        <v>#DIV/0!</v>
      </c>
      <c r="I135" s="272" t="e">
        <f t="shared" si="26"/>
        <v>#DIV/0!</v>
      </c>
      <c r="J135" s="272" t="e">
        <f t="shared" si="26"/>
        <v>#DIV/0!</v>
      </c>
      <c r="K135" s="272" t="e">
        <f t="shared" si="26"/>
        <v>#DIV/0!</v>
      </c>
      <c r="L135" s="272" t="e">
        <f t="shared" si="26"/>
        <v>#DIV/0!</v>
      </c>
      <c r="M135" s="272" t="e">
        <f t="shared" si="26"/>
        <v>#DIV/0!</v>
      </c>
      <c r="N135" s="272" t="e">
        <f t="shared" si="26"/>
        <v>#DIV/0!</v>
      </c>
      <c r="O135" s="272" t="e">
        <f t="shared" si="26"/>
        <v>#DIV/0!</v>
      </c>
      <c r="P135" s="128"/>
    </row>
    <row r="136" spans="1:16" s="231" customFormat="1" x14ac:dyDescent="0.2">
      <c r="B136" s="271" t="s">
        <v>1369</v>
      </c>
      <c r="C136" s="271" t="s">
        <v>1370</v>
      </c>
      <c r="D136" s="273" t="s">
        <v>1501</v>
      </c>
      <c r="E136" s="273"/>
      <c r="F136" s="298">
        <f t="shared" ref="F136:O136" si="27">F19</f>
        <v>0</v>
      </c>
      <c r="G136" s="298">
        <f t="shared" si="27"/>
        <v>0</v>
      </c>
      <c r="H136" s="298">
        <f t="shared" si="27"/>
        <v>0</v>
      </c>
      <c r="I136" s="298">
        <f t="shared" si="27"/>
        <v>0</v>
      </c>
      <c r="J136" s="298">
        <f t="shared" si="27"/>
        <v>0</v>
      </c>
      <c r="K136" s="298">
        <f t="shared" si="27"/>
        <v>0</v>
      </c>
      <c r="L136" s="298">
        <f t="shared" si="27"/>
        <v>0</v>
      </c>
      <c r="M136" s="298">
        <f t="shared" si="27"/>
        <v>0</v>
      </c>
      <c r="N136" s="298">
        <f t="shared" si="27"/>
        <v>0</v>
      </c>
      <c r="O136" s="298">
        <f t="shared" si="27"/>
        <v>0</v>
      </c>
      <c r="P136" s="128"/>
    </row>
    <row r="137" spans="1:16" x14ac:dyDescent="0.2">
      <c r="B137" s="271"/>
      <c r="C137" s="271"/>
      <c r="D137" s="273"/>
      <c r="E137" s="273"/>
      <c r="F137" s="306"/>
      <c r="G137" s="306"/>
      <c r="H137" s="306"/>
      <c r="I137" s="306"/>
      <c r="J137" s="306"/>
      <c r="K137" s="306"/>
      <c r="L137" s="306"/>
      <c r="M137" s="306"/>
      <c r="N137" s="306"/>
      <c r="O137" s="306"/>
      <c r="P137" s="128"/>
    </row>
    <row r="138" spans="1:16" x14ac:dyDescent="0.2">
      <c r="B138" s="274" t="s">
        <v>1004</v>
      </c>
      <c r="C138" s="274" t="s">
        <v>1122</v>
      </c>
      <c r="D138" s="273"/>
      <c r="E138" s="273"/>
      <c r="F138" s="306"/>
      <c r="G138" s="306"/>
      <c r="H138" s="306"/>
      <c r="I138" s="306"/>
      <c r="J138" s="306"/>
      <c r="K138" s="306"/>
      <c r="L138" s="306"/>
      <c r="M138" s="306"/>
      <c r="N138" s="306"/>
      <c r="O138" s="306"/>
      <c r="P138" s="128"/>
    </row>
    <row r="139" spans="1:16" x14ac:dyDescent="0.2">
      <c r="B139" s="271" t="s">
        <v>1005</v>
      </c>
      <c r="C139" s="271" t="s">
        <v>1272</v>
      </c>
      <c r="D139" s="273" t="s">
        <v>1240</v>
      </c>
      <c r="E139" s="273"/>
      <c r="F139" s="298">
        <f t="shared" ref="F139:O139" si="28">F22</f>
        <v>0</v>
      </c>
      <c r="G139" s="298">
        <f t="shared" si="28"/>
        <v>0</v>
      </c>
      <c r="H139" s="298">
        <f t="shared" si="28"/>
        <v>0</v>
      </c>
      <c r="I139" s="298">
        <f t="shared" si="28"/>
        <v>0</v>
      </c>
      <c r="J139" s="298">
        <f t="shared" si="28"/>
        <v>0</v>
      </c>
      <c r="K139" s="298">
        <f t="shared" si="28"/>
        <v>0</v>
      </c>
      <c r="L139" s="298">
        <f t="shared" si="28"/>
        <v>0</v>
      </c>
      <c r="M139" s="298">
        <f t="shared" si="28"/>
        <v>0</v>
      </c>
      <c r="N139" s="298">
        <f t="shared" si="28"/>
        <v>0</v>
      </c>
      <c r="O139" s="298">
        <f t="shared" si="28"/>
        <v>0</v>
      </c>
      <c r="P139" s="128"/>
    </row>
    <row r="140" spans="1:16" x14ac:dyDescent="0.2">
      <c r="B140" s="271" t="s">
        <v>1006</v>
      </c>
      <c r="C140" s="271" t="s">
        <v>1273</v>
      </c>
      <c r="D140" s="273" t="s">
        <v>1240</v>
      </c>
      <c r="E140" s="273"/>
      <c r="F140" s="298">
        <f t="shared" ref="F140:O140" si="29">F23</f>
        <v>0</v>
      </c>
      <c r="G140" s="298">
        <f t="shared" si="29"/>
        <v>0</v>
      </c>
      <c r="H140" s="298">
        <f t="shared" si="29"/>
        <v>0</v>
      </c>
      <c r="I140" s="298">
        <f t="shared" si="29"/>
        <v>0</v>
      </c>
      <c r="J140" s="298">
        <f t="shared" si="29"/>
        <v>0</v>
      </c>
      <c r="K140" s="298">
        <f t="shared" si="29"/>
        <v>0</v>
      </c>
      <c r="L140" s="298">
        <f t="shared" si="29"/>
        <v>0</v>
      </c>
      <c r="M140" s="298">
        <f t="shared" si="29"/>
        <v>0</v>
      </c>
      <c r="N140" s="298">
        <f t="shared" si="29"/>
        <v>0</v>
      </c>
      <c r="O140" s="298">
        <f t="shared" si="29"/>
        <v>0</v>
      </c>
      <c r="P140" s="128"/>
    </row>
    <row r="141" spans="1:16" x14ac:dyDescent="0.2">
      <c r="B141" s="271"/>
      <c r="C141" s="271"/>
      <c r="D141" s="273"/>
      <c r="E141" s="273"/>
      <c r="F141" s="306"/>
      <c r="G141" s="306"/>
      <c r="H141" s="306"/>
      <c r="I141" s="306"/>
      <c r="J141" s="306"/>
      <c r="K141" s="306"/>
      <c r="L141" s="306"/>
      <c r="M141" s="306"/>
      <c r="N141" s="306"/>
      <c r="O141" s="306"/>
      <c r="P141" s="128"/>
    </row>
    <row r="142" spans="1:16" x14ac:dyDescent="0.2">
      <c r="A142" s="231"/>
      <c r="B142" s="274" t="s">
        <v>1007</v>
      </c>
      <c r="C142" s="274" t="s">
        <v>1301</v>
      </c>
      <c r="D142" s="273"/>
      <c r="E142" s="273"/>
      <c r="F142" s="306"/>
      <c r="G142" s="306"/>
      <c r="H142" s="306"/>
      <c r="I142" s="306"/>
      <c r="J142" s="306"/>
      <c r="K142" s="306"/>
      <c r="L142" s="306"/>
      <c r="M142" s="306"/>
      <c r="N142" s="306"/>
      <c r="O142" s="306"/>
      <c r="P142" s="128"/>
    </row>
    <row r="143" spans="1:16" x14ac:dyDescent="0.2">
      <c r="A143" s="231"/>
      <c r="B143" s="271" t="s">
        <v>1008</v>
      </c>
      <c r="C143" s="271" t="s">
        <v>1334</v>
      </c>
      <c r="D143" s="273" t="s">
        <v>823</v>
      </c>
      <c r="E143" s="273"/>
      <c r="F143" s="298">
        <f t="shared" ref="F143:O143" si="30">F26</f>
        <v>0</v>
      </c>
      <c r="G143" s="298">
        <f t="shared" si="30"/>
        <v>0</v>
      </c>
      <c r="H143" s="298">
        <f t="shared" si="30"/>
        <v>0</v>
      </c>
      <c r="I143" s="298">
        <f t="shared" si="30"/>
        <v>0</v>
      </c>
      <c r="J143" s="298">
        <f t="shared" si="30"/>
        <v>0</v>
      </c>
      <c r="K143" s="298">
        <f t="shared" si="30"/>
        <v>0</v>
      </c>
      <c r="L143" s="298">
        <f t="shared" si="30"/>
        <v>0</v>
      </c>
      <c r="M143" s="298">
        <f t="shared" si="30"/>
        <v>0</v>
      </c>
      <c r="N143" s="298">
        <f t="shared" si="30"/>
        <v>0</v>
      </c>
      <c r="O143" s="298">
        <f t="shared" si="30"/>
        <v>0</v>
      </c>
      <c r="P143" s="128"/>
    </row>
    <row r="144" spans="1:16" x14ac:dyDescent="0.2">
      <c r="A144" s="231"/>
      <c r="B144" s="271" t="s">
        <v>1009</v>
      </c>
      <c r="C144" s="271" t="s">
        <v>1335</v>
      </c>
      <c r="D144" s="273" t="s">
        <v>823</v>
      </c>
      <c r="E144" s="273"/>
      <c r="F144" s="298">
        <f t="shared" ref="F144:O144" si="31">F27</f>
        <v>0</v>
      </c>
      <c r="G144" s="298">
        <f t="shared" si="31"/>
        <v>0</v>
      </c>
      <c r="H144" s="298">
        <f t="shared" si="31"/>
        <v>0</v>
      </c>
      <c r="I144" s="298">
        <f t="shared" si="31"/>
        <v>0</v>
      </c>
      <c r="J144" s="298">
        <f t="shared" si="31"/>
        <v>0</v>
      </c>
      <c r="K144" s="298">
        <f t="shared" si="31"/>
        <v>0</v>
      </c>
      <c r="L144" s="298">
        <f t="shared" si="31"/>
        <v>0</v>
      </c>
      <c r="M144" s="298">
        <f t="shared" si="31"/>
        <v>0</v>
      </c>
      <c r="N144" s="298">
        <f t="shared" si="31"/>
        <v>0</v>
      </c>
      <c r="O144" s="298">
        <f t="shared" si="31"/>
        <v>0</v>
      </c>
      <c r="P144" s="128">
        <v>2</v>
      </c>
    </row>
    <row r="145" spans="1:20" x14ac:dyDescent="0.2">
      <c r="A145" s="231"/>
      <c r="B145" s="271" t="s">
        <v>1407</v>
      </c>
      <c r="C145" s="271" t="s">
        <v>1336</v>
      </c>
      <c r="D145" s="273" t="s">
        <v>823</v>
      </c>
      <c r="E145" s="273"/>
      <c r="F145" s="298">
        <f t="shared" ref="F145:O145" si="32">F28</f>
        <v>0</v>
      </c>
      <c r="G145" s="298">
        <f t="shared" si="32"/>
        <v>0</v>
      </c>
      <c r="H145" s="298">
        <f t="shared" si="32"/>
        <v>0</v>
      </c>
      <c r="I145" s="298">
        <f t="shared" si="32"/>
        <v>0</v>
      </c>
      <c r="J145" s="298">
        <f t="shared" si="32"/>
        <v>0</v>
      </c>
      <c r="K145" s="298">
        <f t="shared" si="32"/>
        <v>0</v>
      </c>
      <c r="L145" s="298">
        <f t="shared" si="32"/>
        <v>0</v>
      </c>
      <c r="M145" s="298">
        <f t="shared" si="32"/>
        <v>0</v>
      </c>
      <c r="N145" s="298">
        <f t="shared" si="32"/>
        <v>0</v>
      </c>
      <c r="O145" s="298">
        <f t="shared" si="32"/>
        <v>0</v>
      </c>
      <c r="P145" s="128">
        <v>1</v>
      </c>
    </row>
    <row r="146" spans="1:20" s="231" customFormat="1" x14ac:dyDescent="0.2">
      <c r="B146" s="271" t="s">
        <v>1421</v>
      </c>
      <c r="C146" s="271" t="s">
        <v>1420</v>
      </c>
      <c r="D146" s="273" t="s">
        <v>823</v>
      </c>
      <c r="E146" s="273"/>
      <c r="F146" s="298">
        <f t="shared" ref="F146:O146" si="33">+F143+F144</f>
        <v>0</v>
      </c>
      <c r="G146" s="298">
        <f t="shared" si="33"/>
        <v>0</v>
      </c>
      <c r="H146" s="298">
        <f t="shared" si="33"/>
        <v>0</v>
      </c>
      <c r="I146" s="298">
        <f t="shared" si="33"/>
        <v>0</v>
      </c>
      <c r="J146" s="298">
        <f t="shared" si="33"/>
        <v>0</v>
      </c>
      <c r="K146" s="298">
        <f t="shared" si="33"/>
        <v>0</v>
      </c>
      <c r="L146" s="298">
        <f t="shared" si="33"/>
        <v>0</v>
      </c>
      <c r="M146" s="298">
        <f t="shared" si="33"/>
        <v>0</v>
      </c>
      <c r="N146" s="298">
        <f t="shared" si="33"/>
        <v>0</v>
      </c>
      <c r="O146" s="298">
        <f t="shared" si="33"/>
        <v>0</v>
      </c>
      <c r="P146" s="128"/>
    </row>
    <row r="147" spans="1:20" x14ac:dyDescent="0.2">
      <c r="A147" s="231"/>
      <c r="B147" s="271"/>
      <c r="C147" s="271"/>
      <c r="D147" s="273"/>
      <c r="E147" s="273"/>
      <c r="F147" s="306"/>
      <c r="G147" s="306"/>
      <c r="H147" s="306"/>
      <c r="I147" s="306"/>
      <c r="J147" s="306"/>
      <c r="K147" s="306"/>
      <c r="L147" s="306"/>
      <c r="M147" s="306"/>
      <c r="N147" s="306"/>
      <c r="O147" s="306"/>
      <c r="P147" s="128"/>
    </row>
    <row r="148" spans="1:20" x14ac:dyDescent="0.2">
      <c r="A148" s="231"/>
      <c r="B148" s="274" t="s">
        <v>1010</v>
      </c>
      <c r="C148" s="274" t="s">
        <v>1497</v>
      </c>
      <c r="D148" s="273"/>
      <c r="E148" s="273"/>
      <c r="F148" s="306"/>
      <c r="G148" s="306"/>
      <c r="H148" s="306"/>
      <c r="I148" s="306"/>
      <c r="J148" s="306"/>
      <c r="K148" s="306"/>
      <c r="L148" s="306"/>
      <c r="M148" s="306"/>
      <c r="N148" s="306"/>
      <c r="O148" s="306"/>
      <c r="P148" s="128"/>
    </row>
    <row r="149" spans="1:20" x14ac:dyDescent="0.2">
      <c r="A149" s="231"/>
      <c r="B149" s="271" t="s">
        <v>1011</v>
      </c>
      <c r="C149" s="271" t="s">
        <v>1512</v>
      </c>
      <c r="D149" s="273" t="s">
        <v>118</v>
      </c>
      <c r="E149" s="273"/>
      <c r="F149" s="275" t="e">
        <f>F28/(F87*4)</f>
        <v>#DIV/0!</v>
      </c>
      <c r="G149" s="275" t="e">
        <f t="shared" ref="G149:J149" si="34">G28/(G87*4)</f>
        <v>#DIV/0!</v>
      </c>
      <c r="H149" s="275" t="e">
        <f t="shared" si="34"/>
        <v>#DIV/0!</v>
      </c>
      <c r="I149" s="275" t="e">
        <f t="shared" si="34"/>
        <v>#DIV/0!</v>
      </c>
      <c r="J149" s="275" t="e">
        <f t="shared" si="34"/>
        <v>#DIV/0!</v>
      </c>
      <c r="K149" s="275" t="e">
        <f>K28/K87</f>
        <v>#DIV/0!</v>
      </c>
      <c r="L149" s="275" t="e">
        <f>L28/L87</f>
        <v>#DIV/0!</v>
      </c>
      <c r="M149" s="275" t="e">
        <f>M28/M87</f>
        <v>#DIV/0!</v>
      </c>
      <c r="N149" s="275" t="e">
        <f>N28/N87</f>
        <v>#DIV/0!</v>
      </c>
      <c r="O149" s="275" t="e">
        <f>O28/O87</f>
        <v>#DIV/0!</v>
      </c>
      <c r="P149" s="128"/>
      <c r="R149" s="231"/>
      <c r="S149" s="231"/>
      <c r="T149" s="231"/>
    </row>
    <row r="150" spans="1:20" x14ac:dyDescent="0.2">
      <c r="A150" s="231"/>
      <c r="B150" s="271" t="s">
        <v>1012</v>
      </c>
      <c r="C150" s="271" t="s">
        <v>1528</v>
      </c>
      <c r="D150" s="273" t="s">
        <v>118</v>
      </c>
      <c r="E150" s="273"/>
      <c r="F150" s="275" t="e">
        <f t="shared" ref="F150:O150" si="35">F27/F87</f>
        <v>#DIV/0!</v>
      </c>
      <c r="G150" s="275" t="e">
        <f t="shared" si="35"/>
        <v>#DIV/0!</v>
      </c>
      <c r="H150" s="275" t="e">
        <f t="shared" si="35"/>
        <v>#DIV/0!</v>
      </c>
      <c r="I150" s="275" t="e">
        <f t="shared" si="35"/>
        <v>#DIV/0!</v>
      </c>
      <c r="J150" s="275" t="e">
        <f t="shared" si="35"/>
        <v>#DIV/0!</v>
      </c>
      <c r="K150" s="275" t="e">
        <f t="shared" si="35"/>
        <v>#DIV/0!</v>
      </c>
      <c r="L150" s="275" t="e">
        <f t="shared" si="35"/>
        <v>#DIV/0!</v>
      </c>
      <c r="M150" s="275" t="e">
        <f t="shared" si="35"/>
        <v>#DIV/0!</v>
      </c>
      <c r="N150" s="275" t="e">
        <f t="shared" si="35"/>
        <v>#DIV/0!</v>
      </c>
      <c r="O150" s="275" t="e">
        <f t="shared" si="35"/>
        <v>#DIV/0!</v>
      </c>
      <c r="P150" s="128">
        <v>3</v>
      </c>
    </row>
    <row r="151" spans="1:20" s="231" customFormat="1" x14ac:dyDescent="0.2">
      <c r="B151" s="271" t="s">
        <v>1013</v>
      </c>
      <c r="C151" s="271" t="s">
        <v>1371</v>
      </c>
      <c r="D151" s="273" t="s">
        <v>118</v>
      </c>
      <c r="E151" s="273"/>
      <c r="F151" s="275" t="e">
        <f t="shared" ref="F151:O151" si="36">F87/F27</f>
        <v>#DIV/0!</v>
      </c>
      <c r="G151" s="275" t="e">
        <f t="shared" si="36"/>
        <v>#DIV/0!</v>
      </c>
      <c r="H151" s="275" t="e">
        <f t="shared" si="36"/>
        <v>#DIV/0!</v>
      </c>
      <c r="I151" s="275" t="e">
        <f t="shared" si="36"/>
        <v>#DIV/0!</v>
      </c>
      <c r="J151" s="275" t="e">
        <f t="shared" si="36"/>
        <v>#DIV/0!</v>
      </c>
      <c r="K151" s="275" t="e">
        <f t="shared" si="36"/>
        <v>#DIV/0!</v>
      </c>
      <c r="L151" s="275" t="e">
        <f t="shared" si="36"/>
        <v>#DIV/0!</v>
      </c>
      <c r="M151" s="275" t="e">
        <f t="shared" si="36"/>
        <v>#DIV/0!</v>
      </c>
      <c r="N151" s="275" t="e">
        <f t="shared" si="36"/>
        <v>#DIV/0!</v>
      </c>
      <c r="O151" s="275" t="e">
        <f t="shared" si="36"/>
        <v>#DIV/0!</v>
      </c>
      <c r="P151" s="128"/>
    </row>
    <row r="152" spans="1:20" s="231" customFormat="1" x14ac:dyDescent="0.2">
      <c r="B152" s="271" t="s">
        <v>1419</v>
      </c>
      <c r="C152" s="271" t="s">
        <v>1418</v>
      </c>
      <c r="D152" s="273" t="s">
        <v>93</v>
      </c>
      <c r="E152" s="273"/>
      <c r="F152" s="272" t="e">
        <f t="shared" ref="F152:O152" si="37">F235/F146</f>
        <v>#DIV/0!</v>
      </c>
      <c r="G152" s="272" t="e">
        <f t="shared" si="37"/>
        <v>#DIV/0!</v>
      </c>
      <c r="H152" s="272" t="e">
        <f t="shared" si="37"/>
        <v>#DIV/0!</v>
      </c>
      <c r="I152" s="272" t="e">
        <f t="shared" si="37"/>
        <v>#DIV/0!</v>
      </c>
      <c r="J152" s="272" t="e">
        <f t="shared" si="37"/>
        <v>#DIV/0!</v>
      </c>
      <c r="K152" s="272" t="e">
        <f t="shared" si="37"/>
        <v>#DIV/0!</v>
      </c>
      <c r="L152" s="272" t="e">
        <f t="shared" si="37"/>
        <v>#DIV/0!</v>
      </c>
      <c r="M152" s="272" t="e">
        <f t="shared" si="37"/>
        <v>#DIV/0!</v>
      </c>
      <c r="N152" s="272" t="e">
        <f t="shared" si="37"/>
        <v>#DIV/0!</v>
      </c>
      <c r="O152" s="272" t="e">
        <f t="shared" si="37"/>
        <v>#DIV/0!</v>
      </c>
      <c r="P152" s="128"/>
    </row>
    <row r="153" spans="1:20" s="231" customFormat="1" x14ac:dyDescent="0.2">
      <c r="B153" s="271" t="s">
        <v>1429</v>
      </c>
      <c r="C153" s="271" t="s">
        <v>1504</v>
      </c>
      <c r="D153" s="273" t="s">
        <v>118</v>
      </c>
      <c r="E153" s="273"/>
      <c r="F153" s="275" t="e">
        <f t="shared" ref="F153:O153" si="38">+F144/F60</f>
        <v>#DIV/0!</v>
      </c>
      <c r="G153" s="275" t="e">
        <f t="shared" si="38"/>
        <v>#DIV/0!</v>
      </c>
      <c r="H153" s="275" t="e">
        <f t="shared" si="38"/>
        <v>#DIV/0!</v>
      </c>
      <c r="I153" s="275" t="e">
        <f t="shared" si="38"/>
        <v>#DIV/0!</v>
      </c>
      <c r="J153" s="275" t="e">
        <f t="shared" si="38"/>
        <v>#DIV/0!</v>
      </c>
      <c r="K153" s="275" t="e">
        <f t="shared" si="38"/>
        <v>#DIV/0!</v>
      </c>
      <c r="L153" s="275" t="e">
        <f t="shared" si="38"/>
        <v>#DIV/0!</v>
      </c>
      <c r="M153" s="275" t="e">
        <f t="shared" si="38"/>
        <v>#DIV/0!</v>
      </c>
      <c r="N153" s="275" t="e">
        <f t="shared" si="38"/>
        <v>#DIV/0!</v>
      </c>
      <c r="O153" s="275" t="e">
        <f t="shared" si="38"/>
        <v>#DIV/0!</v>
      </c>
      <c r="P153" s="128">
        <v>6</v>
      </c>
    </row>
    <row r="154" spans="1:20" s="231" customFormat="1" x14ac:dyDescent="0.2">
      <c r="B154" s="271" t="s">
        <v>1499</v>
      </c>
      <c r="C154" s="271" t="s">
        <v>1534</v>
      </c>
      <c r="D154" s="273" t="s">
        <v>1502</v>
      </c>
      <c r="E154" s="273"/>
      <c r="F154" s="298" t="e">
        <f t="shared" ref="F154:O154" si="39">+(F152*F150*F58)/F60+1</f>
        <v>#DIV/0!</v>
      </c>
      <c r="G154" s="298" t="e">
        <f t="shared" si="39"/>
        <v>#DIV/0!</v>
      </c>
      <c r="H154" s="298" t="e">
        <f t="shared" si="39"/>
        <v>#DIV/0!</v>
      </c>
      <c r="I154" s="298" t="e">
        <f t="shared" si="39"/>
        <v>#DIV/0!</v>
      </c>
      <c r="J154" s="298" t="e">
        <f t="shared" si="39"/>
        <v>#DIV/0!</v>
      </c>
      <c r="K154" s="298" t="e">
        <f t="shared" si="39"/>
        <v>#DIV/0!</v>
      </c>
      <c r="L154" s="298" t="e">
        <f t="shared" si="39"/>
        <v>#DIV/0!</v>
      </c>
      <c r="M154" s="298" t="e">
        <f t="shared" si="39"/>
        <v>#DIV/0!</v>
      </c>
      <c r="N154" s="298" t="e">
        <f t="shared" si="39"/>
        <v>#DIV/0!</v>
      </c>
      <c r="O154" s="298" t="e">
        <f t="shared" si="39"/>
        <v>#DIV/0!</v>
      </c>
      <c r="P154" s="231" t="s">
        <v>1533</v>
      </c>
      <c r="R154" s="308" t="s">
        <v>1535</v>
      </c>
      <c r="S154" s="309" t="s">
        <v>1537</v>
      </c>
    </row>
    <row r="155" spans="1:20" s="231" customFormat="1" x14ac:dyDescent="0.2">
      <c r="B155" s="271"/>
      <c r="C155" s="271"/>
      <c r="D155" s="273"/>
      <c r="E155" s="273"/>
      <c r="F155" s="306"/>
      <c r="G155" s="306"/>
      <c r="H155" s="306"/>
      <c r="I155" s="306"/>
      <c r="J155" s="306"/>
      <c r="K155" s="306"/>
      <c r="L155" s="306"/>
      <c r="M155" s="306"/>
      <c r="N155" s="306"/>
      <c r="O155" s="306"/>
      <c r="P155" s="128"/>
    </row>
    <row r="156" spans="1:20" x14ac:dyDescent="0.2">
      <c r="A156" s="231"/>
      <c r="B156" s="274" t="s">
        <v>1014</v>
      </c>
      <c r="C156" s="274" t="s">
        <v>1210</v>
      </c>
      <c r="D156" s="273"/>
      <c r="E156" s="273"/>
      <c r="F156" s="306"/>
      <c r="G156" s="306"/>
      <c r="H156" s="306"/>
      <c r="I156" s="306"/>
      <c r="J156" s="306"/>
      <c r="K156" s="306"/>
      <c r="L156" s="306"/>
      <c r="M156" s="306"/>
      <c r="N156" s="306"/>
      <c r="O156" s="306"/>
      <c r="P156" s="128"/>
      <c r="Q156" s="231"/>
    </row>
    <row r="157" spans="1:20" x14ac:dyDescent="0.2">
      <c r="A157" s="231"/>
      <c r="B157" s="271" t="s">
        <v>1015</v>
      </c>
      <c r="C157" s="271" t="s">
        <v>1274</v>
      </c>
      <c r="D157" s="273" t="s">
        <v>1289</v>
      </c>
      <c r="E157" s="273"/>
      <c r="F157" s="298">
        <f t="shared" ref="F157:O157" si="40">F31</f>
        <v>0</v>
      </c>
      <c r="G157" s="298">
        <f t="shared" si="40"/>
        <v>0</v>
      </c>
      <c r="H157" s="298">
        <f t="shared" si="40"/>
        <v>0</v>
      </c>
      <c r="I157" s="298">
        <f t="shared" si="40"/>
        <v>0</v>
      </c>
      <c r="J157" s="298">
        <f t="shared" si="40"/>
        <v>0</v>
      </c>
      <c r="K157" s="298">
        <f t="shared" si="40"/>
        <v>0</v>
      </c>
      <c r="L157" s="298">
        <f t="shared" si="40"/>
        <v>0</v>
      </c>
      <c r="M157" s="298">
        <f t="shared" si="40"/>
        <v>0</v>
      </c>
      <c r="N157" s="298">
        <f t="shared" si="40"/>
        <v>0</v>
      </c>
      <c r="O157" s="298">
        <f t="shared" si="40"/>
        <v>0</v>
      </c>
      <c r="P157" s="128"/>
      <c r="Q157" s="231"/>
    </row>
    <row r="158" spans="1:20" x14ac:dyDescent="0.2">
      <c r="A158" s="231"/>
      <c r="B158" s="271" t="s">
        <v>1016</v>
      </c>
      <c r="C158" s="271" t="s">
        <v>1373</v>
      </c>
      <c r="D158" s="273" t="s">
        <v>93</v>
      </c>
      <c r="E158" s="273"/>
      <c r="F158" s="272" t="e">
        <f t="shared" ref="F158:O158" si="41">F33/F$157</f>
        <v>#DIV/0!</v>
      </c>
      <c r="G158" s="272" t="e">
        <f t="shared" si="41"/>
        <v>#DIV/0!</v>
      </c>
      <c r="H158" s="272" t="e">
        <f t="shared" si="41"/>
        <v>#DIV/0!</v>
      </c>
      <c r="I158" s="272" t="e">
        <f t="shared" si="41"/>
        <v>#DIV/0!</v>
      </c>
      <c r="J158" s="272" t="e">
        <f t="shared" si="41"/>
        <v>#DIV/0!</v>
      </c>
      <c r="K158" s="272" t="e">
        <f t="shared" si="41"/>
        <v>#DIV/0!</v>
      </c>
      <c r="L158" s="272" t="e">
        <f t="shared" si="41"/>
        <v>#DIV/0!</v>
      </c>
      <c r="M158" s="272" t="e">
        <f t="shared" si="41"/>
        <v>#DIV/0!</v>
      </c>
      <c r="N158" s="272" t="e">
        <f t="shared" si="41"/>
        <v>#DIV/0!</v>
      </c>
      <c r="O158" s="272" t="e">
        <f t="shared" si="41"/>
        <v>#DIV/0!</v>
      </c>
      <c r="P158" s="128"/>
      <c r="Q158" s="231"/>
    </row>
    <row r="159" spans="1:20" x14ac:dyDescent="0.2">
      <c r="A159" s="231"/>
      <c r="B159" s="271" t="s">
        <v>1372</v>
      </c>
      <c r="C159" s="271" t="s">
        <v>1304</v>
      </c>
      <c r="D159" s="273" t="s">
        <v>93</v>
      </c>
      <c r="E159" s="273"/>
      <c r="F159" s="272" t="e">
        <f t="shared" ref="F159:O159" si="42">F34/F$157</f>
        <v>#DIV/0!</v>
      </c>
      <c r="G159" s="272" t="e">
        <f t="shared" si="42"/>
        <v>#DIV/0!</v>
      </c>
      <c r="H159" s="272" t="e">
        <f t="shared" si="42"/>
        <v>#DIV/0!</v>
      </c>
      <c r="I159" s="272" t="e">
        <f t="shared" si="42"/>
        <v>#DIV/0!</v>
      </c>
      <c r="J159" s="272" t="e">
        <f t="shared" si="42"/>
        <v>#DIV/0!</v>
      </c>
      <c r="K159" s="272" t="e">
        <f t="shared" si="42"/>
        <v>#DIV/0!</v>
      </c>
      <c r="L159" s="272" t="e">
        <f t="shared" si="42"/>
        <v>#DIV/0!</v>
      </c>
      <c r="M159" s="272" t="e">
        <f t="shared" si="42"/>
        <v>#DIV/0!</v>
      </c>
      <c r="N159" s="272" t="e">
        <f t="shared" si="42"/>
        <v>#DIV/0!</v>
      </c>
      <c r="O159" s="272" t="e">
        <f t="shared" si="42"/>
        <v>#DIV/0!</v>
      </c>
      <c r="P159" s="128"/>
      <c r="Q159" s="231"/>
    </row>
    <row r="160" spans="1:20" x14ac:dyDescent="0.2">
      <c r="A160" s="231"/>
      <c r="B160" s="271" t="s">
        <v>1405</v>
      </c>
      <c r="C160" s="271" t="s">
        <v>1305</v>
      </c>
      <c r="D160" s="273" t="s">
        <v>93</v>
      </c>
      <c r="E160" s="273"/>
      <c r="F160" s="272" t="e">
        <f t="shared" ref="F160:O160" si="43">F35/F$157</f>
        <v>#DIV/0!</v>
      </c>
      <c r="G160" s="272" t="e">
        <f t="shared" si="43"/>
        <v>#DIV/0!</v>
      </c>
      <c r="H160" s="272" t="e">
        <f t="shared" si="43"/>
        <v>#DIV/0!</v>
      </c>
      <c r="I160" s="272" t="e">
        <f t="shared" si="43"/>
        <v>#DIV/0!</v>
      </c>
      <c r="J160" s="272" t="e">
        <f t="shared" si="43"/>
        <v>#DIV/0!</v>
      </c>
      <c r="K160" s="272" t="e">
        <f t="shared" si="43"/>
        <v>#DIV/0!</v>
      </c>
      <c r="L160" s="272" t="e">
        <f t="shared" si="43"/>
        <v>#DIV/0!</v>
      </c>
      <c r="M160" s="272" t="e">
        <f t="shared" si="43"/>
        <v>#DIV/0!</v>
      </c>
      <c r="N160" s="272" t="e">
        <f t="shared" si="43"/>
        <v>#DIV/0!</v>
      </c>
      <c r="O160" s="272" t="e">
        <f t="shared" si="43"/>
        <v>#DIV/0!</v>
      </c>
      <c r="P160" s="128"/>
      <c r="Q160" s="231"/>
    </row>
    <row r="161" spans="1:17" x14ac:dyDescent="0.2">
      <c r="A161" s="231"/>
      <c r="B161" s="271" t="s">
        <v>1406</v>
      </c>
      <c r="C161" s="271" t="s">
        <v>1507</v>
      </c>
      <c r="D161" s="273" t="s">
        <v>93</v>
      </c>
      <c r="E161" s="273"/>
      <c r="F161" s="272" t="e">
        <f t="shared" ref="F161:O161" si="44">F36/F$157</f>
        <v>#DIV/0!</v>
      </c>
      <c r="G161" s="272" t="e">
        <f t="shared" si="44"/>
        <v>#DIV/0!</v>
      </c>
      <c r="H161" s="272" t="e">
        <f t="shared" si="44"/>
        <v>#DIV/0!</v>
      </c>
      <c r="I161" s="272" t="e">
        <f t="shared" si="44"/>
        <v>#DIV/0!</v>
      </c>
      <c r="J161" s="272" t="e">
        <f t="shared" si="44"/>
        <v>#DIV/0!</v>
      </c>
      <c r="K161" s="272" t="e">
        <f t="shared" si="44"/>
        <v>#DIV/0!</v>
      </c>
      <c r="L161" s="272" t="e">
        <f t="shared" si="44"/>
        <v>#DIV/0!</v>
      </c>
      <c r="M161" s="272" t="e">
        <f t="shared" si="44"/>
        <v>#DIV/0!</v>
      </c>
      <c r="N161" s="272" t="e">
        <f t="shared" si="44"/>
        <v>#DIV/0!</v>
      </c>
      <c r="O161" s="272" t="e">
        <f t="shared" si="44"/>
        <v>#DIV/0!</v>
      </c>
      <c r="P161" s="128"/>
      <c r="Q161" s="231"/>
    </row>
    <row r="162" spans="1:17" x14ac:dyDescent="0.2">
      <c r="A162" s="231"/>
      <c r="B162" s="271"/>
      <c r="C162" s="271"/>
      <c r="D162" s="273"/>
      <c r="E162" s="273"/>
      <c r="F162" s="306"/>
      <c r="G162" s="306"/>
      <c r="H162" s="306"/>
      <c r="I162" s="306"/>
      <c r="J162" s="306"/>
      <c r="K162" s="306"/>
      <c r="L162" s="306"/>
      <c r="M162" s="306"/>
      <c r="N162" s="306"/>
      <c r="O162" s="306"/>
      <c r="P162" s="128"/>
      <c r="Q162" s="231"/>
    </row>
    <row r="163" spans="1:17" x14ac:dyDescent="0.2">
      <c r="A163" s="231"/>
      <c r="B163" s="274" t="s">
        <v>1017</v>
      </c>
      <c r="C163" s="274" t="s">
        <v>1337</v>
      </c>
      <c r="D163" s="273"/>
      <c r="E163" s="273"/>
      <c r="F163" s="306"/>
      <c r="G163" s="306"/>
      <c r="H163" s="306"/>
      <c r="I163" s="306"/>
      <c r="J163" s="306"/>
      <c r="K163" s="306"/>
      <c r="L163" s="306"/>
      <c r="M163" s="306"/>
      <c r="N163" s="306"/>
      <c r="O163" s="306"/>
      <c r="P163" s="128"/>
      <c r="Q163" s="231"/>
    </row>
    <row r="164" spans="1:17" x14ac:dyDescent="0.2">
      <c r="A164" s="231"/>
      <c r="B164" s="271" t="s">
        <v>1018</v>
      </c>
      <c r="C164" s="271" t="s">
        <v>1213</v>
      </c>
      <c r="D164" s="273" t="s">
        <v>823</v>
      </c>
      <c r="E164" s="273"/>
      <c r="F164" s="298">
        <f t="shared" ref="F164:O164" si="45">F39</f>
        <v>0</v>
      </c>
      <c r="G164" s="298">
        <f t="shared" si="45"/>
        <v>0</v>
      </c>
      <c r="H164" s="298">
        <f t="shared" si="45"/>
        <v>0</v>
      </c>
      <c r="I164" s="298">
        <f t="shared" si="45"/>
        <v>0</v>
      </c>
      <c r="J164" s="298">
        <f t="shared" si="45"/>
        <v>0</v>
      </c>
      <c r="K164" s="298">
        <f t="shared" si="45"/>
        <v>0</v>
      </c>
      <c r="L164" s="298">
        <f t="shared" si="45"/>
        <v>0</v>
      </c>
      <c r="M164" s="298">
        <f t="shared" si="45"/>
        <v>0</v>
      </c>
      <c r="N164" s="298">
        <f t="shared" si="45"/>
        <v>0</v>
      </c>
      <c r="O164" s="298">
        <f t="shared" si="45"/>
        <v>0</v>
      </c>
      <c r="P164" s="128"/>
      <c r="Q164" s="231"/>
    </row>
    <row r="165" spans="1:17" x14ac:dyDescent="0.2">
      <c r="A165" s="231"/>
      <c r="B165" s="271" t="s">
        <v>1019</v>
      </c>
      <c r="C165" s="271" t="s">
        <v>1391</v>
      </c>
      <c r="D165" s="273" t="s">
        <v>1288</v>
      </c>
      <c r="E165" s="273"/>
      <c r="F165" s="298" t="e">
        <f t="shared" ref="F165:O165" si="46">(F164*1000)/F31</f>
        <v>#DIV/0!</v>
      </c>
      <c r="G165" s="298" t="e">
        <f t="shared" si="46"/>
        <v>#DIV/0!</v>
      </c>
      <c r="H165" s="298" t="e">
        <f t="shared" si="46"/>
        <v>#DIV/0!</v>
      </c>
      <c r="I165" s="298" t="e">
        <f t="shared" si="46"/>
        <v>#DIV/0!</v>
      </c>
      <c r="J165" s="298" t="e">
        <f t="shared" si="46"/>
        <v>#DIV/0!</v>
      </c>
      <c r="K165" s="298" t="e">
        <f t="shared" si="46"/>
        <v>#DIV/0!</v>
      </c>
      <c r="L165" s="298" t="e">
        <f t="shared" si="46"/>
        <v>#DIV/0!</v>
      </c>
      <c r="M165" s="298" t="e">
        <f t="shared" si="46"/>
        <v>#DIV/0!</v>
      </c>
      <c r="N165" s="298" t="e">
        <f t="shared" si="46"/>
        <v>#DIV/0!</v>
      </c>
      <c r="O165" s="298" t="e">
        <f t="shared" si="46"/>
        <v>#DIV/0!</v>
      </c>
      <c r="P165" s="128">
        <v>5</v>
      </c>
      <c r="Q165" s="231"/>
    </row>
    <row r="166" spans="1:17" s="231" customFormat="1" x14ac:dyDescent="0.2">
      <c r="B166" s="271" t="s">
        <v>1020</v>
      </c>
      <c r="C166" s="271" t="s">
        <v>1392</v>
      </c>
      <c r="D166" s="273" t="s">
        <v>118</v>
      </c>
      <c r="E166" s="273"/>
      <c r="F166" s="275" t="e">
        <f>(F87*4)/F164</f>
        <v>#DIV/0!</v>
      </c>
      <c r="G166" s="275" t="e">
        <f>(G87*4)/G164</f>
        <v>#DIV/0!</v>
      </c>
      <c r="H166" s="275" t="e">
        <f>(H87*4)/H164</f>
        <v>#DIV/0!</v>
      </c>
      <c r="I166" s="275" t="e">
        <f>(I87*4)/I164</f>
        <v>#DIV/0!</v>
      </c>
      <c r="J166" s="275" t="e">
        <f>(J87*4)/J164</f>
        <v>#DIV/0!</v>
      </c>
      <c r="K166" s="275" t="e">
        <f>(K87)/K164</f>
        <v>#DIV/0!</v>
      </c>
      <c r="L166" s="275" t="e">
        <f>(L87)/L164</f>
        <v>#DIV/0!</v>
      </c>
      <c r="M166" s="275" t="e">
        <f>(M87)/M164</f>
        <v>#DIV/0!</v>
      </c>
      <c r="N166" s="275" t="e">
        <f>(N87)/N164</f>
        <v>#DIV/0!</v>
      </c>
      <c r="O166" s="275" t="e">
        <f>(O87)/O164</f>
        <v>#DIV/0!</v>
      </c>
      <c r="P166" s="128"/>
    </row>
    <row r="167" spans="1:17" x14ac:dyDescent="0.2">
      <c r="A167" s="231"/>
      <c r="B167" s="271" t="s">
        <v>1172</v>
      </c>
      <c r="C167" s="271" t="s">
        <v>1215</v>
      </c>
      <c r="D167" s="273" t="s">
        <v>823</v>
      </c>
      <c r="E167" s="273"/>
      <c r="F167" s="298">
        <f t="shared" ref="F167:O167" si="47">F41</f>
        <v>0</v>
      </c>
      <c r="G167" s="298">
        <f t="shared" si="47"/>
        <v>0</v>
      </c>
      <c r="H167" s="298">
        <f t="shared" si="47"/>
        <v>0</v>
      </c>
      <c r="I167" s="298">
        <f t="shared" si="47"/>
        <v>0</v>
      </c>
      <c r="J167" s="298">
        <f t="shared" si="47"/>
        <v>0</v>
      </c>
      <c r="K167" s="298">
        <f t="shared" si="47"/>
        <v>0</v>
      </c>
      <c r="L167" s="298">
        <f t="shared" si="47"/>
        <v>0</v>
      </c>
      <c r="M167" s="298">
        <f t="shared" si="47"/>
        <v>0</v>
      </c>
      <c r="N167" s="298">
        <f t="shared" si="47"/>
        <v>0</v>
      </c>
      <c r="O167" s="298">
        <f t="shared" si="47"/>
        <v>0</v>
      </c>
      <c r="P167" s="128"/>
      <c r="Q167" s="231"/>
    </row>
    <row r="168" spans="1:17" x14ac:dyDescent="0.2">
      <c r="A168" s="231"/>
      <c r="B168" s="271" t="s">
        <v>1173</v>
      </c>
      <c r="C168" s="271" t="s">
        <v>1393</v>
      </c>
      <c r="D168" s="273" t="s">
        <v>118</v>
      </c>
      <c r="E168" s="273"/>
      <c r="F168" s="275" t="e">
        <f>(F262*4)/F167</f>
        <v>#DIV/0!</v>
      </c>
      <c r="G168" s="275" t="e">
        <f>(G262*4)/G167</f>
        <v>#DIV/0!</v>
      </c>
      <c r="H168" s="275" t="e">
        <f>(H262*4)/H167</f>
        <v>#DIV/0!</v>
      </c>
      <c r="I168" s="275" t="e">
        <f>(I262*4)/I167</f>
        <v>#DIV/0!</v>
      </c>
      <c r="J168" s="275" t="e">
        <f>(J262*4)/J167</f>
        <v>#DIV/0!</v>
      </c>
      <c r="K168" s="275" t="e">
        <f>(K262)/K167</f>
        <v>#DIV/0!</v>
      </c>
      <c r="L168" s="275" t="e">
        <f>(L262)/L167</f>
        <v>#DIV/0!</v>
      </c>
      <c r="M168" s="275" t="e">
        <f>(M262)/M167</f>
        <v>#DIV/0!</v>
      </c>
      <c r="N168" s="275" t="e">
        <f>(N262)/N167</f>
        <v>#DIV/0!</v>
      </c>
      <c r="O168" s="275" t="e">
        <f>(O262)/O167</f>
        <v>#DIV/0!</v>
      </c>
      <c r="P168" s="128">
        <v>4</v>
      </c>
      <c r="Q168" s="231"/>
    </row>
    <row r="169" spans="1:17" x14ac:dyDescent="0.2">
      <c r="A169" s="231"/>
      <c r="B169" s="271"/>
      <c r="C169" s="271"/>
      <c r="D169" s="273"/>
      <c r="E169" s="273"/>
      <c r="F169" s="306"/>
      <c r="G169" s="306"/>
      <c r="H169" s="306"/>
      <c r="I169" s="306"/>
      <c r="J169" s="306"/>
      <c r="K169" s="306"/>
      <c r="L169" s="306"/>
      <c r="M169" s="306"/>
      <c r="N169" s="306"/>
      <c r="O169" s="306"/>
      <c r="P169" s="128"/>
      <c r="Q169" s="231"/>
    </row>
    <row r="170" spans="1:17" x14ac:dyDescent="0.2">
      <c r="A170" s="231"/>
      <c r="B170" s="274" t="s">
        <v>1021</v>
      </c>
      <c r="C170" s="274" t="s">
        <v>1529</v>
      </c>
      <c r="D170" s="273"/>
      <c r="E170" s="273"/>
      <c r="F170" s="306"/>
      <c r="G170" s="306"/>
      <c r="H170" s="306"/>
      <c r="I170" s="306"/>
      <c r="J170" s="306"/>
      <c r="K170" s="306"/>
      <c r="L170" s="306"/>
      <c r="M170" s="306"/>
      <c r="N170" s="306"/>
      <c r="O170" s="306"/>
      <c r="P170" s="128"/>
      <c r="Q170" s="231"/>
    </row>
    <row r="171" spans="1:17" x14ac:dyDescent="0.2">
      <c r="A171" s="231"/>
      <c r="B171" s="271" t="s">
        <v>1275</v>
      </c>
      <c r="C171" s="271" t="s">
        <v>1530</v>
      </c>
      <c r="D171" s="273" t="s">
        <v>823</v>
      </c>
      <c r="E171" s="273"/>
      <c r="F171" s="298">
        <f t="shared" ref="F171:O171" si="48">IF(F69="",F87-F69-F72,F87-SUM(F69,F72))</f>
        <v>0</v>
      </c>
      <c r="G171" s="298">
        <f t="shared" si="48"/>
        <v>0</v>
      </c>
      <c r="H171" s="298">
        <f t="shared" si="48"/>
        <v>0</v>
      </c>
      <c r="I171" s="298">
        <f t="shared" si="48"/>
        <v>0</v>
      </c>
      <c r="J171" s="298">
        <f t="shared" si="48"/>
        <v>0</v>
      </c>
      <c r="K171" s="298">
        <f t="shared" si="48"/>
        <v>0</v>
      </c>
      <c r="L171" s="298">
        <f t="shared" si="48"/>
        <v>0</v>
      </c>
      <c r="M171" s="298">
        <f t="shared" si="48"/>
        <v>0</v>
      </c>
      <c r="N171" s="298">
        <f t="shared" si="48"/>
        <v>0</v>
      </c>
      <c r="O171" s="298">
        <f t="shared" si="48"/>
        <v>0</v>
      </c>
      <c r="P171" s="128">
        <v>12</v>
      </c>
      <c r="Q171" s="231"/>
    </row>
    <row r="172" spans="1:17" x14ac:dyDescent="0.2">
      <c r="A172" s="231"/>
      <c r="B172" s="271" t="s">
        <v>1022</v>
      </c>
      <c r="C172" s="271" t="s">
        <v>1374</v>
      </c>
      <c r="D172" s="273" t="s">
        <v>1288</v>
      </c>
      <c r="E172" s="273"/>
      <c r="F172" s="298" t="e">
        <f t="shared" ref="F172:O172" si="49">F171*1000/F31</f>
        <v>#DIV/0!</v>
      </c>
      <c r="G172" s="298" t="e">
        <f t="shared" si="49"/>
        <v>#DIV/0!</v>
      </c>
      <c r="H172" s="298" t="e">
        <f t="shared" si="49"/>
        <v>#DIV/0!</v>
      </c>
      <c r="I172" s="298" t="e">
        <f t="shared" si="49"/>
        <v>#DIV/0!</v>
      </c>
      <c r="J172" s="298" t="e">
        <f t="shared" si="49"/>
        <v>#DIV/0!</v>
      </c>
      <c r="K172" s="298" t="e">
        <f t="shared" si="49"/>
        <v>#DIV/0!</v>
      </c>
      <c r="L172" s="298" t="e">
        <f t="shared" si="49"/>
        <v>#DIV/0!</v>
      </c>
      <c r="M172" s="298" t="e">
        <f t="shared" si="49"/>
        <v>#DIV/0!</v>
      </c>
      <c r="N172" s="298" t="e">
        <f t="shared" si="49"/>
        <v>#DIV/0!</v>
      </c>
      <c r="O172" s="298" t="e">
        <f t="shared" si="49"/>
        <v>#DIV/0!</v>
      </c>
      <c r="P172" s="128"/>
      <c r="Q172" s="231"/>
    </row>
    <row r="173" spans="1:17" x14ac:dyDescent="0.2">
      <c r="A173" s="231"/>
      <c r="B173" s="271" t="s">
        <v>1023</v>
      </c>
      <c r="C173" s="271" t="s">
        <v>1394</v>
      </c>
      <c r="D173" s="273" t="s">
        <v>118</v>
      </c>
      <c r="E173" s="273"/>
      <c r="F173" s="275" t="e">
        <f>(F171*4)/F164</f>
        <v>#DIV/0!</v>
      </c>
      <c r="G173" s="275" t="e">
        <f>(G171*4)/G164</f>
        <v>#DIV/0!</v>
      </c>
      <c r="H173" s="275" t="e">
        <f>(H171*4)/H164</f>
        <v>#DIV/0!</v>
      </c>
      <c r="I173" s="275" t="e">
        <f>(I171*4)/I164</f>
        <v>#DIV/0!</v>
      </c>
      <c r="J173" s="275" t="e">
        <f>(J171*4)/J164</f>
        <v>#DIV/0!</v>
      </c>
      <c r="K173" s="275" t="e">
        <f>(K171)/K164</f>
        <v>#DIV/0!</v>
      </c>
      <c r="L173" s="275" t="e">
        <f>(L171)/L164</f>
        <v>#DIV/0!</v>
      </c>
      <c r="M173" s="275" t="e">
        <f>(M171)/M164</f>
        <v>#DIV/0!</v>
      </c>
      <c r="N173" s="275" t="e">
        <f>(N171)/N164</f>
        <v>#DIV/0!</v>
      </c>
      <c r="O173" s="275" t="e">
        <f>(O171)/O164</f>
        <v>#DIV/0!</v>
      </c>
      <c r="P173" s="128"/>
      <c r="Q173" s="231"/>
    </row>
    <row r="174" spans="1:17" s="231" customFormat="1" x14ac:dyDescent="0.2">
      <c r="B174" s="271" t="s">
        <v>1174</v>
      </c>
      <c r="C174" s="271" t="s">
        <v>1375</v>
      </c>
      <c r="D174" s="273" t="s">
        <v>118</v>
      </c>
      <c r="E174" s="273"/>
      <c r="F174" s="275" t="e">
        <f t="shared" ref="F174:O174" si="50">+F171/F235</f>
        <v>#DIV/0!</v>
      </c>
      <c r="G174" s="275" t="e">
        <f t="shared" si="50"/>
        <v>#DIV/0!</v>
      </c>
      <c r="H174" s="275" t="e">
        <f t="shared" si="50"/>
        <v>#DIV/0!</v>
      </c>
      <c r="I174" s="275" t="e">
        <f t="shared" si="50"/>
        <v>#DIV/0!</v>
      </c>
      <c r="J174" s="275" t="e">
        <f t="shared" si="50"/>
        <v>#DIV/0!</v>
      </c>
      <c r="K174" s="275" t="e">
        <f t="shared" si="50"/>
        <v>#DIV/0!</v>
      </c>
      <c r="L174" s="275" t="e">
        <f t="shared" si="50"/>
        <v>#DIV/0!</v>
      </c>
      <c r="M174" s="275" t="e">
        <f t="shared" si="50"/>
        <v>#DIV/0!</v>
      </c>
      <c r="N174" s="275" t="e">
        <f t="shared" si="50"/>
        <v>#DIV/0!</v>
      </c>
      <c r="O174" s="275" t="e">
        <f t="shared" si="50"/>
        <v>#DIV/0!</v>
      </c>
      <c r="P174" s="128">
        <v>13</v>
      </c>
    </row>
    <row r="175" spans="1:17" s="231" customFormat="1" x14ac:dyDescent="0.2">
      <c r="B175" s="271" t="s">
        <v>1408</v>
      </c>
      <c r="C175" s="271" t="s">
        <v>1376</v>
      </c>
      <c r="D175" s="273" t="s">
        <v>118</v>
      </c>
      <c r="E175" s="273"/>
      <c r="F175" s="275" t="e">
        <f>+F171/F75</f>
        <v>#DIV/0!</v>
      </c>
      <c r="G175" s="275" t="e">
        <f t="shared" ref="G175:O175" si="51">+G171/G75</f>
        <v>#DIV/0!</v>
      </c>
      <c r="H175" s="275" t="e">
        <f t="shared" si="51"/>
        <v>#DIV/0!</v>
      </c>
      <c r="I175" s="275" t="e">
        <f t="shared" si="51"/>
        <v>#DIV/0!</v>
      </c>
      <c r="J175" s="275" t="e">
        <f t="shared" si="51"/>
        <v>#DIV/0!</v>
      </c>
      <c r="K175" s="275" t="e">
        <f t="shared" si="51"/>
        <v>#DIV/0!</v>
      </c>
      <c r="L175" s="275" t="e">
        <f t="shared" si="51"/>
        <v>#DIV/0!</v>
      </c>
      <c r="M175" s="275" t="e">
        <f t="shared" si="51"/>
        <v>#DIV/0!</v>
      </c>
      <c r="N175" s="275" t="e">
        <f t="shared" si="51"/>
        <v>#DIV/0!</v>
      </c>
      <c r="O175" s="275" t="e">
        <f t="shared" si="51"/>
        <v>#DIV/0!</v>
      </c>
      <c r="P175" s="128"/>
    </row>
    <row r="176" spans="1:17" x14ac:dyDescent="0.2">
      <c r="A176" s="231"/>
      <c r="B176" s="271"/>
      <c r="C176" s="271"/>
      <c r="D176" s="273"/>
      <c r="E176" s="273"/>
      <c r="F176" s="306"/>
      <c r="G176" s="306"/>
      <c r="H176" s="306"/>
      <c r="I176" s="306"/>
      <c r="J176" s="306"/>
      <c r="K176" s="306"/>
      <c r="L176" s="306"/>
      <c r="M176" s="306"/>
      <c r="N176" s="306"/>
      <c r="O176" s="306"/>
      <c r="P176" s="128"/>
    </row>
    <row r="177" spans="1:17" x14ac:dyDescent="0.2">
      <c r="A177" s="231"/>
      <c r="B177" s="274" t="s">
        <v>1024</v>
      </c>
      <c r="C177" s="274" t="s">
        <v>1080</v>
      </c>
      <c r="D177" s="273"/>
      <c r="E177" s="273"/>
      <c r="F177" s="306"/>
      <c r="G177" s="306"/>
      <c r="H177" s="306"/>
      <c r="I177" s="306"/>
      <c r="J177" s="306"/>
      <c r="K177" s="306"/>
      <c r="L177" s="306"/>
      <c r="M177" s="306"/>
      <c r="N177" s="306"/>
      <c r="O177" s="306"/>
      <c r="P177" s="128"/>
    </row>
    <row r="178" spans="1:17" x14ac:dyDescent="0.2">
      <c r="A178" s="231"/>
      <c r="B178" s="271" t="s">
        <v>1025</v>
      </c>
      <c r="C178" s="271" t="s">
        <v>1524</v>
      </c>
      <c r="D178" s="273" t="s">
        <v>1501</v>
      </c>
      <c r="E178" s="273"/>
      <c r="F178" s="298">
        <f t="shared" ref="F178:O178" si="52">F44</f>
        <v>0</v>
      </c>
      <c r="G178" s="298">
        <f t="shared" si="52"/>
        <v>0</v>
      </c>
      <c r="H178" s="298">
        <f t="shared" si="52"/>
        <v>0</v>
      </c>
      <c r="I178" s="298">
        <f t="shared" si="52"/>
        <v>0</v>
      </c>
      <c r="J178" s="298">
        <f t="shared" si="52"/>
        <v>0</v>
      </c>
      <c r="K178" s="298">
        <f t="shared" si="52"/>
        <v>0</v>
      </c>
      <c r="L178" s="298">
        <f t="shared" si="52"/>
        <v>0</v>
      </c>
      <c r="M178" s="298">
        <f t="shared" si="52"/>
        <v>0</v>
      </c>
      <c r="N178" s="298">
        <f t="shared" si="52"/>
        <v>0</v>
      </c>
      <c r="O178" s="298">
        <f t="shared" si="52"/>
        <v>0</v>
      </c>
      <c r="P178" s="128">
        <v>7</v>
      </c>
      <c r="Q178" s="231"/>
    </row>
    <row r="179" spans="1:17" x14ac:dyDescent="0.2">
      <c r="A179" s="231"/>
      <c r="B179" s="271" t="s">
        <v>1026</v>
      </c>
      <c r="C179" s="271" t="s">
        <v>1280</v>
      </c>
      <c r="D179" s="273" t="s">
        <v>1279</v>
      </c>
      <c r="E179" s="273"/>
      <c r="F179" s="299">
        <f t="shared" ref="F179:O179" si="53">F45</f>
        <v>0</v>
      </c>
      <c r="G179" s="299">
        <f t="shared" si="53"/>
        <v>0</v>
      </c>
      <c r="H179" s="299">
        <f t="shared" si="53"/>
        <v>0</v>
      </c>
      <c r="I179" s="299">
        <f t="shared" si="53"/>
        <v>0</v>
      </c>
      <c r="J179" s="299">
        <f t="shared" si="53"/>
        <v>0</v>
      </c>
      <c r="K179" s="299">
        <f t="shared" si="53"/>
        <v>0</v>
      </c>
      <c r="L179" s="299">
        <f t="shared" si="53"/>
        <v>0</v>
      </c>
      <c r="M179" s="299">
        <f t="shared" si="53"/>
        <v>0</v>
      </c>
      <c r="N179" s="299">
        <f t="shared" si="53"/>
        <v>0</v>
      </c>
      <c r="O179" s="299">
        <f t="shared" si="53"/>
        <v>0</v>
      </c>
      <c r="P179" s="128"/>
      <c r="Q179" s="231"/>
    </row>
    <row r="180" spans="1:17" x14ac:dyDescent="0.2">
      <c r="A180" s="231"/>
      <c r="B180" s="271" t="s">
        <v>1027</v>
      </c>
      <c r="C180" s="271" t="s">
        <v>1495</v>
      </c>
      <c r="D180" s="273" t="s">
        <v>93</v>
      </c>
      <c r="E180" s="273"/>
      <c r="F180" s="272" t="e">
        <f t="shared" ref="F180:O180" si="54">F47/F$179</f>
        <v>#DIV/0!</v>
      </c>
      <c r="G180" s="272" t="e">
        <f t="shared" si="54"/>
        <v>#DIV/0!</v>
      </c>
      <c r="H180" s="272" t="e">
        <f t="shared" si="54"/>
        <v>#DIV/0!</v>
      </c>
      <c r="I180" s="272" t="e">
        <f t="shared" si="54"/>
        <v>#DIV/0!</v>
      </c>
      <c r="J180" s="272" t="e">
        <f t="shared" si="54"/>
        <v>#DIV/0!</v>
      </c>
      <c r="K180" s="272" t="e">
        <f t="shared" si="54"/>
        <v>#DIV/0!</v>
      </c>
      <c r="L180" s="272" t="e">
        <f t="shared" si="54"/>
        <v>#DIV/0!</v>
      </c>
      <c r="M180" s="272" t="e">
        <f t="shared" si="54"/>
        <v>#DIV/0!</v>
      </c>
      <c r="N180" s="272" t="e">
        <f t="shared" si="54"/>
        <v>#DIV/0!</v>
      </c>
      <c r="O180" s="272" t="e">
        <f t="shared" si="54"/>
        <v>#DIV/0!</v>
      </c>
      <c r="P180" s="128"/>
      <c r="Q180" s="231"/>
    </row>
    <row r="181" spans="1:17" x14ac:dyDescent="0.2">
      <c r="A181" s="231"/>
      <c r="B181" s="271" t="s">
        <v>1175</v>
      </c>
      <c r="C181" s="271" t="s">
        <v>1281</v>
      </c>
      <c r="D181" s="273" t="s">
        <v>93</v>
      </c>
      <c r="E181" s="273"/>
      <c r="F181" s="272" t="e">
        <f t="shared" ref="F181:O181" si="55">F48/F$179</f>
        <v>#DIV/0!</v>
      </c>
      <c r="G181" s="272" t="e">
        <f t="shared" si="55"/>
        <v>#DIV/0!</v>
      </c>
      <c r="H181" s="272" t="e">
        <f t="shared" si="55"/>
        <v>#DIV/0!</v>
      </c>
      <c r="I181" s="272" t="e">
        <f t="shared" si="55"/>
        <v>#DIV/0!</v>
      </c>
      <c r="J181" s="272" t="e">
        <f t="shared" si="55"/>
        <v>#DIV/0!</v>
      </c>
      <c r="K181" s="272" t="e">
        <f t="shared" si="55"/>
        <v>#DIV/0!</v>
      </c>
      <c r="L181" s="272" t="e">
        <f t="shared" si="55"/>
        <v>#DIV/0!</v>
      </c>
      <c r="M181" s="272" t="e">
        <f t="shared" si="55"/>
        <v>#DIV/0!</v>
      </c>
      <c r="N181" s="272" t="e">
        <f t="shared" si="55"/>
        <v>#DIV/0!</v>
      </c>
      <c r="O181" s="272" t="e">
        <f t="shared" si="55"/>
        <v>#DIV/0!</v>
      </c>
      <c r="P181" s="128"/>
      <c r="Q181" s="231"/>
    </row>
    <row r="182" spans="1:17" x14ac:dyDescent="0.2">
      <c r="A182" s="231"/>
      <c r="B182" s="271" t="s">
        <v>1176</v>
      </c>
      <c r="C182" s="271" t="s">
        <v>1507</v>
      </c>
      <c r="D182" s="273" t="s">
        <v>93</v>
      </c>
      <c r="E182" s="273"/>
      <c r="F182" s="272" t="e">
        <f t="shared" ref="F182:O182" si="56">F49/F$179</f>
        <v>#DIV/0!</v>
      </c>
      <c r="G182" s="272" t="e">
        <f t="shared" si="56"/>
        <v>#DIV/0!</v>
      </c>
      <c r="H182" s="272" t="e">
        <f t="shared" si="56"/>
        <v>#DIV/0!</v>
      </c>
      <c r="I182" s="272" t="e">
        <f t="shared" si="56"/>
        <v>#DIV/0!</v>
      </c>
      <c r="J182" s="272" t="e">
        <f t="shared" si="56"/>
        <v>#DIV/0!</v>
      </c>
      <c r="K182" s="272" t="e">
        <f t="shared" si="56"/>
        <v>#DIV/0!</v>
      </c>
      <c r="L182" s="272" t="e">
        <f t="shared" si="56"/>
        <v>#DIV/0!</v>
      </c>
      <c r="M182" s="272" t="e">
        <f t="shared" si="56"/>
        <v>#DIV/0!</v>
      </c>
      <c r="N182" s="272" t="e">
        <f t="shared" si="56"/>
        <v>#DIV/0!</v>
      </c>
      <c r="O182" s="272" t="e">
        <f t="shared" si="56"/>
        <v>#DIV/0!</v>
      </c>
      <c r="P182" s="128"/>
      <c r="Q182" s="231"/>
    </row>
    <row r="183" spans="1:17" x14ac:dyDescent="0.2">
      <c r="A183" s="231"/>
      <c r="B183" s="271"/>
      <c r="C183" s="271"/>
      <c r="D183" s="273"/>
      <c r="E183" s="273"/>
      <c r="F183" s="306"/>
      <c r="G183" s="306"/>
      <c r="H183" s="306"/>
      <c r="I183" s="306"/>
      <c r="J183" s="306"/>
      <c r="K183" s="306"/>
      <c r="L183" s="306"/>
      <c r="M183" s="306"/>
      <c r="N183" s="306"/>
      <c r="O183" s="306"/>
      <c r="P183" s="128"/>
      <c r="Q183" s="231"/>
    </row>
    <row r="184" spans="1:17" x14ac:dyDescent="0.2">
      <c r="A184" s="231"/>
      <c r="B184" s="274" t="s">
        <v>1216</v>
      </c>
      <c r="C184" s="274" t="s">
        <v>994</v>
      </c>
      <c r="D184" s="273"/>
      <c r="E184" s="273"/>
      <c r="F184" s="306"/>
      <c r="G184" s="306"/>
      <c r="H184" s="306"/>
      <c r="I184" s="306"/>
      <c r="J184" s="306"/>
      <c r="K184" s="306"/>
      <c r="L184" s="306"/>
      <c r="M184" s="306"/>
      <c r="N184" s="306"/>
      <c r="O184" s="306"/>
      <c r="P184" s="128"/>
      <c r="Q184" s="231"/>
    </row>
    <row r="185" spans="1:17" x14ac:dyDescent="0.2">
      <c r="A185" s="231"/>
      <c r="B185" s="271" t="s">
        <v>1028</v>
      </c>
      <c r="C185" s="271" t="s">
        <v>971</v>
      </c>
      <c r="D185" s="273" t="s">
        <v>1248</v>
      </c>
      <c r="E185" s="273"/>
      <c r="F185" s="298">
        <f t="shared" ref="F185:O185" si="57">F52</f>
        <v>0</v>
      </c>
      <c r="G185" s="298">
        <f t="shared" si="57"/>
        <v>0</v>
      </c>
      <c r="H185" s="298">
        <f t="shared" si="57"/>
        <v>0</v>
      </c>
      <c r="I185" s="298">
        <f t="shared" si="57"/>
        <v>0</v>
      </c>
      <c r="J185" s="298">
        <f t="shared" si="57"/>
        <v>0</v>
      </c>
      <c r="K185" s="298">
        <f t="shared" si="57"/>
        <v>0</v>
      </c>
      <c r="L185" s="298">
        <f t="shared" si="57"/>
        <v>0</v>
      </c>
      <c r="M185" s="298">
        <f t="shared" si="57"/>
        <v>0</v>
      </c>
      <c r="N185" s="298">
        <f t="shared" si="57"/>
        <v>0</v>
      </c>
      <c r="O185" s="298">
        <f t="shared" si="57"/>
        <v>0</v>
      </c>
      <c r="P185" s="128"/>
      <c r="Q185" s="231"/>
    </row>
    <row r="186" spans="1:17" x14ac:dyDescent="0.2">
      <c r="A186" s="231"/>
      <c r="B186" s="271" t="s">
        <v>1029</v>
      </c>
      <c r="C186" s="271" t="s">
        <v>1498</v>
      </c>
      <c r="D186" s="273" t="s">
        <v>1244</v>
      </c>
      <c r="E186" s="273"/>
      <c r="F186" s="298">
        <f t="shared" ref="F186:O186" si="58">F53</f>
        <v>0</v>
      </c>
      <c r="G186" s="298">
        <f t="shared" si="58"/>
        <v>0</v>
      </c>
      <c r="H186" s="298">
        <f t="shared" si="58"/>
        <v>0</v>
      </c>
      <c r="I186" s="298">
        <f t="shared" si="58"/>
        <v>0</v>
      </c>
      <c r="J186" s="298">
        <f t="shared" si="58"/>
        <v>0</v>
      </c>
      <c r="K186" s="298">
        <f t="shared" si="58"/>
        <v>0</v>
      </c>
      <c r="L186" s="298">
        <f t="shared" si="58"/>
        <v>0</v>
      </c>
      <c r="M186" s="298">
        <f t="shared" si="58"/>
        <v>0</v>
      </c>
      <c r="N186" s="298">
        <f t="shared" si="58"/>
        <v>0</v>
      </c>
      <c r="O186" s="298">
        <f t="shared" si="58"/>
        <v>0</v>
      </c>
      <c r="P186" s="128"/>
      <c r="Q186" s="231"/>
    </row>
    <row r="187" spans="1:17" x14ac:dyDescent="0.2">
      <c r="A187" s="231"/>
      <c r="B187" s="271" t="s">
        <v>1409</v>
      </c>
      <c r="C187" s="271" t="s">
        <v>1496</v>
      </c>
      <c r="D187" s="273" t="s">
        <v>1244</v>
      </c>
      <c r="E187" s="273"/>
      <c r="F187" s="298">
        <f t="shared" ref="F187:O187" si="59">F54</f>
        <v>0</v>
      </c>
      <c r="G187" s="298">
        <f t="shared" si="59"/>
        <v>0</v>
      </c>
      <c r="H187" s="298">
        <f t="shared" si="59"/>
        <v>0</v>
      </c>
      <c r="I187" s="298">
        <f t="shared" si="59"/>
        <v>0</v>
      </c>
      <c r="J187" s="298">
        <f t="shared" si="59"/>
        <v>0</v>
      </c>
      <c r="K187" s="298">
        <f t="shared" si="59"/>
        <v>0</v>
      </c>
      <c r="L187" s="298">
        <f t="shared" si="59"/>
        <v>0</v>
      </c>
      <c r="M187" s="298">
        <f t="shared" si="59"/>
        <v>0</v>
      </c>
      <c r="N187" s="298">
        <f t="shared" si="59"/>
        <v>0</v>
      </c>
      <c r="O187" s="298">
        <f t="shared" si="59"/>
        <v>0</v>
      </c>
      <c r="P187" s="128"/>
      <c r="Q187" s="231"/>
    </row>
    <row r="188" spans="1:17" x14ac:dyDescent="0.2">
      <c r="A188" s="231"/>
      <c r="B188" s="271"/>
      <c r="C188" s="271"/>
      <c r="D188" s="273"/>
      <c r="E188" s="273"/>
      <c r="F188" s="306"/>
      <c r="G188" s="306"/>
      <c r="H188" s="306"/>
      <c r="I188" s="306"/>
      <c r="J188" s="306"/>
      <c r="K188" s="306"/>
      <c r="L188" s="306"/>
      <c r="M188" s="306"/>
      <c r="N188" s="306"/>
      <c r="O188" s="306"/>
      <c r="P188" s="128"/>
      <c r="Q188" s="231"/>
    </row>
    <row r="189" spans="1:17" x14ac:dyDescent="0.2">
      <c r="A189" s="231"/>
      <c r="B189" s="274" t="s">
        <v>1034</v>
      </c>
      <c r="C189" s="274" t="s">
        <v>1205</v>
      </c>
      <c r="D189" s="273"/>
      <c r="E189" s="273"/>
      <c r="F189" s="306"/>
      <c r="G189" s="306"/>
      <c r="H189" s="306"/>
      <c r="I189" s="306"/>
      <c r="J189" s="306"/>
      <c r="K189" s="306"/>
      <c r="L189" s="306"/>
      <c r="M189" s="306"/>
      <c r="N189" s="306"/>
      <c r="O189" s="306"/>
      <c r="P189" s="128"/>
      <c r="Q189" s="231"/>
    </row>
    <row r="190" spans="1:17" x14ac:dyDescent="0.2">
      <c r="A190" s="231"/>
      <c r="B190" s="276" t="s">
        <v>1282</v>
      </c>
      <c r="C190" s="274" t="s">
        <v>430</v>
      </c>
      <c r="D190" s="273"/>
      <c r="E190" s="273"/>
      <c r="F190" s="306"/>
      <c r="G190" s="306"/>
      <c r="H190" s="306"/>
      <c r="I190" s="306"/>
      <c r="J190" s="306"/>
      <c r="K190" s="306"/>
      <c r="L190" s="306"/>
      <c r="M190" s="306"/>
      <c r="N190" s="306"/>
      <c r="O190" s="306"/>
      <c r="P190" s="128"/>
      <c r="Q190" s="231"/>
    </row>
    <row r="191" spans="1:17" x14ac:dyDescent="0.2">
      <c r="A191" s="231"/>
      <c r="B191" s="116" t="s">
        <v>1035</v>
      </c>
      <c r="C191" s="271" t="s">
        <v>1377</v>
      </c>
      <c r="D191" s="273" t="s">
        <v>823</v>
      </c>
      <c r="E191" s="273"/>
      <c r="F191" s="298">
        <f t="shared" ref="F191:O191" si="60">F57</f>
        <v>0</v>
      </c>
      <c r="G191" s="298">
        <f t="shared" si="60"/>
        <v>0</v>
      </c>
      <c r="H191" s="298">
        <f t="shared" si="60"/>
        <v>0</v>
      </c>
      <c r="I191" s="298">
        <f t="shared" si="60"/>
        <v>0</v>
      </c>
      <c r="J191" s="298">
        <f t="shared" si="60"/>
        <v>0</v>
      </c>
      <c r="K191" s="298">
        <f t="shared" si="60"/>
        <v>0</v>
      </c>
      <c r="L191" s="298">
        <f t="shared" si="60"/>
        <v>0</v>
      </c>
      <c r="M191" s="298">
        <f t="shared" si="60"/>
        <v>0</v>
      </c>
      <c r="N191" s="298">
        <f t="shared" si="60"/>
        <v>0</v>
      </c>
      <c r="O191" s="298">
        <f t="shared" si="60"/>
        <v>0</v>
      </c>
      <c r="P191" s="128"/>
      <c r="Q191" s="231">
        <v>9</v>
      </c>
    </row>
    <row r="192" spans="1:17" x14ac:dyDescent="0.2">
      <c r="A192" s="231"/>
      <c r="B192" s="116" t="s">
        <v>1036</v>
      </c>
      <c r="C192" s="271" t="s">
        <v>1378</v>
      </c>
      <c r="D192" s="273" t="s">
        <v>823</v>
      </c>
      <c r="E192" s="273"/>
      <c r="F192" s="298">
        <f t="shared" ref="F192:O192" si="61">SUM(F58:F63)</f>
        <v>0</v>
      </c>
      <c r="G192" s="298">
        <f t="shared" si="61"/>
        <v>0</v>
      </c>
      <c r="H192" s="298">
        <f t="shared" si="61"/>
        <v>0</v>
      </c>
      <c r="I192" s="298">
        <f t="shared" si="61"/>
        <v>0</v>
      </c>
      <c r="J192" s="298">
        <f t="shared" si="61"/>
        <v>0</v>
      </c>
      <c r="K192" s="298">
        <f t="shared" si="61"/>
        <v>0</v>
      </c>
      <c r="L192" s="298">
        <f t="shared" si="61"/>
        <v>0</v>
      </c>
      <c r="M192" s="298">
        <f t="shared" si="61"/>
        <v>0</v>
      </c>
      <c r="N192" s="298">
        <f t="shared" si="61"/>
        <v>0</v>
      </c>
      <c r="O192" s="298">
        <f t="shared" si="61"/>
        <v>0</v>
      </c>
      <c r="P192" s="128">
        <v>14</v>
      </c>
      <c r="Q192" s="231">
        <v>8</v>
      </c>
    </row>
    <row r="193" spans="1:17" x14ac:dyDescent="0.2">
      <c r="A193" s="231"/>
      <c r="B193" s="116" t="s">
        <v>1037</v>
      </c>
      <c r="C193" s="116" t="s">
        <v>1344</v>
      </c>
      <c r="D193" s="273" t="s">
        <v>1383</v>
      </c>
      <c r="E193" s="273"/>
      <c r="F193" s="272" t="e">
        <f t="shared" ref="F193:O193" si="62">F58/F$192</f>
        <v>#DIV/0!</v>
      </c>
      <c r="G193" s="272" t="e">
        <f t="shared" si="62"/>
        <v>#DIV/0!</v>
      </c>
      <c r="H193" s="272" t="e">
        <f t="shared" si="62"/>
        <v>#DIV/0!</v>
      </c>
      <c r="I193" s="272" t="e">
        <f t="shared" si="62"/>
        <v>#DIV/0!</v>
      </c>
      <c r="J193" s="272" t="e">
        <f t="shared" si="62"/>
        <v>#DIV/0!</v>
      </c>
      <c r="K193" s="272" t="e">
        <f t="shared" si="62"/>
        <v>#DIV/0!</v>
      </c>
      <c r="L193" s="272" t="e">
        <f t="shared" si="62"/>
        <v>#DIV/0!</v>
      </c>
      <c r="M193" s="272" t="e">
        <f t="shared" si="62"/>
        <v>#DIV/0!</v>
      </c>
      <c r="N193" s="272" t="e">
        <f t="shared" si="62"/>
        <v>#DIV/0!</v>
      </c>
      <c r="O193" s="272" t="e">
        <f t="shared" si="62"/>
        <v>#DIV/0!</v>
      </c>
      <c r="P193" s="128">
        <v>15</v>
      </c>
      <c r="Q193" s="231">
        <v>6</v>
      </c>
    </row>
    <row r="194" spans="1:17" x14ac:dyDescent="0.2">
      <c r="A194" s="231"/>
      <c r="B194" s="116" t="s">
        <v>1038</v>
      </c>
      <c r="C194" s="116" t="s">
        <v>1431</v>
      </c>
      <c r="D194" s="273" t="s">
        <v>1383</v>
      </c>
      <c r="E194" s="273"/>
      <c r="F194" s="272" t="e">
        <f t="shared" ref="F194:O194" si="63">F59/F$192</f>
        <v>#DIV/0!</v>
      </c>
      <c r="G194" s="272" t="e">
        <f t="shared" si="63"/>
        <v>#DIV/0!</v>
      </c>
      <c r="H194" s="272" t="e">
        <f t="shared" si="63"/>
        <v>#DIV/0!</v>
      </c>
      <c r="I194" s="272" t="e">
        <f t="shared" si="63"/>
        <v>#DIV/0!</v>
      </c>
      <c r="J194" s="272" t="e">
        <f t="shared" si="63"/>
        <v>#DIV/0!</v>
      </c>
      <c r="K194" s="272" t="e">
        <f t="shared" si="63"/>
        <v>#DIV/0!</v>
      </c>
      <c r="L194" s="272" t="e">
        <f t="shared" si="63"/>
        <v>#DIV/0!</v>
      </c>
      <c r="M194" s="272" t="e">
        <f t="shared" si="63"/>
        <v>#DIV/0!</v>
      </c>
      <c r="N194" s="272" t="e">
        <f t="shared" si="63"/>
        <v>#DIV/0!</v>
      </c>
      <c r="O194" s="272" t="e">
        <f t="shared" si="63"/>
        <v>#DIV/0!</v>
      </c>
      <c r="P194" s="128">
        <v>15</v>
      </c>
      <c r="Q194" s="231">
        <v>6</v>
      </c>
    </row>
    <row r="195" spans="1:17" s="231" customFormat="1" x14ac:dyDescent="0.2">
      <c r="B195" s="116" t="s">
        <v>1039</v>
      </c>
      <c r="C195" s="116" t="s">
        <v>1379</v>
      </c>
      <c r="D195" s="273" t="s">
        <v>1383</v>
      </c>
      <c r="E195" s="273"/>
      <c r="F195" s="272" t="e">
        <f t="shared" ref="F195:O195" si="64">F60/F$192</f>
        <v>#DIV/0!</v>
      </c>
      <c r="G195" s="272" t="e">
        <f t="shared" si="64"/>
        <v>#DIV/0!</v>
      </c>
      <c r="H195" s="272" t="e">
        <f t="shared" si="64"/>
        <v>#DIV/0!</v>
      </c>
      <c r="I195" s="272" t="e">
        <f t="shared" si="64"/>
        <v>#DIV/0!</v>
      </c>
      <c r="J195" s="272" t="e">
        <f t="shared" si="64"/>
        <v>#DIV/0!</v>
      </c>
      <c r="K195" s="272" t="e">
        <f t="shared" si="64"/>
        <v>#DIV/0!</v>
      </c>
      <c r="L195" s="272" t="e">
        <f t="shared" si="64"/>
        <v>#DIV/0!</v>
      </c>
      <c r="M195" s="272" t="e">
        <f t="shared" si="64"/>
        <v>#DIV/0!</v>
      </c>
      <c r="N195" s="272" t="e">
        <f t="shared" si="64"/>
        <v>#DIV/0!</v>
      </c>
      <c r="O195" s="272" t="e">
        <f t="shared" si="64"/>
        <v>#DIV/0!</v>
      </c>
      <c r="P195" s="128">
        <v>15</v>
      </c>
      <c r="Q195" s="231">
        <v>6</v>
      </c>
    </row>
    <row r="196" spans="1:17" s="231" customFormat="1" x14ac:dyDescent="0.2">
      <c r="B196" s="116" t="s">
        <v>1040</v>
      </c>
      <c r="C196" s="116" t="s">
        <v>1264</v>
      </c>
      <c r="D196" s="273" t="s">
        <v>1383</v>
      </c>
      <c r="E196" s="273"/>
      <c r="F196" s="272" t="e">
        <f t="shared" ref="F196:O196" si="65">F61/F$192</f>
        <v>#DIV/0!</v>
      </c>
      <c r="G196" s="272" t="e">
        <f t="shared" si="65"/>
        <v>#DIV/0!</v>
      </c>
      <c r="H196" s="272" t="e">
        <f t="shared" si="65"/>
        <v>#DIV/0!</v>
      </c>
      <c r="I196" s="272" t="e">
        <f t="shared" si="65"/>
        <v>#DIV/0!</v>
      </c>
      <c r="J196" s="272" t="e">
        <f t="shared" si="65"/>
        <v>#DIV/0!</v>
      </c>
      <c r="K196" s="272" t="e">
        <f t="shared" si="65"/>
        <v>#DIV/0!</v>
      </c>
      <c r="L196" s="272" t="e">
        <f t="shared" si="65"/>
        <v>#DIV/0!</v>
      </c>
      <c r="M196" s="272" t="e">
        <f t="shared" si="65"/>
        <v>#DIV/0!</v>
      </c>
      <c r="N196" s="272" t="e">
        <f t="shared" si="65"/>
        <v>#DIV/0!</v>
      </c>
      <c r="O196" s="272" t="e">
        <f t="shared" si="65"/>
        <v>#DIV/0!</v>
      </c>
      <c r="P196" s="128">
        <v>15</v>
      </c>
      <c r="Q196" s="231">
        <v>6</v>
      </c>
    </row>
    <row r="197" spans="1:17" s="16" customFormat="1" x14ac:dyDescent="0.2">
      <c r="A197" s="231"/>
      <c r="B197" s="116" t="s">
        <v>1041</v>
      </c>
      <c r="C197" s="116" t="s">
        <v>1380</v>
      </c>
      <c r="D197" s="273" t="s">
        <v>1383</v>
      </c>
      <c r="E197" s="277"/>
      <c r="F197" s="272" t="e">
        <f t="shared" ref="F197:O197" si="66">F62/F$192</f>
        <v>#DIV/0!</v>
      </c>
      <c r="G197" s="272" t="e">
        <f t="shared" si="66"/>
        <v>#DIV/0!</v>
      </c>
      <c r="H197" s="272" t="e">
        <f t="shared" si="66"/>
        <v>#DIV/0!</v>
      </c>
      <c r="I197" s="272" t="e">
        <f t="shared" si="66"/>
        <v>#DIV/0!</v>
      </c>
      <c r="J197" s="272" t="e">
        <f t="shared" si="66"/>
        <v>#DIV/0!</v>
      </c>
      <c r="K197" s="272" t="e">
        <f t="shared" si="66"/>
        <v>#DIV/0!</v>
      </c>
      <c r="L197" s="272" t="e">
        <f t="shared" si="66"/>
        <v>#DIV/0!</v>
      </c>
      <c r="M197" s="272" t="e">
        <f t="shared" si="66"/>
        <v>#DIV/0!</v>
      </c>
      <c r="N197" s="272" t="e">
        <f t="shared" si="66"/>
        <v>#DIV/0!</v>
      </c>
      <c r="O197" s="272" t="e">
        <f t="shared" si="66"/>
        <v>#DIV/0!</v>
      </c>
      <c r="P197" s="128">
        <v>15</v>
      </c>
      <c r="Q197" s="231">
        <v>6</v>
      </c>
    </row>
    <row r="198" spans="1:17" x14ac:dyDescent="0.2">
      <c r="A198" s="231"/>
      <c r="B198" s="116" t="s">
        <v>1042</v>
      </c>
      <c r="C198" s="116" t="s">
        <v>1381</v>
      </c>
      <c r="D198" s="273" t="s">
        <v>1383</v>
      </c>
      <c r="E198" s="273"/>
      <c r="F198" s="272" t="e">
        <f t="shared" ref="F198:O198" si="67">F63/F$192</f>
        <v>#DIV/0!</v>
      </c>
      <c r="G198" s="272" t="e">
        <f t="shared" si="67"/>
        <v>#DIV/0!</v>
      </c>
      <c r="H198" s="272" t="e">
        <f t="shared" si="67"/>
        <v>#DIV/0!</v>
      </c>
      <c r="I198" s="272" t="e">
        <f t="shared" si="67"/>
        <v>#DIV/0!</v>
      </c>
      <c r="J198" s="272" t="e">
        <f t="shared" si="67"/>
        <v>#DIV/0!</v>
      </c>
      <c r="K198" s="272" t="e">
        <f t="shared" si="67"/>
        <v>#DIV/0!</v>
      </c>
      <c r="L198" s="272" t="e">
        <f t="shared" si="67"/>
        <v>#DIV/0!</v>
      </c>
      <c r="M198" s="272" t="e">
        <f t="shared" si="67"/>
        <v>#DIV/0!</v>
      </c>
      <c r="N198" s="272" t="e">
        <f t="shared" si="67"/>
        <v>#DIV/0!</v>
      </c>
      <c r="O198" s="272" t="e">
        <f t="shared" si="67"/>
        <v>#DIV/0!</v>
      </c>
      <c r="P198" s="128">
        <v>15</v>
      </c>
      <c r="Q198" s="231">
        <v>6</v>
      </c>
    </row>
    <row r="199" spans="1:17" x14ac:dyDescent="0.2">
      <c r="A199" s="231"/>
      <c r="B199" s="116" t="s">
        <v>1291</v>
      </c>
      <c r="C199" s="116" t="s">
        <v>34</v>
      </c>
      <c r="D199" s="273" t="s">
        <v>1384</v>
      </c>
      <c r="E199" s="273"/>
      <c r="F199" s="272" t="e">
        <f t="shared" ref="F199:O199" si="68">F64/F$191</f>
        <v>#DIV/0!</v>
      </c>
      <c r="G199" s="272" t="e">
        <f t="shared" si="68"/>
        <v>#DIV/0!</v>
      </c>
      <c r="H199" s="272" t="e">
        <f t="shared" si="68"/>
        <v>#DIV/0!</v>
      </c>
      <c r="I199" s="272" t="e">
        <f t="shared" si="68"/>
        <v>#DIV/0!</v>
      </c>
      <c r="J199" s="272" t="e">
        <f t="shared" si="68"/>
        <v>#DIV/0!</v>
      </c>
      <c r="K199" s="272" t="e">
        <f t="shared" si="68"/>
        <v>#DIV/0!</v>
      </c>
      <c r="L199" s="272" t="e">
        <f t="shared" si="68"/>
        <v>#DIV/0!</v>
      </c>
      <c r="M199" s="272" t="e">
        <f t="shared" si="68"/>
        <v>#DIV/0!</v>
      </c>
      <c r="N199" s="272" t="e">
        <f t="shared" si="68"/>
        <v>#DIV/0!</v>
      </c>
      <c r="O199" s="272" t="e">
        <f t="shared" si="68"/>
        <v>#DIV/0!</v>
      </c>
      <c r="P199" s="128"/>
      <c r="Q199" s="231"/>
    </row>
    <row r="200" spans="1:17" x14ac:dyDescent="0.2">
      <c r="A200" s="231"/>
      <c r="B200" s="116" t="s">
        <v>1292</v>
      </c>
      <c r="C200" s="116" t="s">
        <v>1382</v>
      </c>
      <c r="D200" s="273" t="s">
        <v>1384</v>
      </c>
      <c r="E200" s="273"/>
      <c r="F200" s="272" t="e">
        <f t="shared" ref="F200:O200" si="69">F65/F$191</f>
        <v>#DIV/0!</v>
      </c>
      <c r="G200" s="272" t="e">
        <f t="shared" si="69"/>
        <v>#DIV/0!</v>
      </c>
      <c r="H200" s="272" t="e">
        <f t="shared" si="69"/>
        <v>#DIV/0!</v>
      </c>
      <c r="I200" s="272" t="e">
        <f t="shared" si="69"/>
        <v>#DIV/0!</v>
      </c>
      <c r="J200" s="272" t="e">
        <f t="shared" si="69"/>
        <v>#DIV/0!</v>
      </c>
      <c r="K200" s="272" t="e">
        <f t="shared" si="69"/>
        <v>#DIV/0!</v>
      </c>
      <c r="L200" s="272" t="e">
        <f t="shared" si="69"/>
        <v>#DIV/0!</v>
      </c>
      <c r="M200" s="272" t="e">
        <f t="shared" si="69"/>
        <v>#DIV/0!</v>
      </c>
      <c r="N200" s="272" t="e">
        <f t="shared" si="69"/>
        <v>#DIV/0!</v>
      </c>
      <c r="O200" s="272" t="e">
        <f t="shared" si="69"/>
        <v>#DIV/0!</v>
      </c>
      <c r="P200" s="128"/>
      <c r="Q200" s="231">
        <v>6</v>
      </c>
    </row>
    <row r="201" spans="1:17" x14ac:dyDescent="0.2">
      <c r="A201" s="231"/>
      <c r="B201" s="116" t="s">
        <v>1422</v>
      </c>
      <c r="C201" s="271" t="s">
        <v>1424</v>
      </c>
      <c r="D201" s="273" t="s">
        <v>93</v>
      </c>
      <c r="E201" s="273"/>
      <c r="F201" s="272" t="e">
        <f t="shared" ref="F201:O201" si="70">+F75/F235</f>
        <v>#DIV/0!</v>
      </c>
      <c r="G201" s="272" t="e">
        <f t="shared" si="70"/>
        <v>#DIV/0!</v>
      </c>
      <c r="H201" s="272" t="e">
        <f t="shared" si="70"/>
        <v>#DIV/0!</v>
      </c>
      <c r="I201" s="272" t="e">
        <f t="shared" si="70"/>
        <v>#DIV/0!</v>
      </c>
      <c r="J201" s="272" t="e">
        <f t="shared" si="70"/>
        <v>#DIV/0!</v>
      </c>
      <c r="K201" s="272" t="e">
        <f t="shared" si="70"/>
        <v>#DIV/0!</v>
      </c>
      <c r="L201" s="272" t="e">
        <f t="shared" si="70"/>
        <v>#DIV/0!</v>
      </c>
      <c r="M201" s="272" t="e">
        <f t="shared" si="70"/>
        <v>#DIV/0!</v>
      </c>
      <c r="N201" s="272" t="e">
        <f t="shared" si="70"/>
        <v>#DIV/0!</v>
      </c>
      <c r="O201" s="272" t="e">
        <f t="shared" si="70"/>
        <v>#DIV/0!</v>
      </c>
      <c r="P201" s="128"/>
      <c r="Q201" s="231"/>
    </row>
    <row r="202" spans="1:17" s="128" customFormat="1" x14ac:dyDescent="0.2">
      <c r="A202" s="231"/>
      <c r="B202" s="116" t="s">
        <v>1423</v>
      </c>
      <c r="C202" s="271" t="s">
        <v>1425</v>
      </c>
      <c r="D202" s="273" t="s">
        <v>1288</v>
      </c>
      <c r="E202" s="273"/>
      <c r="F202" s="298" t="e">
        <f t="shared" ref="F202:O202" si="71">+F75/F157*1000</f>
        <v>#DIV/0!</v>
      </c>
      <c r="G202" s="298" t="e">
        <f t="shared" si="71"/>
        <v>#DIV/0!</v>
      </c>
      <c r="H202" s="298" t="e">
        <f t="shared" si="71"/>
        <v>#DIV/0!</v>
      </c>
      <c r="I202" s="298" t="e">
        <f t="shared" si="71"/>
        <v>#DIV/0!</v>
      </c>
      <c r="J202" s="298" t="e">
        <f t="shared" si="71"/>
        <v>#DIV/0!</v>
      </c>
      <c r="K202" s="298" t="e">
        <f t="shared" si="71"/>
        <v>#DIV/0!</v>
      </c>
      <c r="L202" s="298" t="e">
        <f t="shared" si="71"/>
        <v>#DIV/0!</v>
      </c>
      <c r="M202" s="298" t="e">
        <f t="shared" si="71"/>
        <v>#DIV/0!</v>
      </c>
      <c r="N202" s="298" t="e">
        <f t="shared" si="71"/>
        <v>#DIV/0!</v>
      </c>
      <c r="O202" s="298" t="e">
        <f t="shared" si="71"/>
        <v>#DIV/0!</v>
      </c>
      <c r="P202" s="128">
        <v>16</v>
      </c>
      <c r="Q202" s="231"/>
    </row>
    <row r="203" spans="1:17" s="128" customFormat="1" x14ac:dyDescent="0.2">
      <c r="A203" s="231"/>
      <c r="B203" s="116" t="s">
        <v>1426</v>
      </c>
      <c r="C203" s="271" t="s">
        <v>1510</v>
      </c>
      <c r="D203" s="273" t="s">
        <v>1288</v>
      </c>
      <c r="E203" s="273"/>
      <c r="F203" s="298" t="e">
        <f>+F192/F157*1000</f>
        <v>#DIV/0!</v>
      </c>
      <c r="G203" s="298" t="e">
        <f t="shared" ref="G203:O203" si="72">+G192/G157*1000</f>
        <v>#DIV/0!</v>
      </c>
      <c r="H203" s="298" t="e">
        <f t="shared" si="72"/>
        <v>#DIV/0!</v>
      </c>
      <c r="I203" s="298" t="e">
        <f t="shared" si="72"/>
        <v>#DIV/0!</v>
      </c>
      <c r="J203" s="298" t="e">
        <f t="shared" si="72"/>
        <v>#DIV/0!</v>
      </c>
      <c r="K203" s="298" t="e">
        <f t="shared" si="72"/>
        <v>#DIV/0!</v>
      </c>
      <c r="L203" s="298" t="e">
        <f t="shared" si="72"/>
        <v>#DIV/0!</v>
      </c>
      <c r="M203" s="298" t="e">
        <f t="shared" si="72"/>
        <v>#DIV/0!</v>
      </c>
      <c r="N203" s="298" t="e">
        <f t="shared" si="72"/>
        <v>#DIV/0!</v>
      </c>
      <c r="O203" s="298" t="e">
        <f t="shared" si="72"/>
        <v>#DIV/0!</v>
      </c>
      <c r="Q203" s="231"/>
    </row>
    <row r="204" spans="1:17" s="128" customFormat="1" x14ac:dyDescent="0.2">
      <c r="A204" s="231"/>
      <c r="B204" s="116" t="s">
        <v>1428</v>
      </c>
      <c r="C204" s="271" t="s">
        <v>1432</v>
      </c>
      <c r="D204" s="273" t="s">
        <v>1288</v>
      </c>
      <c r="E204" s="273"/>
      <c r="F204" s="298" t="e">
        <f>+F192/F178*1000</f>
        <v>#DIV/0!</v>
      </c>
      <c r="G204" s="298" t="e">
        <f t="shared" ref="G204:O204" si="73">+G192/G178*1000</f>
        <v>#DIV/0!</v>
      </c>
      <c r="H204" s="298" t="e">
        <f t="shared" si="73"/>
        <v>#DIV/0!</v>
      </c>
      <c r="I204" s="298" t="e">
        <f t="shared" si="73"/>
        <v>#DIV/0!</v>
      </c>
      <c r="J204" s="298" t="e">
        <f t="shared" si="73"/>
        <v>#DIV/0!</v>
      </c>
      <c r="K204" s="298" t="e">
        <f t="shared" si="73"/>
        <v>#DIV/0!</v>
      </c>
      <c r="L204" s="298" t="e">
        <f t="shared" si="73"/>
        <v>#DIV/0!</v>
      </c>
      <c r="M204" s="298" t="e">
        <f t="shared" si="73"/>
        <v>#DIV/0!</v>
      </c>
      <c r="N204" s="298" t="e">
        <f t="shared" si="73"/>
        <v>#DIV/0!</v>
      </c>
      <c r="O204" s="298" t="e">
        <f t="shared" si="73"/>
        <v>#DIV/0!</v>
      </c>
      <c r="P204" s="128">
        <v>17</v>
      </c>
      <c r="Q204" s="231"/>
    </row>
    <row r="205" spans="1:17" s="128" customFormat="1" x14ac:dyDescent="0.2">
      <c r="A205" s="231"/>
      <c r="B205" s="116" t="s">
        <v>1509</v>
      </c>
      <c r="C205" s="271" t="s">
        <v>1427</v>
      </c>
      <c r="D205" s="273" t="s">
        <v>1288</v>
      </c>
      <c r="E205" s="273"/>
      <c r="F205" s="298" t="e">
        <f t="shared" ref="F205:O205" si="74">+F192/F179*1000</f>
        <v>#DIV/0!</v>
      </c>
      <c r="G205" s="298" t="e">
        <f t="shared" si="74"/>
        <v>#DIV/0!</v>
      </c>
      <c r="H205" s="298" t="e">
        <f t="shared" si="74"/>
        <v>#DIV/0!</v>
      </c>
      <c r="I205" s="298" t="e">
        <f t="shared" si="74"/>
        <v>#DIV/0!</v>
      </c>
      <c r="J205" s="298" t="e">
        <f t="shared" si="74"/>
        <v>#DIV/0!</v>
      </c>
      <c r="K205" s="298" t="e">
        <f t="shared" si="74"/>
        <v>#DIV/0!</v>
      </c>
      <c r="L205" s="298" t="e">
        <f t="shared" si="74"/>
        <v>#DIV/0!</v>
      </c>
      <c r="M205" s="298" t="e">
        <f t="shared" si="74"/>
        <v>#DIV/0!</v>
      </c>
      <c r="N205" s="298" t="e">
        <f t="shared" si="74"/>
        <v>#DIV/0!</v>
      </c>
      <c r="O205" s="298" t="e">
        <f t="shared" si="74"/>
        <v>#DIV/0!</v>
      </c>
      <c r="Q205" s="231"/>
    </row>
    <row r="206" spans="1:17" s="231" customFormat="1" x14ac:dyDescent="0.2">
      <c r="B206" s="116" t="s">
        <v>1511</v>
      </c>
      <c r="C206" s="271" t="s">
        <v>1513</v>
      </c>
      <c r="D206" s="273" t="s">
        <v>118</v>
      </c>
      <c r="E206" s="273"/>
      <c r="F206" s="275" t="e">
        <f t="shared" ref="F206:O206" si="75">+F60/F144</f>
        <v>#DIV/0!</v>
      </c>
      <c r="G206" s="275" t="e">
        <f t="shared" si="75"/>
        <v>#DIV/0!</v>
      </c>
      <c r="H206" s="275" t="e">
        <f t="shared" si="75"/>
        <v>#DIV/0!</v>
      </c>
      <c r="I206" s="275" t="e">
        <f t="shared" si="75"/>
        <v>#DIV/0!</v>
      </c>
      <c r="J206" s="275" t="e">
        <f t="shared" si="75"/>
        <v>#DIV/0!</v>
      </c>
      <c r="K206" s="275" t="e">
        <f t="shared" si="75"/>
        <v>#DIV/0!</v>
      </c>
      <c r="L206" s="275" t="e">
        <f t="shared" si="75"/>
        <v>#DIV/0!</v>
      </c>
      <c r="M206" s="275" t="e">
        <f t="shared" si="75"/>
        <v>#DIV/0!</v>
      </c>
      <c r="N206" s="275" t="e">
        <f t="shared" si="75"/>
        <v>#DIV/0!</v>
      </c>
      <c r="O206" s="275" t="e">
        <f t="shared" si="75"/>
        <v>#DIV/0!</v>
      </c>
      <c r="P206" s="128"/>
    </row>
    <row r="207" spans="1:17" x14ac:dyDescent="0.2">
      <c r="A207" s="231"/>
      <c r="B207" s="116"/>
      <c r="C207" s="116"/>
      <c r="D207" s="273"/>
      <c r="E207" s="273"/>
      <c r="F207" s="306"/>
      <c r="G207" s="306"/>
      <c r="H207" s="306"/>
      <c r="I207" s="306"/>
      <c r="J207" s="306"/>
      <c r="K207" s="306"/>
      <c r="L207" s="306"/>
      <c r="M207" s="306"/>
      <c r="N207" s="306"/>
      <c r="O207" s="306"/>
      <c r="P207" s="128"/>
      <c r="Q207" s="231"/>
    </row>
    <row r="208" spans="1:17" x14ac:dyDescent="0.2">
      <c r="A208" s="231"/>
      <c r="B208" s="274" t="s">
        <v>1043</v>
      </c>
      <c r="C208" s="274" t="s">
        <v>1389</v>
      </c>
      <c r="D208" s="273"/>
      <c r="E208" s="273"/>
      <c r="F208" s="307"/>
      <c r="G208" s="307"/>
      <c r="H208" s="307"/>
      <c r="I208" s="307"/>
      <c r="J208" s="307"/>
      <c r="K208" s="307"/>
      <c r="L208" s="307"/>
      <c r="M208" s="307"/>
      <c r="N208" s="307"/>
      <c r="O208" s="307"/>
      <c r="P208" s="128"/>
      <c r="Q208" s="231"/>
    </row>
    <row r="209" spans="1:17" x14ac:dyDescent="0.2">
      <c r="A209" s="231"/>
      <c r="B209" s="116" t="s">
        <v>1044</v>
      </c>
      <c r="C209" s="116" t="s">
        <v>1390</v>
      </c>
      <c r="D209" s="273" t="s">
        <v>93</v>
      </c>
      <c r="E209" s="273"/>
      <c r="F209" s="272" t="e">
        <f t="shared" ref="F209:O209" si="76">F69/F$58</f>
        <v>#DIV/0!</v>
      </c>
      <c r="G209" s="272" t="e">
        <f t="shared" si="76"/>
        <v>#DIV/0!</v>
      </c>
      <c r="H209" s="272" t="e">
        <f t="shared" si="76"/>
        <v>#DIV/0!</v>
      </c>
      <c r="I209" s="272" t="e">
        <f t="shared" si="76"/>
        <v>#DIV/0!</v>
      </c>
      <c r="J209" s="272" t="e">
        <f t="shared" si="76"/>
        <v>#DIV/0!</v>
      </c>
      <c r="K209" s="272" t="e">
        <f t="shared" si="76"/>
        <v>#DIV/0!</v>
      </c>
      <c r="L209" s="272" t="e">
        <f t="shared" si="76"/>
        <v>#DIV/0!</v>
      </c>
      <c r="M209" s="272" t="e">
        <f t="shared" si="76"/>
        <v>#DIV/0!</v>
      </c>
      <c r="N209" s="272" t="e">
        <f t="shared" si="76"/>
        <v>#DIV/0!</v>
      </c>
      <c r="O209" s="272" t="e">
        <f t="shared" si="76"/>
        <v>#DIV/0!</v>
      </c>
      <c r="P209" s="128"/>
      <c r="Q209" s="231"/>
    </row>
    <row r="210" spans="1:17" x14ac:dyDescent="0.2">
      <c r="A210" s="231"/>
      <c r="B210" s="116" t="s">
        <v>1045</v>
      </c>
      <c r="C210" s="116" t="s">
        <v>1283</v>
      </c>
      <c r="D210" s="273" t="s">
        <v>93</v>
      </c>
      <c r="E210" s="273"/>
      <c r="F210" s="272" t="e">
        <f t="shared" ref="F210:O210" si="77">F70/F$58</f>
        <v>#DIV/0!</v>
      </c>
      <c r="G210" s="272" t="e">
        <f t="shared" si="77"/>
        <v>#DIV/0!</v>
      </c>
      <c r="H210" s="272" t="e">
        <f t="shared" si="77"/>
        <v>#DIV/0!</v>
      </c>
      <c r="I210" s="272" t="e">
        <f t="shared" si="77"/>
        <v>#DIV/0!</v>
      </c>
      <c r="J210" s="272" t="e">
        <f t="shared" si="77"/>
        <v>#DIV/0!</v>
      </c>
      <c r="K210" s="272" t="e">
        <f t="shared" si="77"/>
        <v>#DIV/0!</v>
      </c>
      <c r="L210" s="272" t="e">
        <f t="shared" si="77"/>
        <v>#DIV/0!</v>
      </c>
      <c r="M210" s="272" t="e">
        <f t="shared" si="77"/>
        <v>#DIV/0!</v>
      </c>
      <c r="N210" s="272" t="e">
        <f t="shared" si="77"/>
        <v>#DIV/0!</v>
      </c>
      <c r="O210" s="272" t="e">
        <f t="shared" si="77"/>
        <v>#DIV/0!</v>
      </c>
      <c r="P210" s="128"/>
      <c r="Q210" s="231"/>
    </row>
    <row r="211" spans="1:17" x14ac:dyDescent="0.2">
      <c r="A211" s="231"/>
      <c r="B211" s="116" t="s">
        <v>1046</v>
      </c>
      <c r="C211" s="116" t="s">
        <v>1284</v>
      </c>
      <c r="D211" s="273" t="s">
        <v>93</v>
      </c>
      <c r="E211" s="273"/>
      <c r="F211" s="272" t="e">
        <f t="shared" ref="F211:O211" si="78">F71/F$58</f>
        <v>#DIV/0!</v>
      </c>
      <c r="G211" s="272" t="e">
        <f t="shared" si="78"/>
        <v>#DIV/0!</v>
      </c>
      <c r="H211" s="272" t="e">
        <f t="shared" si="78"/>
        <v>#DIV/0!</v>
      </c>
      <c r="I211" s="272" t="e">
        <f t="shared" si="78"/>
        <v>#DIV/0!</v>
      </c>
      <c r="J211" s="272" t="e">
        <f t="shared" si="78"/>
        <v>#DIV/0!</v>
      </c>
      <c r="K211" s="272" t="e">
        <f t="shared" si="78"/>
        <v>#DIV/0!</v>
      </c>
      <c r="L211" s="272" t="e">
        <f t="shared" si="78"/>
        <v>#DIV/0!</v>
      </c>
      <c r="M211" s="272" t="e">
        <f t="shared" si="78"/>
        <v>#DIV/0!</v>
      </c>
      <c r="N211" s="272" t="e">
        <f t="shared" si="78"/>
        <v>#DIV/0!</v>
      </c>
      <c r="O211" s="272" t="e">
        <f t="shared" si="78"/>
        <v>#DIV/0!</v>
      </c>
      <c r="P211" s="128"/>
      <c r="Q211" s="231"/>
    </row>
    <row r="212" spans="1:17" x14ac:dyDescent="0.2">
      <c r="A212" s="231"/>
      <c r="B212" s="116" t="s">
        <v>1047</v>
      </c>
      <c r="C212" s="116" t="s">
        <v>1285</v>
      </c>
      <c r="D212" s="273" t="s">
        <v>93</v>
      </c>
      <c r="E212" s="273"/>
      <c r="F212" s="272" t="e">
        <f t="shared" ref="F212:O212" si="79">F72/F$58</f>
        <v>#DIV/0!</v>
      </c>
      <c r="G212" s="272" t="e">
        <f t="shared" si="79"/>
        <v>#DIV/0!</v>
      </c>
      <c r="H212" s="272" t="e">
        <f t="shared" si="79"/>
        <v>#DIV/0!</v>
      </c>
      <c r="I212" s="272" t="e">
        <f t="shared" si="79"/>
        <v>#DIV/0!</v>
      </c>
      <c r="J212" s="272" t="e">
        <f t="shared" si="79"/>
        <v>#DIV/0!</v>
      </c>
      <c r="K212" s="272" t="e">
        <f t="shared" si="79"/>
        <v>#DIV/0!</v>
      </c>
      <c r="L212" s="272" t="e">
        <f t="shared" si="79"/>
        <v>#DIV/0!</v>
      </c>
      <c r="M212" s="272" t="e">
        <f t="shared" si="79"/>
        <v>#DIV/0!</v>
      </c>
      <c r="N212" s="272" t="e">
        <f t="shared" si="79"/>
        <v>#DIV/0!</v>
      </c>
      <c r="O212" s="272" t="e">
        <f t="shared" si="79"/>
        <v>#DIV/0!</v>
      </c>
      <c r="P212" s="128"/>
      <c r="Q212" s="231"/>
    </row>
    <row r="213" spans="1:17" x14ac:dyDescent="0.2">
      <c r="A213" s="231"/>
      <c r="B213" s="116" t="s">
        <v>1048</v>
      </c>
      <c r="C213" s="116" t="s">
        <v>1286</v>
      </c>
      <c r="D213" s="273" t="s">
        <v>93</v>
      </c>
      <c r="E213" s="273"/>
      <c r="F213" s="272" t="e">
        <f t="shared" ref="F213:O213" si="80">F73/F$58</f>
        <v>#DIV/0!</v>
      </c>
      <c r="G213" s="272" t="e">
        <f t="shared" si="80"/>
        <v>#DIV/0!</v>
      </c>
      <c r="H213" s="272" t="e">
        <f t="shared" si="80"/>
        <v>#DIV/0!</v>
      </c>
      <c r="I213" s="272" t="e">
        <f t="shared" si="80"/>
        <v>#DIV/0!</v>
      </c>
      <c r="J213" s="272" t="e">
        <f t="shared" si="80"/>
        <v>#DIV/0!</v>
      </c>
      <c r="K213" s="272" t="e">
        <f t="shared" si="80"/>
        <v>#DIV/0!</v>
      </c>
      <c r="L213" s="272" t="e">
        <f t="shared" si="80"/>
        <v>#DIV/0!</v>
      </c>
      <c r="M213" s="272" t="e">
        <f t="shared" si="80"/>
        <v>#DIV/0!</v>
      </c>
      <c r="N213" s="272" t="e">
        <f t="shared" si="80"/>
        <v>#DIV/0!</v>
      </c>
      <c r="O213" s="272" t="e">
        <f t="shared" si="80"/>
        <v>#DIV/0!</v>
      </c>
      <c r="P213" s="128"/>
      <c r="Q213" s="231"/>
    </row>
    <row r="214" spans="1:17" x14ac:dyDescent="0.2">
      <c r="A214" s="231"/>
      <c r="B214" s="271"/>
      <c r="C214" s="116"/>
      <c r="D214" s="273"/>
      <c r="E214" s="273"/>
      <c r="F214" s="307"/>
      <c r="G214" s="307"/>
      <c r="H214" s="307"/>
      <c r="I214" s="307"/>
      <c r="J214" s="307"/>
      <c r="K214" s="307"/>
      <c r="L214" s="307"/>
      <c r="M214" s="307"/>
      <c r="N214" s="307"/>
      <c r="O214" s="307"/>
      <c r="P214" s="128"/>
      <c r="Q214" s="231"/>
    </row>
    <row r="215" spans="1:17" x14ac:dyDescent="0.2">
      <c r="A215" s="231"/>
      <c r="B215" s="274" t="s">
        <v>1051</v>
      </c>
      <c r="C215" s="274" t="s">
        <v>1349</v>
      </c>
      <c r="D215" s="273"/>
      <c r="E215" s="273"/>
      <c r="F215" s="306"/>
      <c r="G215" s="306"/>
      <c r="H215" s="306"/>
      <c r="I215" s="306"/>
      <c r="J215" s="306"/>
      <c r="K215" s="306"/>
      <c r="L215" s="306"/>
      <c r="M215" s="306"/>
      <c r="N215" s="306"/>
      <c r="O215" s="306"/>
      <c r="P215" s="128"/>
      <c r="Q215" s="231"/>
    </row>
    <row r="216" spans="1:17" x14ac:dyDescent="0.2">
      <c r="A216" s="231"/>
      <c r="B216" s="271" t="s">
        <v>1049</v>
      </c>
      <c r="C216" s="271" t="s">
        <v>1388</v>
      </c>
      <c r="D216" s="273" t="s">
        <v>823</v>
      </c>
      <c r="E216" s="273"/>
      <c r="F216" s="298">
        <f t="shared" ref="F216:O216" si="81">F78</f>
        <v>0</v>
      </c>
      <c r="G216" s="298">
        <f t="shared" si="81"/>
        <v>0</v>
      </c>
      <c r="H216" s="298">
        <f t="shared" si="81"/>
        <v>0</v>
      </c>
      <c r="I216" s="298">
        <f t="shared" si="81"/>
        <v>0</v>
      </c>
      <c r="J216" s="298">
        <f t="shared" si="81"/>
        <v>0</v>
      </c>
      <c r="K216" s="298">
        <f t="shared" si="81"/>
        <v>0</v>
      </c>
      <c r="L216" s="298">
        <f t="shared" si="81"/>
        <v>0</v>
      </c>
      <c r="M216" s="298">
        <f t="shared" si="81"/>
        <v>0</v>
      </c>
      <c r="N216" s="298">
        <f t="shared" si="81"/>
        <v>0</v>
      </c>
      <c r="O216" s="298">
        <f t="shared" si="81"/>
        <v>0</v>
      </c>
      <c r="P216" s="128"/>
      <c r="Q216" s="231"/>
    </row>
    <row r="217" spans="1:17" x14ac:dyDescent="0.2">
      <c r="A217" s="231"/>
      <c r="B217" s="271" t="s">
        <v>1050</v>
      </c>
      <c r="C217" s="271" t="s">
        <v>1385</v>
      </c>
      <c r="D217" s="273" t="s">
        <v>93</v>
      </c>
      <c r="E217" s="273"/>
      <c r="F217" s="272" t="e">
        <f t="shared" ref="F217:O217" si="82">F80/F$78</f>
        <v>#DIV/0!</v>
      </c>
      <c r="G217" s="272" t="e">
        <f t="shared" si="82"/>
        <v>#DIV/0!</v>
      </c>
      <c r="H217" s="272" t="e">
        <f t="shared" si="82"/>
        <v>#DIV/0!</v>
      </c>
      <c r="I217" s="272" t="e">
        <f t="shared" si="82"/>
        <v>#DIV/0!</v>
      </c>
      <c r="J217" s="272" t="e">
        <f t="shared" si="82"/>
        <v>#DIV/0!</v>
      </c>
      <c r="K217" s="272" t="e">
        <f t="shared" si="82"/>
        <v>#DIV/0!</v>
      </c>
      <c r="L217" s="272" t="e">
        <f t="shared" si="82"/>
        <v>#DIV/0!</v>
      </c>
      <c r="M217" s="272" t="e">
        <f t="shared" si="82"/>
        <v>#DIV/0!</v>
      </c>
      <c r="N217" s="272" t="e">
        <f t="shared" si="82"/>
        <v>#DIV/0!</v>
      </c>
      <c r="O217" s="272" t="e">
        <f t="shared" si="82"/>
        <v>#DIV/0!</v>
      </c>
      <c r="P217" s="128"/>
      <c r="Q217" s="231"/>
    </row>
    <row r="218" spans="1:17" x14ac:dyDescent="0.2">
      <c r="A218" s="231"/>
      <c r="B218" s="271" t="s">
        <v>1410</v>
      </c>
      <c r="C218" s="271" t="s">
        <v>1386</v>
      </c>
      <c r="D218" s="273" t="s">
        <v>93</v>
      </c>
      <c r="E218" s="273"/>
      <c r="F218" s="272" t="e">
        <f t="shared" ref="F218:O218" si="83">F81/F$78</f>
        <v>#DIV/0!</v>
      </c>
      <c r="G218" s="272" t="e">
        <f t="shared" si="83"/>
        <v>#DIV/0!</v>
      </c>
      <c r="H218" s="272" t="e">
        <f t="shared" si="83"/>
        <v>#DIV/0!</v>
      </c>
      <c r="I218" s="272" t="e">
        <f t="shared" si="83"/>
        <v>#DIV/0!</v>
      </c>
      <c r="J218" s="272" t="e">
        <f t="shared" si="83"/>
        <v>#DIV/0!</v>
      </c>
      <c r="K218" s="272" t="e">
        <f t="shared" si="83"/>
        <v>#DIV/0!</v>
      </c>
      <c r="L218" s="272" t="e">
        <f t="shared" si="83"/>
        <v>#DIV/0!</v>
      </c>
      <c r="M218" s="272" t="e">
        <f t="shared" si="83"/>
        <v>#DIV/0!</v>
      </c>
      <c r="N218" s="272" t="e">
        <f t="shared" si="83"/>
        <v>#DIV/0!</v>
      </c>
      <c r="O218" s="272" t="e">
        <f t="shared" si="83"/>
        <v>#DIV/0!</v>
      </c>
      <c r="P218" s="128"/>
      <c r="Q218" s="231"/>
    </row>
    <row r="219" spans="1:17" x14ac:dyDescent="0.2">
      <c r="A219" s="231"/>
      <c r="B219" s="271" t="s">
        <v>1411</v>
      </c>
      <c r="C219" s="271" t="s">
        <v>1387</v>
      </c>
      <c r="D219" s="273" t="s">
        <v>93</v>
      </c>
      <c r="E219" s="273"/>
      <c r="F219" s="272" t="e">
        <f t="shared" ref="F219:O219" si="84">F82/F$78</f>
        <v>#DIV/0!</v>
      </c>
      <c r="G219" s="272" t="e">
        <f t="shared" si="84"/>
        <v>#DIV/0!</v>
      </c>
      <c r="H219" s="272" t="e">
        <f t="shared" si="84"/>
        <v>#DIV/0!</v>
      </c>
      <c r="I219" s="272" t="e">
        <f t="shared" si="84"/>
        <v>#DIV/0!</v>
      </c>
      <c r="J219" s="272" t="e">
        <f t="shared" si="84"/>
        <v>#DIV/0!</v>
      </c>
      <c r="K219" s="272" t="e">
        <f t="shared" si="84"/>
        <v>#DIV/0!</v>
      </c>
      <c r="L219" s="272" t="e">
        <f t="shared" si="84"/>
        <v>#DIV/0!</v>
      </c>
      <c r="M219" s="272" t="e">
        <f t="shared" si="84"/>
        <v>#DIV/0!</v>
      </c>
      <c r="N219" s="272" t="e">
        <f t="shared" si="84"/>
        <v>#DIV/0!</v>
      </c>
      <c r="O219" s="272" t="e">
        <f t="shared" si="84"/>
        <v>#DIV/0!</v>
      </c>
      <c r="P219" s="128"/>
      <c r="Q219" s="231"/>
    </row>
    <row r="220" spans="1:17" s="231" customFormat="1" x14ac:dyDescent="0.2">
      <c r="B220" s="271" t="s">
        <v>1412</v>
      </c>
      <c r="C220" s="271" t="s">
        <v>1507</v>
      </c>
      <c r="D220" s="273" t="s">
        <v>93</v>
      </c>
      <c r="E220" s="273"/>
      <c r="F220" s="272" t="e">
        <f t="shared" ref="F220:O220" si="85">F83/F$78</f>
        <v>#DIV/0!</v>
      </c>
      <c r="G220" s="272" t="e">
        <f t="shared" si="85"/>
        <v>#DIV/0!</v>
      </c>
      <c r="H220" s="272" t="e">
        <f t="shared" si="85"/>
        <v>#DIV/0!</v>
      </c>
      <c r="I220" s="272" t="e">
        <f t="shared" si="85"/>
        <v>#DIV/0!</v>
      </c>
      <c r="J220" s="272" t="e">
        <f t="shared" si="85"/>
        <v>#DIV/0!</v>
      </c>
      <c r="K220" s="272" t="e">
        <f t="shared" si="85"/>
        <v>#DIV/0!</v>
      </c>
      <c r="L220" s="272" t="e">
        <f t="shared" si="85"/>
        <v>#DIV/0!</v>
      </c>
      <c r="M220" s="272" t="e">
        <f t="shared" si="85"/>
        <v>#DIV/0!</v>
      </c>
      <c r="N220" s="272" t="e">
        <f t="shared" si="85"/>
        <v>#DIV/0!</v>
      </c>
      <c r="O220" s="272" t="e">
        <f t="shared" si="85"/>
        <v>#DIV/0!</v>
      </c>
      <c r="P220" s="128"/>
    </row>
    <row r="221" spans="1:17" x14ac:dyDescent="0.2">
      <c r="A221" s="231"/>
      <c r="B221" s="271" t="s">
        <v>1413</v>
      </c>
      <c r="C221" s="271" t="s">
        <v>1508</v>
      </c>
      <c r="D221" s="273" t="s">
        <v>93</v>
      </c>
      <c r="E221" s="273"/>
      <c r="F221" s="272" t="e">
        <f t="shared" ref="F221:O221" si="86">F216/F87</f>
        <v>#DIV/0!</v>
      </c>
      <c r="G221" s="272" t="e">
        <f t="shared" si="86"/>
        <v>#DIV/0!</v>
      </c>
      <c r="H221" s="272" t="e">
        <f t="shared" si="86"/>
        <v>#DIV/0!</v>
      </c>
      <c r="I221" s="272" t="e">
        <f t="shared" si="86"/>
        <v>#DIV/0!</v>
      </c>
      <c r="J221" s="272" t="e">
        <f t="shared" si="86"/>
        <v>#DIV/0!</v>
      </c>
      <c r="K221" s="272" t="e">
        <f t="shared" si="86"/>
        <v>#DIV/0!</v>
      </c>
      <c r="L221" s="272" t="e">
        <f t="shared" si="86"/>
        <v>#DIV/0!</v>
      </c>
      <c r="M221" s="272" t="e">
        <f t="shared" si="86"/>
        <v>#DIV/0!</v>
      </c>
      <c r="N221" s="272" t="e">
        <f t="shared" si="86"/>
        <v>#DIV/0!</v>
      </c>
      <c r="O221" s="272" t="e">
        <f t="shared" si="86"/>
        <v>#DIV/0!</v>
      </c>
      <c r="P221" s="128">
        <v>8</v>
      </c>
      <c r="Q221" s="231"/>
    </row>
    <row r="222" spans="1:17" s="231" customFormat="1" x14ac:dyDescent="0.2">
      <c r="B222" s="271" t="s">
        <v>1514</v>
      </c>
      <c r="C222" s="271" t="s">
        <v>1515</v>
      </c>
      <c r="D222" s="273" t="s">
        <v>118</v>
      </c>
      <c r="E222" s="273"/>
      <c r="F222" s="275" t="e">
        <f t="shared" ref="F222:O222" si="87">+F216/F64</f>
        <v>#DIV/0!</v>
      </c>
      <c r="G222" s="275" t="e">
        <f t="shared" si="87"/>
        <v>#DIV/0!</v>
      </c>
      <c r="H222" s="275" t="e">
        <f t="shared" si="87"/>
        <v>#DIV/0!</v>
      </c>
      <c r="I222" s="275" t="e">
        <f t="shared" si="87"/>
        <v>#DIV/0!</v>
      </c>
      <c r="J222" s="275" t="e">
        <f t="shared" si="87"/>
        <v>#DIV/0!</v>
      </c>
      <c r="K222" s="275" t="e">
        <f t="shared" si="87"/>
        <v>#DIV/0!</v>
      </c>
      <c r="L222" s="275" t="e">
        <f t="shared" si="87"/>
        <v>#DIV/0!</v>
      </c>
      <c r="M222" s="275" t="e">
        <f t="shared" si="87"/>
        <v>#DIV/0!</v>
      </c>
      <c r="N222" s="275" t="e">
        <f t="shared" si="87"/>
        <v>#DIV/0!</v>
      </c>
      <c r="O222" s="275" t="e">
        <f t="shared" si="87"/>
        <v>#DIV/0!</v>
      </c>
      <c r="P222" s="128"/>
    </row>
    <row r="223" spans="1:17" s="128" customFormat="1" x14ac:dyDescent="0.2">
      <c r="A223" s="231"/>
      <c r="B223" s="271"/>
      <c r="C223" s="271"/>
      <c r="D223" s="273"/>
      <c r="E223" s="273"/>
      <c r="F223" s="306"/>
      <c r="G223" s="306"/>
      <c r="H223" s="306"/>
      <c r="I223" s="306"/>
      <c r="J223" s="306"/>
      <c r="K223" s="306"/>
      <c r="L223" s="306"/>
      <c r="M223" s="306"/>
      <c r="N223" s="306"/>
      <c r="O223" s="306"/>
      <c r="Q223" s="231"/>
    </row>
    <row r="224" spans="1:17" s="128" customFormat="1" x14ac:dyDescent="0.2">
      <c r="A224" s="231"/>
      <c r="B224" s="274" t="s">
        <v>1052</v>
      </c>
      <c r="C224" s="274" t="s">
        <v>1395</v>
      </c>
      <c r="D224" s="273"/>
      <c r="E224" s="273"/>
      <c r="F224" s="306"/>
      <c r="G224" s="306"/>
      <c r="H224" s="306"/>
      <c r="I224" s="306"/>
      <c r="J224" s="306"/>
      <c r="K224" s="306"/>
      <c r="L224" s="306"/>
      <c r="M224" s="306"/>
      <c r="N224" s="306"/>
      <c r="O224" s="306"/>
      <c r="Q224" s="231"/>
    </row>
    <row r="225" spans="1:19" s="128" customFormat="1" x14ac:dyDescent="0.2">
      <c r="A225" s="231"/>
      <c r="B225" s="271" t="s">
        <v>1053</v>
      </c>
      <c r="C225" s="271" t="s">
        <v>1344</v>
      </c>
      <c r="D225" s="273" t="s">
        <v>93</v>
      </c>
      <c r="E225" s="273"/>
      <c r="F225" s="272" t="e">
        <f t="shared" ref="F225:O225" si="88">F58/F$87</f>
        <v>#DIV/0!</v>
      </c>
      <c r="G225" s="272" t="e">
        <f t="shared" si="88"/>
        <v>#DIV/0!</v>
      </c>
      <c r="H225" s="272" t="e">
        <f t="shared" si="88"/>
        <v>#DIV/0!</v>
      </c>
      <c r="I225" s="272" t="e">
        <f t="shared" si="88"/>
        <v>#DIV/0!</v>
      </c>
      <c r="J225" s="272" t="e">
        <f t="shared" si="88"/>
        <v>#DIV/0!</v>
      </c>
      <c r="K225" s="272" t="e">
        <f t="shared" si="88"/>
        <v>#DIV/0!</v>
      </c>
      <c r="L225" s="272" t="e">
        <f t="shared" si="88"/>
        <v>#DIV/0!</v>
      </c>
      <c r="M225" s="272" t="e">
        <f t="shared" si="88"/>
        <v>#DIV/0!</v>
      </c>
      <c r="N225" s="272" t="e">
        <f t="shared" si="88"/>
        <v>#DIV/0!</v>
      </c>
      <c r="O225" s="272" t="e">
        <f t="shared" si="88"/>
        <v>#DIV/0!</v>
      </c>
      <c r="P225" s="128">
        <v>11</v>
      </c>
      <c r="Q225" s="231">
        <v>2</v>
      </c>
    </row>
    <row r="226" spans="1:19" s="128" customFormat="1" x14ac:dyDescent="0.2">
      <c r="A226" s="231"/>
      <c r="B226" s="271" t="s">
        <v>1054</v>
      </c>
      <c r="C226" s="271" t="s">
        <v>1430</v>
      </c>
      <c r="D226" s="273" t="s">
        <v>93</v>
      </c>
      <c r="E226" s="273"/>
      <c r="F226" s="272" t="e">
        <f t="shared" ref="F226:O226" si="89">F59/F$87</f>
        <v>#DIV/0!</v>
      </c>
      <c r="G226" s="272" t="e">
        <f t="shared" si="89"/>
        <v>#DIV/0!</v>
      </c>
      <c r="H226" s="272" t="e">
        <f t="shared" si="89"/>
        <v>#DIV/0!</v>
      </c>
      <c r="I226" s="272" t="e">
        <f t="shared" si="89"/>
        <v>#DIV/0!</v>
      </c>
      <c r="J226" s="272" t="e">
        <f t="shared" si="89"/>
        <v>#DIV/0!</v>
      </c>
      <c r="K226" s="272" t="e">
        <f t="shared" si="89"/>
        <v>#DIV/0!</v>
      </c>
      <c r="L226" s="272" t="e">
        <f t="shared" si="89"/>
        <v>#DIV/0!</v>
      </c>
      <c r="M226" s="272" t="e">
        <f t="shared" si="89"/>
        <v>#DIV/0!</v>
      </c>
      <c r="N226" s="272" t="e">
        <f t="shared" si="89"/>
        <v>#DIV/0!</v>
      </c>
      <c r="O226" s="272" t="e">
        <f t="shared" si="89"/>
        <v>#DIV/0!</v>
      </c>
      <c r="P226" s="128">
        <v>9</v>
      </c>
      <c r="Q226" s="231">
        <v>2</v>
      </c>
    </row>
    <row r="227" spans="1:19" s="128" customFormat="1" x14ac:dyDescent="0.2">
      <c r="A227" s="231"/>
      <c r="B227" s="271" t="s">
        <v>1055</v>
      </c>
      <c r="C227" s="271" t="s">
        <v>1379</v>
      </c>
      <c r="D227" s="273" t="s">
        <v>93</v>
      </c>
      <c r="E227" s="273"/>
      <c r="F227" s="272" t="e">
        <f t="shared" ref="F227:O227" si="90">F60/F$87</f>
        <v>#DIV/0!</v>
      </c>
      <c r="G227" s="272" t="e">
        <f t="shared" si="90"/>
        <v>#DIV/0!</v>
      </c>
      <c r="H227" s="272" t="e">
        <f t="shared" si="90"/>
        <v>#DIV/0!</v>
      </c>
      <c r="I227" s="272" t="e">
        <f t="shared" si="90"/>
        <v>#DIV/0!</v>
      </c>
      <c r="J227" s="272" t="e">
        <f t="shared" si="90"/>
        <v>#DIV/0!</v>
      </c>
      <c r="K227" s="272" t="e">
        <f t="shared" si="90"/>
        <v>#DIV/0!</v>
      </c>
      <c r="L227" s="272" t="e">
        <f t="shared" si="90"/>
        <v>#DIV/0!</v>
      </c>
      <c r="M227" s="272" t="e">
        <f t="shared" si="90"/>
        <v>#DIV/0!</v>
      </c>
      <c r="N227" s="272" t="e">
        <f t="shared" si="90"/>
        <v>#DIV/0!</v>
      </c>
      <c r="O227" s="272" t="e">
        <f t="shared" si="90"/>
        <v>#DIV/0!</v>
      </c>
      <c r="P227" s="128">
        <v>10</v>
      </c>
      <c r="Q227" s="231">
        <v>2</v>
      </c>
    </row>
    <row r="228" spans="1:19" s="128" customFormat="1" x14ac:dyDescent="0.2">
      <c r="A228" s="231"/>
      <c r="B228" s="271" t="s">
        <v>1232</v>
      </c>
      <c r="C228" s="271" t="s">
        <v>1264</v>
      </c>
      <c r="D228" s="273" t="s">
        <v>93</v>
      </c>
      <c r="E228" s="273"/>
      <c r="F228" s="272" t="e">
        <f t="shared" ref="F228:O228" si="91">F61/F$87</f>
        <v>#DIV/0!</v>
      </c>
      <c r="G228" s="272" t="e">
        <f t="shared" si="91"/>
        <v>#DIV/0!</v>
      </c>
      <c r="H228" s="272" t="e">
        <f t="shared" si="91"/>
        <v>#DIV/0!</v>
      </c>
      <c r="I228" s="272" t="e">
        <f t="shared" si="91"/>
        <v>#DIV/0!</v>
      </c>
      <c r="J228" s="272" t="e">
        <f t="shared" si="91"/>
        <v>#DIV/0!</v>
      </c>
      <c r="K228" s="272" t="e">
        <f t="shared" si="91"/>
        <v>#DIV/0!</v>
      </c>
      <c r="L228" s="272" t="e">
        <f t="shared" si="91"/>
        <v>#DIV/0!</v>
      </c>
      <c r="M228" s="272" t="e">
        <f t="shared" si="91"/>
        <v>#DIV/0!</v>
      </c>
      <c r="N228" s="272" t="e">
        <f t="shared" si="91"/>
        <v>#DIV/0!</v>
      </c>
      <c r="O228" s="272" t="e">
        <f t="shared" si="91"/>
        <v>#DIV/0!</v>
      </c>
      <c r="Q228" s="231">
        <v>2</v>
      </c>
    </row>
    <row r="229" spans="1:19" s="128" customFormat="1" x14ac:dyDescent="0.2">
      <c r="A229" s="231"/>
      <c r="B229" s="271" t="s">
        <v>1414</v>
      </c>
      <c r="C229" s="271" t="s">
        <v>1380</v>
      </c>
      <c r="D229" s="273" t="s">
        <v>93</v>
      </c>
      <c r="E229" s="273"/>
      <c r="F229" s="272" t="e">
        <f t="shared" ref="F229:O229" si="92">F62/F$87</f>
        <v>#DIV/0!</v>
      </c>
      <c r="G229" s="272" t="e">
        <f t="shared" si="92"/>
        <v>#DIV/0!</v>
      </c>
      <c r="H229" s="272" t="e">
        <f t="shared" si="92"/>
        <v>#DIV/0!</v>
      </c>
      <c r="I229" s="272" t="e">
        <f t="shared" si="92"/>
        <v>#DIV/0!</v>
      </c>
      <c r="J229" s="272" t="e">
        <f t="shared" si="92"/>
        <v>#DIV/0!</v>
      </c>
      <c r="K229" s="272" t="e">
        <f t="shared" si="92"/>
        <v>#DIV/0!</v>
      </c>
      <c r="L229" s="272" t="e">
        <f t="shared" si="92"/>
        <v>#DIV/0!</v>
      </c>
      <c r="M229" s="272" t="e">
        <f t="shared" si="92"/>
        <v>#DIV/0!</v>
      </c>
      <c r="N229" s="272" t="e">
        <f t="shared" si="92"/>
        <v>#DIV/0!</v>
      </c>
      <c r="O229" s="272" t="e">
        <f t="shared" si="92"/>
        <v>#DIV/0!</v>
      </c>
      <c r="Q229" s="231">
        <v>2</v>
      </c>
    </row>
    <row r="230" spans="1:19" s="128" customFormat="1" x14ac:dyDescent="0.2">
      <c r="A230" s="231"/>
      <c r="B230" s="271" t="s">
        <v>1415</v>
      </c>
      <c r="C230" s="271" t="s">
        <v>1381</v>
      </c>
      <c r="D230" s="273" t="s">
        <v>93</v>
      </c>
      <c r="E230" s="273"/>
      <c r="F230" s="272" t="e">
        <f t="shared" ref="F230:O230" si="93">F63/F$87</f>
        <v>#DIV/0!</v>
      </c>
      <c r="G230" s="272" t="e">
        <f t="shared" si="93"/>
        <v>#DIV/0!</v>
      </c>
      <c r="H230" s="272" t="e">
        <f t="shared" si="93"/>
        <v>#DIV/0!</v>
      </c>
      <c r="I230" s="272" t="e">
        <f t="shared" si="93"/>
        <v>#DIV/0!</v>
      </c>
      <c r="J230" s="272" t="e">
        <f t="shared" si="93"/>
        <v>#DIV/0!</v>
      </c>
      <c r="K230" s="272" t="e">
        <f t="shared" si="93"/>
        <v>#DIV/0!</v>
      </c>
      <c r="L230" s="272" t="e">
        <f t="shared" si="93"/>
        <v>#DIV/0!</v>
      </c>
      <c r="M230" s="272" t="e">
        <f t="shared" si="93"/>
        <v>#DIV/0!</v>
      </c>
      <c r="N230" s="272" t="e">
        <f t="shared" si="93"/>
        <v>#DIV/0!</v>
      </c>
      <c r="O230" s="272" t="e">
        <f t="shared" si="93"/>
        <v>#DIV/0!</v>
      </c>
      <c r="Q230" s="231">
        <v>2</v>
      </c>
    </row>
    <row r="231" spans="1:19" s="128" customFormat="1" x14ac:dyDescent="0.2">
      <c r="A231" s="231"/>
      <c r="B231" s="271" t="s">
        <v>1416</v>
      </c>
      <c r="C231" s="271" t="s">
        <v>1382</v>
      </c>
      <c r="D231" s="273" t="s">
        <v>93</v>
      </c>
      <c r="E231" s="273"/>
      <c r="F231" s="272" t="e">
        <f t="shared" ref="F231:O231" si="94">F65/F87</f>
        <v>#DIV/0!</v>
      </c>
      <c r="G231" s="272" t="e">
        <f t="shared" si="94"/>
        <v>#DIV/0!</v>
      </c>
      <c r="H231" s="272" t="e">
        <f t="shared" si="94"/>
        <v>#DIV/0!</v>
      </c>
      <c r="I231" s="272" t="e">
        <f t="shared" si="94"/>
        <v>#DIV/0!</v>
      </c>
      <c r="J231" s="272" t="e">
        <f t="shared" si="94"/>
        <v>#DIV/0!</v>
      </c>
      <c r="K231" s="272" t="e">
        <f t="shared" si="94"/>
        <v>#DIV/0!</v>
      </c>
      <c r="L231" s="272" t="e">
        <f t="shared" si="94"/>
        <v>#DIV/0!</v>
      </c>
      <c r="M231" s="272" t="e">
        <f t="shared" si="94"/>
        <v>#DIV/0!</v>
      </c>
      <c r="N231" s="272" t="e">
        <f t="shared" si="94"/>
        <v>#DIV/0!</v>
      </c>
      <c r="O231" s="272" t="e">
        <f t="shared" si="94"/>
        <v>#DIV/0!</v>
      </c>
      <c r="Q231" s="231">
        <v>2</v>
      </c>
    </row>
    <row r="232" spans="1:19" x14ac:dyDescent="0.2">
      <c r="A232" s="231"/>
      <c r="B232" s="271"/>
      <c r="C232" s="271"/>
      <c r="D232" s="273"/>
      <c r="E232" s="273"/>
      <c r="F232" s="306"/>
      <c r="G232" s="306"/>
      <c r="H232" s="306"/>
      <c r="I232" s="306"/>
      <c r="J232" s="306"/>
      <c r="K232" s="306"/>
      <c r="L232" s="306"/>
      <c r="M232" s="306"/>
      <c r="N232" s="306"/>
      <c r="O232" s="306"/>
      <c r="P232" s="128"/>
      <c r="Q232" s="231"/>
    </row>
    <row r="233" spans="1:19" x14ac:dyDescent="0.2">
      <c r="A233" s="231"/>
      <c r="B233" s="274" t="s">
        <v>1056</v>
      </c>
      <c r="C233" s="274" t="s">
        <v>1206</v>
      </c>
      <c r="D233" s="273"/>
      <c r="E233" s="273"/>
      <c r="F233" s="306"/>
      <c r="G233" s="306"/>
      <c r="H233" s="306"/>
      <c r="I233" s="306"/>
      <c r="J233" s="306"/>
      <c r="K233" s="306"/>
      <c r="L233" s="306"/>
      <c r="M233" s="306"/>
      <c r="N233" s="306"/>
      <c r="O233" s="306"/>
      <c r="P233" s="128"/>
      <c r="Q233" s="231"/>
    </row>
    <row r="234" spans="1:19" x14ac:dyDescent="0.2">
      <c r="A234" s="231"/>
      <c r="B234" s="274" t="s">
        <v>1057</v>
      </c>
      <c r="C234" s="274" t="s">
        <v>1493</v>
      </c>
      <c r="D234" s="128"/>
      <c r="E234" s="273"/>
      <c r="F234" s="306"/>
      <c r="G234" s="306"/>
      <c r="H234" s="306"/>
      <c r="I234" s="306"/>
      <c r="J234" s="306"/>
      <c r="K234" s="306"/>
      <c r="L234" s="306"/>
      <c r="M234" s="306"/>
      <c r="N234" s="306"/>
      <c r="O234" s="306"/>
      <c r="P234" s="128"/>
      <c r="Q234" s="231"/>
    </row>
    <row r="235" spans="1:19" x14ac:dyDescent="0.2">
      <c r="A235" s="231"/>
      <c r="B235" s="271" t="s">
        <v>1061</v>
      </c>
      <c r="C235" s="271" t="s">
        <v>1396</v>
      </c>
      <c r="D235" s="273" t="s">
        <v>823</v>
      </c>
      <c r="E235" s="273"/>
      <c r="F235" s="298">
        <f t="shared" ref="F235:O235" si="95">F87</f>
        <v>0</v>
      </c>
      <c r="G235" s="298">
        <f t="shared" si="95"/>
        <v>0</v>
      </c>
      <c r="H235" s="298">
        <f t="shared" si="95"/>
        <v>0</v>
      </c>
      <c r="I235" s="298">
        <f t="shared" si="95"/>
        <v>0</v>
      </c>
      <c r="J235" s="298">
        <f t="shared" si="95"/>
        <v>0</v>
      </c>
      <c r="K235" s="298">
        <f t="shared" si="95"/>
        <v>0</v>
      </c>
      <c r="L235" s="298">
        <f t="shared" si="95"/>
        <v>0</v>
      </c>
      <c r="M235" s="298">
        <f t="shared" si="95"/>
        <v>0</v>
      </c>
      <c r="N235" s="298">
        <f t="shared" si="95"/>
        <v>0</v>
      </c>
      <c r="O235" s="298">
        <f t="shared" si="95"/>
        <v>0</v>
      </c>
      <c r="P235" s="128">
        <v>18</v>
      </c>
      <c r="Q235" s="231">
        <v>5</v>
      </c>
    </row>
    <row r="236" spans="1:19" x14ac:dyDescent="0.2">
      <c r="A236" s="231"/>
      <c r="B236" s="271" t="s">
        <v>1062</v>
      </c>
      <c r="C236" s="271" t="s">
        <v>1531</v>
      </c>
      <c r="D236" s="273" t="s">
        <v>93</v>
      </c>
      <c r="E236" s="273"/>
      <c r="F236" s="272" t="e">
        <f t="shared" ref="F236:O236" si="96">F90/F$87</f>
        <v>#DIV/0!</v>
      </c>
      <c r="G236" s="272" t="e">
        <f t="shared" si="96"/>
        <v>#DIV/0!</v>
      </c>
      <c r="H236" s="272" t="e">
        <f t="shared" si="96"/>
        <v>#DIV/0!</v>
      </c>
      <c r="I236" s="272" t="e">
        <f t="shared" si="96"/>
        <v>#DIV/0!</v>
      </c>
      <c r="J236" s="272" t="e">
        <f t="shared" si="96"/>
        <v>#DIV/0!</v>
      </c>
      <c r="K236" s="272" t="e">
        <f t="shared" si="96"/>
        <v>#DIV/0!</v>
      </c>
      <c r="L236" s="272" t="e">
        <f t="shared" si="96"/>
        <v>#DIV/0!</v>
      </c>
      <c r="M236" s="272" t="e">
        <f t="shared" si="96"/>
        <v>#DIV/0!</v>
      </c>
      <c r="N236" s="272" t="e">
        <f t="shared" si="96"/>
        <v>#DIV/0!</v>
      </c>
      <c r="O236" s="272" t="e">
        <f t="shared" si="96"/>
        <v>#DIV/0!</v>
      </c>
      <c r="P236" s="128">
        <v>19</v>
      </c>
      <c r="Q236" s="231"/>
    </row>
    <row r="237" spans="1:19" x14ac:dyDescent="0.2">
      <c r="A237" s="231"/>
      <c r="B237" s="271" t="s">
        <v>1063</v>
      </c>
      <c r="C237" s="271" t="s">
        <v>1536</v>
      </c>
      <c r="D237" s="273" t="s">
        <v>93</v>
      </c>
      <c r="E237" s="273"/>
      <c r="F237" s="272" t="e">
        <f>F91/F$87</f>
        <v>#DIV/0!</v>
      </c>
      <c r="G237" s="272" t="e">
        <f t="shared" ref="G237:O237" si="97">G91/G$87</f>
        <v>#DIV/0!</v>
      </c>
      <c r="H237" s="272" t="e">
        <f t="shared" si="97"/>
        <v>#DIV/0!</v>
      </c>
      <c r="I237" s="272" t="e">
        <f t="shared" si="97"/>
        <v>#DIV/0!</v>
      </c>
      <c r="J237" s="272" t="e">
        <f t="shared" si="97"/>
        <v>#DIV/0!</v>
      </c>
      <c r="K237" s="272" t="e">
        <f t="shared" si="97"/>
        <v>#DIV/0!</v>
      </c>
      <c r="L237" s="272" t="e">
        <f t="shared" si="97"/>
        <v>#DIV/0!</v>
      </c>
      <c r="M237" s="272" t="e">
        <f t="shared" si="97"/>
        <v>#DIV/0!</v>
      </c>
      <c r="N237" s="272" t="e">
        <f t="shared" si="97"/>
        <v>#DIV/0!</v>
      </c>
      <c r="O237" s="272" t="e">
        <f t="shared" si="97"/>
        <v>#DIV/0!</v>
      </c>
      <c r="P237" s="128">
        <v>19</v>
      </c>
      <c r="Q237" s="231"/>
      <c r="R237" s="231"/>
      <c r="S237" s="231"/>
    </row>
    <row r="238" spans="1:19" s="231" customFormat="1" x14ac:dyDescent="0.2">
      <c r="B238" s="271" t="s">
        <v>1265</v>
      </c>
      <c r="C238" s="271" t="s">
        <v>1397</v>
      </c>
      <c r="D238" s="273" t="s">
        <v>823</v>
      </c>
      <c r="E238" s="273"/>
      <c r="F238" s="298">
        <f>F111</f>
        <v>0</v>
      </c>
      <c r="G238" s="298">
        <f t="shared" ref="G238:O238" si="98">G111</f>
        <v>0</v>
      </c>
      <c r="H238" s="298">
        <f t="shared" si="98"/>
        <v>0</v>
      </c>
      <c r="I238" s="298">
        <f t="shared" si="98"/>
        <v>0</v>
      </c>
      <c r="J238" s="298">
        <f t="shared" si="98"/>
        <v>0</v>
      </c>
      <c r="K238" s="298">
        <f t="shared" si="98"/>
        <v>0</v>
      </c>
      <c r="L238" s="298">
        <f t="shared" si="98"/>
        <v>0</v>
      </c>
      <c r="M238" s="298">
        <f t="shared" si="98"/>
        <v>0</v>
      </c>
      <c r="N238" s="298">
        <f t="shared" si="98"/>
        <v>0</v>
      </c>
      <c r="O238" s="298">
        <f t="shared" si="98"/>
        <v>0</v>
      </c>
      <c r="P238" s="128"/>
      <c r="Q238" s="231">
        <v>7</v>
      </c>
    </row>
    <row r="239" spans="1:19" s="231" customFormat="1" x14ac:dyDescent="0.2">
      <c r="B239" s="271" t="s">
        <v>1266</v>
      </c>
      <c r="C239" s="271" t="s">
        <v>1517</v>
      </c>
      <c r="D239" s="273" t="s">
        <v>93</v>
      </c>
      <c r="E239" s="273"/>
      <c r="F239" s="272" t="e">
        <f t="shared" ref="F239:O239" si="99">F238/F87</f>
        <v>#DIV/0!</v>
      </c>
      <c r="G239" s="272" t="e">
        <f t="shared" si="99"/>
        <v>#DIV/0!</v>
      </c>
      <c r="H239" s="272" t="e">
        <f t="shared" si="99"/>
        <v>#DIV/0!</v>
      </c>
      <c r="I239" s="272" t="e">
        <f t="shared" si="99"/>
        <v>#DIV/0!</v>
      </c>
      <c r="J239" s="272" t="e">
        <f t="shared" si="99"/>
        <v>#DIV/0!</v>
      </c>
      <c r="K239" s="272" t="e">
        <f t="shared" si="99"/>
        <v>#DIV/0!</v>
      </c>
      <c r="L239" s="272" t="e">
        <f t="shared" si="99"/>
        <v>#DIV/0!</v>
      </c>
      <c r="M239" s="272" t="e">
        <f t="shared" si="99"/>
        <v>#DIV/0!</v>
      </c>
      <c r="N239" s="272" t="e">
        <f t="shared" si="99"/>
        <v>#DIV/0!</v>
      </c>
      <c r="O239" s="272" t="e">
        <f t="shared" si="99"/>
        <v>#DIV/0!</v>
      </c>
      <c r="P239" s="128"/>
      <c r="Q239" s="231">
        <v>3</v>
      </c>
    </row>
    <row r="240" spans="1:19" s="231" customFormat="1" x14ac:dyDescent="0.2">
      <c r="B240" s="271" t="s">
        <v>1287</v>
      </c>
      <c r="C240" s="271" t="s">
        <v>1400</v>
      </c>
      <c r="D240" s="273" t="s">
        <v>1288</v>
      </c>
      <c r="E240" s="273"/>
      <c r="F240" s="298" t="e">
        <f t="shared" ref="F240:O240" si="100">F235*1000/F31</f>
        <v>#DIV/0!</v>
      </c>
      <c r="G240" s="298" t="e">
        <f t="shared" si="100"/>
        <v>#DIV/0!</v>
      </c>
      <c r="H240" s="298" t="e">
        <f t="shared" si="100"/>
        <v>#DIV/0!</v>
      </c>
      <c r="I240" s="298" t="e">
        <f t="shared" si="100"/>
        <v>#DIV/0!</v>
      </c>
      <c r="J240" s="298" t="e">
        <f t="shared" si="100"/>
        <v>#DIV/0!</v>
      </c>
      <c r="K240" s="298" t="e">
        <f t="shared" si="100"/>
        <v>#DIV/0!</v>
      </c>
      <c r="L240" s="298" t="e">
        <f t="shared" si="100"/>
        <v>#DIV/0!</v>
      </c>
      <c r="M240" s="298" t="e">
        <f t="shared" si="100"/>
        <v>#DIV/0!</v>
      </c>
      <c r="N240" s="298" t="e">
        <f t="shared" si="100"/>
        <v>#DIV/0!</v>
      </c>
      <c r="O240" s="298" t="e">
        <f t="shared" si="100"/>
        <v>#DIV/0!</v>
      </c>
      <c r="P240" s="128"/>
    </row>
    <row r="241" spans="1:17" s="231" customFormat="1" x14ac:dyDescent="0.2">
      <c r="B241" s="271" t="s">
        <v>1417</v>
      </c>
      <c r="C241" s="271" t="s">
        <v>1434</v>
      </c>
      <c r="D241" s="273" t="s">
        <v>1288</v>
      </c>
      <c r="E241" s="273"/>
      <c r="F241" s="298" t="e">
        <f t="shared" ref="F241:O241" si="101">+F235/F178*1000</f>
        <v>#DIV/0!</v>
      </c>
      <c r="G241" s="298" t="e">
        <f t="shared" si="101"/>
        <v>#DIV/0!</v>
      </c>
      <c r="H241" s="298" t="e">
        <f t="shared" si="101"/>
        <v>#DIV/0!</v>
      </c>
      <c r="I241" s="298" t="e">
        <f t="shared" si="101"/>
        <v>#DIV/0!</v>
      </c>
      <c r="J241" s="298" t="e">
        <f t="shared" si="101"/>
        <v>#DIV/0!</v>
      </c>
      <c r="K241" s="298" t="e">
        <f t="shared" si="101"/>
        <v>#DIV/0!</v>
      </c>
      <c r="L241" s="298" t="e">
        <f t="shared" si="101"/>
        <v>#DIV/0!</v>
      </c>
      <c r="M241" s="298" t="e">
        <f t="shared" si="101"/>
        <v>#DIV/0!</v>
      </c>
      <c r="N241" s="298" t="e">
        <f t="shared" si="101"/>
        <v>#DIV/0!</v>
      </c>
      <c r="O241" s="298" t="e">
        <f t="shared" si="101"/>
        <v>#DIV/0!</v>
      </c>
      <c r="P241" s="128">
        <v>20</v>
      </c>
    </row>
    <row r="242" spans="1:17" s="231" customFormat="1" x14ac:dyDescent="0.2">
      <c r="B242" s="271" t="s">
        <v>1433</v>
      </c>
      <c r="C242" s="271" t="s">
        <v>1399</v>
      </c>
      <c r="D242" s="273" t="s">
        <v>1288</v>
      </c>
      <c r="E242" s="273"/>
      <c r="F242" s="298" t="e">
        <f t="shared" ref="F242:O242" si="102">(F87*1000)/F45</f>
        <v>#DIV/0!</v>
      </c>
      <c r="G242" s="298" t="e">
        <f t="shared" si="102"/>
        <v>#DIV/0!</v>
      </c>
      <c r="H242" s="298" t="e">
        <f t="shared" si="102"/>
        <v>#DIV/0!</v>
      </c>
      <c r="I242" s="298" t="e">
        <f t="shared" si="102"/>
        <v>#DIV/0!</v>
      </c>
      <c r="J242" s="298" t="e">
        <f t="shared" si="102"/>
        <v>#DIV/0!</v>
      </c>
      <c r="K242" s="298" t="e">
        <f t="shared" si="102"/>
        <v>#DIV/0!</v>
      </c>
      <c r="L242" s="298" t="e">
        <f t="shared" si="102"/>
        <v>#DIV/0!</v>
      </c>
      <c r="M242" s="298" t="e">
        <f t="shared" si="102"/>
        <v>#DIV/0!</v>
      </c>
      <c r="N242" s="298" t="e">
        <f t="shared" si="102"/>
        <v>#DIV/0!</v>
      </c>
      <c r="O242" s="298" t="e">
        <f t="shared" si="102"/>
        <v>#DIV/0!</v>
      </c>
      <c r="P242" s="128"/>
    </row>
    <row r="243" spans="1:17" x14ac:dyDescent="0.2">
      <c r="A243" s="231"/>
      <c r="B243" s="271"/>
      <c r="C243" s="271"/>
      <c r="D243" s="273"/>
      <c r="E243" s="273"/>
      <c r="F243" s="307"/>
      <c r="G243" s="306"/>
      <c r="H243" s="306"/>
      <c r="I243" s="306"/>
      <c r="J243" s="306"/>
      <c r="K243" s="306"/>
      <c r="L243" s="306"/>
      <c r="M243" s="306"/>
      <c r="N243" s="306"/>
      <c r="O243" s="306"/>
      <c r="P243" s="128"/>
      <c r="Q243" s="231"/>
    </row>
    <row r="244" spans="1:17" x14ac:dyDescent="0.2">
      <c r="A244" s="231"/>
      <c r="B244" s="274" t="s">
        <v>1058</v>
      </c>
      <c r="C244" s="276" t="s">
        <v>1366</v>
      </c>
      <c r="D244" s="273"/>
      <c r="E244" s="273"/>
      <c r="F244" s="306"/>
      <c r="G244" s="306"/>
      <c r="H244" s="306"/>
      <c r="I244" s="306"/>
      <c r="J244" s="306"/>
      <c r="K244" s="306"/>
      <c r="L244" s="306"/>
      <c r="M244" s="306"/>
      <c r="N244" s="306"/>
      <c r="O244" s="306"/>
      <c r="P244" s="128"/>
      <c r="Q244" s="231"/>
    </row>
    <row r="245" spans="1:17" x14ac:dyDescent="0.2">
      <c r="A245" s="231"/>
      <c r="B245" s="271" t="s">
        <v>1064</v>
      </c>
      <c r="C245" s="271" t="s">
        <v>1267</v>
      </c>
      <c r="D245" s="273" t="s">
        <v>93</v>
      </c>
      <c r="E245" s="273"/>
      <c r="F245" s="272" t="e">
        <f t="shared" ref="F245:O245" si="103">F99/F$87</f>
        <v>#DIV/0!</v>
      </c>
      <c r="G245" s="272" t="e">
        <f t="shared" si="103"/>
        <v>#DIV/0!</v>
      </c>
      <c r="H245" s="272" t="e">
        <f t="shared" si="103"/>
        <v>#DIV/0!</v>
      </c>
      <c r="I245" s="272" t="e">
        <f t="shared" si="103"/>
        <v>#DIV/0!</v>
      </c>
      <c r="J245" s="272" t="e">
        <f t="shared" si="103"/>
        <v>#DIV/0!</v>
      </c>
      <c r="K245" s="272" t="e">
        <f t="shared" si="103"/>
        <v>#DIV/0!</v>
      </c>
      <c r="L245" s="272" t="e">
        <f t="shared" si="103"/>
        <v>#DIV/0!</v>
      </c>
      <c r="M245" s="272" t="e">
        <f t="shared" si="103"/>
        <v>#DIV/0!</v>
      </c>
      <c r="N245" s="272" t="e">
        <f t="shared" si="103"/>
        <v>#DIV/0!</v>
      </c>
      <c r="O245" s="272" t="e">
        <f t="shared" si="103"/>
        <v>#DIV/0!</v>
      </c>
      <c r="P245" s="128">
        <v>21</v>
      </c>
      <c r="Q245" s="231"/>
    </row>
    <row r="246" spans="1:17" x14ac:dyDescent="0.2">
      <c r="A246" s="231"/>
      <c r="B246" s="271" t="s">
        <v>1065</v>
      </c>
      <c r="C246" s="271" t="s">
        <v>1268</v>
      </c>
      <c r="D246" s="273" t="s">
        <v>93</v>
      </c>
      <c r="E246" s="273"/>
      <c r="F246" s="272" t="e">
        <f t="shared" ref="F246:O246" si="104">F100/F$87</f>
        <v>#DIV/0!</v>
      </c>
      <c r="G246" s="272" t="e">
        <f t="shared" si="104"/>
        <v>#DIV/0!</v>
      </c>
      <c r="H246" s="272" t="e">
        <f t="shared" si="104"/>
        <v>#DIV/0!</v>
      </c>
      <c r="I246" s="272" t="e">
        <f t="shared" si="104"/>
        <v>#DIV/0!</v>
      </c>
      <c r="J246" s="272" t="e">
        <f t="shared" si="104"/>
        <v>#DIV/0!</v>
      </c>
      <c r="K246" s="272" t="e">
        <f t="shared" si="104"/>
        <v>#DIV/0!</v>
      </c>
      <c r="L246" s="272" t="e">
        <f t="shared" si="104"/>
        <v>#DIV/0!</v>
      </c>
      <c r="M246" s="272" t="e">
        <f t="shared" si="104"/>
        <v>#DIV/0!</v>
      </c>
      <c r="N246" s="272" t="e">
        <f t="shared" si="104"/>
        <v>#DIV/0!</v>
      </c>
      <c r="O246" s="272" t="e">
        <f t="shared" si="104"/>
        <v>#DIV/0!</v>
      </c>
      <c r="P246" s="128">
        <v>21</v>
      </c>
      <c r="Q246" s="231"/>
    </row>
    <row r="247" spans="1:17" x14ac:dyDescent="0.2">
      <c r="A247" s="231"/>
      <c r="B247" s="271" t="s">
        <v>1066</v>
      </c>
      <c r="C247" s="271" t="s">
        <v>1269</v>
      </c>
      <c r="D247" s="273" t="s">
        <v>93</v>
      </c>
      <c r="E247" s="273"/>
      <c r="F247" s="272" t="e">
        <f t="shared" ref="F247:O247" si="105">F101/F$87</f>
        <v>#DIV/0!</v>
      </c>
      <c r="G247" s="272" t="e">
        <f t="shared" si="105"/>
        <v>#DIV/0!</v>
      </c>
      <c r="H247" s="272" t="e">
        <f t="shared" si="105"/>
        <v>#DIV/0!</v>
      </c>
      <c r="I247" s="272" t="e">
        <f t="shared" si="105"/>
        <v>#DIV/0!</v>
      </c>
      <c r="J247" s="272" t="e">
        <f t="shared" si="105"/>
        <v>#DIV/0!</v>
      </c>
      <c r="K247" s="272" t="e">
        <f t="shared" si="105"/>
        <v>#DIV/0!</v>
      </c>
      <c r="L247" s="272" t="e">
        <f t="shared" si="105"/>
        <v>#DIV/0!</v>
      </c>
      <c r="M247" s="272" t="e">
        <f t="shared" si="105"/>
        <v>#DIV/0!</v>
      </c>
      <c r="N247" s="272" t="e">
        <f t="shared" si="105"/>
        <v>#DIV/0!</v>
      </c>
      <c r="O247" s="272" t="e">
        <f t="shared" si="105"/>
        <v>#DIV/0!</v>
      </c>
      <c r="P247" s="128">
        <v>21</v>
      </c>
      <c r="Q247" s="231"/>
    </row>
    <row r="248" spans="1:17" x14ac:dyDescent="0.2">
      <c r="A248" s="231"/>
      <c r="B248" s="271" t="s">
        <v>1067</v>
      </c>
      <c r="C248" s="271" t="s">
        <v>1270</v>
      </c>
      <c r="D248" s="273" t="s">
        <v>93</v>
      </c>
      <c r="E248" s="273"/>
      <c r="F248" s="272" t="e">
        <f t="shared" ref="F248:O248" si="106">F102/F$87</f>
        <v>#DIV/0!</v>
      </c>
      <c r="G248" s="272" t="e">
        <f t="shared" si="106"/>
        <v>#DIV/0!</v>
      </c>
      <c r="H248" s="272" t="e">
        <f t="shared" si="106"/>
        <v>#DIV/0!</v>
      </c>
      <c r="I248" s="272" t="e">
        <f t="shared" si="106"/>
        <v>#DIV/0!</v>
      </c>
      <c r="J248" s="272" t="e">
        <f t="shared" si="106"/>
        <v>#DIV/0!</v>
      </c>
      <c r="K248" s="272" t="e">
        <f t="shared" si="106"/>
        <v>#DIV/0!</v>
      </c>
      <c r="L248" s="272" t="e">
        <f t="shared" si="106"/>
        <v>#DIV/0!</v>
      </c>
      <c r="M248" s="272" t="e">
        <f t="shared" si="106"/>
        <v>#DIV/0!</v>
      </c>
      <c r="N248" s="272" t="e">
        <f t="shared" si="106"/>
        <v>#DIV/0!</v>
      </c>
      <c r="O248" s="272" t="e">
        <f t="shared" si="106"/>
        <v>#DIV/0!</v>
      </c>
      <c r="P248" s="128">
        <v>21</v>
      </c>
      <c r="Q248" s="231"/>
    </row>
    <row r="249" spans="1:17" x14ac:dyDescent="0.2">
      <c r="A249" s="231"/>
      <c r="B249" s="271" t="s">
        <v>1179</v>
      </c>
      <c r="C249" s="271" t="s">
        <v>1271</v>
      </c>
      <c r="D249" s="273" t="s">
        <v>93</v>
      </c>
      <c r="E249" s="273"/>
      <c r="F249" s="272" t="e">
        <f t="shared" ref="F249:O249" si="107">F103/F$87</f>
        <v>#DIV/0!</v>
      </c>
      <c r="G249" s="272" t="e">
        <f t="shared" si="107"/>
        <v>#DIV/0!</v>
      </c>
      <c r="H249" s="272" t="e">
        <f t="shared" si="107"/>
        <v>#DIV/0!</v>
      </c>
      <c r="I249" s="272" t="e">
        <f t="shared" si="107"/>
        <v>#DIV/0!</v>
      </c>
      <c r="J249" s="272" t="e">
        <f t="shared" si="107"/>
        <v>#DIV/0!</v>
      </c>
      <c r="K249" s="272" t="e">
        <f t="shared" si="107"/>
        <v>#DIV/0!</v>
      </c>
      <c r="L249" s="272" t="e">
        <f t="shared" si="107"/>
        <v>#DIV/0!</v>
      </c>
      <c r="M249" s="272" t="e">
        <f t="shared" si="107"/>
        <v>#DIV/0!</v>
      </c>
      <c r="N249" s="272" t="e">
        <f t="shared" si="107"/>
        <v>#DIV/0!</v>
      </c>
      <c r="O249" s="272" t="e">
        <f t="shared" si="107"/>
        <v>#DIV/0!</v>
      </c>
      <c r="P249" s="128">
        <v>21</v>
      </c>
      <c r="Q249" s="231"/>
    </row>
    <row r="250" spans="1:17" x14ac:dyDescent="0.2">
      <c r="A250" s="231"/>
      <c r="B250" s="271" t="s">
        <v>1180</v>
      </c>
      <c r="C250" s="271" t="s">
        <v>1507</v>
      </c>
      <c r="D250" s="273" t="s">
        <v>93</v>
      </c>
      <c r="E250" s="273"/>
      <c r="F250" s="272" t="e">
        <f t="shared" ref="F250:O250" si="108">F104/F$87</f>
        <v>#DIV/0!</v>
      </c>
      <c r="G250" s="272" t="e">
        <f t="shared" si="108"/>
        <v>#DIV/0!</v>
      </c>
      <c r="H250" s="272" t="e">
        <f t="shared" si="108"/>
        <v>#DIV/0!</v>
      </c>
      <c r="I250" s="272" t="e">
        <f t="shared" si="108"/>
        <v>#DIV/0!</v>
      </c>
      <c r="J250" s="272" t="e">
        <f t="shared" si="108"/>
        <v>#DIV/0!</v>
      </c>
      <c r="K250" s="272" t="e">
        <f t="shared" si="108"/>
        <v>#DIV/0!</v>
      </c>
      <c r="L250" s="272" t="e">
        <f t="shared" si="108"/>
        <v>#DIV/0!</v>
      </c>
      <c r="M250" s="272" t="e">
        <f t="shared" si="108"/>
        <v>#DIV/0!</v>
      </c>
      <c r="N250" s="272" t="e">
        <f t="shared" si="108"/>
        <v>#DIV/0!</v>
      </c>
      <c r="O250" s="272" t="e">
        <f t="shared" si="108"/>
        <v>#DIV/0!</v>
      </c>
      <c r="P250" s="128">
        <v>21</v>
      </c>
      <c r="Q250" s="231"/>
    </row>
    <row r="251" spans="1:17" x14ac:dyDescent="0.2">
      <c r="A251" s="231"/>
      <c r="B251" s="271"/>
      <c r="C251" s="271"/>
      <c r="D251" s="273"/>
      <c r="E251" s="273"/>
      <c r="F251" s="307"/>
      <c r="G251" s="306"/>
      <c r="H251" s="306"/>
      <c r="I251" s="306"/>
      <c r="J251" s="306"/>
      <c r="K251" s="306"/>
      <c r="L251" s="306"/>
      <c r="M251" s="306"/>
      <c r="N251" s="306"/>
      <c r="O251" s="306"/>
      <c r="P251" s="128"/>
      <c r="Q251" s="231"/>
    </row>
    <row r="252" spans="1:17" x14ac:dyDescent="0.2">
      <c r="A252" s="231"/>
      <c r="B252" s="274" t="s">
        <v>1059</v>
      </c>
      <c r="C252" s="301" t="s">
        <v>1212</v>
      </c>
      <c r="D252" s="273"/>
      <c r="E252" s="273"/>
      <c r="F252" s="306"/>
      <c r="G252" s="306"/>
      <c r="H252" s="306"/>
      <c r="I252" s="306"/>
      <c r="J252" s="306"/>
      <c r="K252" s="306"/>
      <c r="L252" s="306"/>
      <c r="M252" s="306"/>
      <c r="N252" s="306"/>
      <c r="O252" s="306"/>
      <c r="P252" s="128"/>
      <c r="Q252" s="231"/>
    </row>
    <row r="253" spans="1:17" x14ac:dyDescent="0.2">
      <c r="A253" s="231"/>
      <c r="B253" s="271" t="s">
        <v>1068</v>
      </c>
      <c r="C253" s="271" t="s">
        <v>1276</v>
      </c>
      <c r="D253" s="273" t="s">
        <v>93</v>
      </c>
      <c r="E253" s="273"/>
      <c r="F253" s="272" t="e">
        <f t="shared" ref="F253:O253" si="109">F94/F$87</f>
        <v>#DIV/0!</v>
      </c>
      <c r="G253" s="272" t="e">
        <f t="shared" si="109"/>
        <v>#DIV/0!</v>
      </c>
      <c r="H253" s="272" t="e">
        <f t="shared" si="109"/>
        <v>#DIV/0!</v>
      </c>
      <c r="I253" s="272" t="e">
        <f t="shared" si="109"/>
        <v>#DIV/0!</v>
      </c>
      <c r="J253" s="272" t="e">
        <f t="shared" si="109"/>
        <v>#DIV/0!</v>
      </c>
      <c r="K253" s="272" t="e">
        <f t="shared" si="109"/>
        <v>#DIV/0!</v>
      </c>
      <c r="L253" s="272" t="e">
        <f t="shared" si="109"/>
        <v>#DIV/0!</v>
      </c>
      <c r="M253" s="272" t="e">
        <f t="shared" si="109"/>
        <v>#DIV/0!</v>
      </c>
      <c r="N253" s="272" t="e">
        <f t="shared" si="109"/>
        <v>#DIV/0!</v>
      </c>
      <c r="O253" s="272" t="e">
        <f t="shared" si="109"/>
        <v>#DIV/0!</v>
      </c>
      <c r="P253" s="128">
        <v>22</v>
      </c>
      <c r="Q253" s="231"/>
    </row>
    <row r="254" spans="1:17" x14ac:dyDescent="0.2">
      <c r="A254" s="231"/>
      <c r="B254" s="271" t="s">
        <v>1069</v>
      </c>
      <c r="C254" s="271" t="s">
        <v>1277</v>
      </c>
      <c r="D254" s="273" t="s">
        <v>93</v>
      </c>
      <c r="E254" s="273"/>
      <c r="F254" s="272" t="e">
        <f t="shared" ref="F254:O254" si="110">F95/F$87</f>
        <v>#DIV/0!</v>
      </c>
      <c r="G254" s="272" t="e">
        <f t="shared" si="110"/>
        <v>#DIV/0!</v>
      </c>
      <c r="H254" s="272" t="e">
        <f t="shared" si="110"/>
        <v>#DIV/0!</v>
      </c>
      <c r="I254" s="272" t="e">
        <f t="shared" si="110"/>
        <v>#DIV/0!</v>
      </c>
      <c r="J254" s="272" t="e">
        <f t="shared" si="110"/>
        <v>#DIV/0!</v>
      </c>
      <c r="K254" s="272" t="e">
        <f t="shared" si="110"/>
        <v>#DIV/0!</v>
      </c>
      <c r="L254" s="272" t="e">
        <f t="shared" si="110"/>
        <v>#DIV/0!</v>
      </c>
      <c r="M254" s="272" t="e">
        <f t="shared" si="110"/>
        <v>#DIV/0!</v>
      </c>
      <c r="N254" s="272" t="e">
        <f t="shared" si="110"/>
        <v>#DIV/0!</v>
      </c>
      <c r="O254" s="272" t="e">
        <f t="shared" si="110"/>
        <v>#DIV/0!</v>
      </c>
      <c r="P254" s="128">
        <v>22</v>
      </c>
      <c r="Q254" s="231"/>
    </row>
    <row r="255" spans="1:17" x14ac:dyDescent="0.2">
      <c r="A255" s="231"/>
      <c r="B255" s="271" t="s">
        <v>1070</v>
      </c>
      <c r="C255" s="271" t="s">
        <v>1278</v>
      </c>
      <c r="D255" s="273" t="s">
        <v>93</v>
      </c>
      <c r="E255" s="273"/>
      <c r="F255" s="272" t="e">
        <f t="shared" ref="F255:O255" si="111">F96/F$87</f>
        <v>#DIV/0!</v>
      </c>
      <c r="G255" s="272" t="e">
        <f t="shared" si="111"/>
        <v>#DIV/0!</v>
      </c>
      <c r="H255" s="272" t="e">
        <f t="shared" si="111"/>
        <v>#DIV/0!</v>
      </c>
      <c r="I255" s="272" t="e">
        <f t="shared" si="111"/>
        <v>#DIV/0!</v>
      </c>
      <c r="J255" s="272" t="e">
        <f t="shared" si="111"/>
        <v>#DIV/0!</v>
      </c>
      <c r="K255" s="272" t="e">
        <f t="shared" si="111"/>
        <v>#DIV/0!</v>
      </c>
      <c r="L255" s="272" t="e">
        <f t="shared" si="111"/>
        <v>#DIV/0!</v>
      </c>
      <c r="M255" s="272" t="e">
        <f t="shared" si="111"/>
        <v>#DIV/0!</v>
      </c>
      <c r="N255" s="272" t="e">
        <f t="shared" si="111"/>
        <v>#DIV/0!</v>
      </c>
      <c r="O255" s="272" t="e">
        <f t="shared" si="111"/>
        <v>#DIV/0!</v>
      </c>
      <c r="P255" s="128">
        <v>22</v>
      </c>
      <c r="Q255" s="231"/>
    </row>
    <row r="256" spans="1:17" x14ac:dyDescent="0.2">
      <c r="A256" s="231"/>
      <c r="B256" s="271"/>
      <c r="C256" s="271"/>
      <c r="D256" s="273"/>
      <c r="E256" s="273"/>
      <c r="F256" s="307"/>
      <c r="G256" s="306"/>
      <c r="H256" s="306"/>
      <c r="I256" s="306"/>
      <c r="J256" s="306"/>
      <c r="K256" s="306"/>
      <c r="L256" s="306"/>
      <c r="M256" s="306"/>
      <c r="N256" s="306"/>
      <c r="O256" s="306"/>
      <c r="P256" s="128"/>
      <c r="Q256" s="231"/>
    </row>
    <row r="257" spans="1:17" x14ac:dyDescent="0.2">
      <c r="A257" s="231"/>
      <c r="B257" s="274" t="s">
        <v>1060</v>
      </c>
      <c r="C257" s="276" t="s">
        <v>1367</v>
      </c>
      <c r="D257" s="273"/>
      <c r="E257" s="273"/>
      <c r="F257" s="306"/>
      <c r="G257" s="306"/>
      <c r="H257" s="306"/>
      <c r="I257" s="306"/>
      <c r="J257" s="306"/>
      <c r="K257" s="306"/>
      <c r="L257" s="306"/>
      <c r="M257" s="306"/>
      <c r="N257" s="306"/>
      <c r="O257" s="306"/>
      <c r="P257" s="128"/>
      <c r="Q257" s="231"/>
    </row>
    <row r="258" spans="1:17" x14ac:dyDescent="0.2">
      <c r="A258" s="231"/>
      <c r="B258" s="271" t="s">
        <v>1071</v>
      </c>
      <c r="C258" s="116" t="s">
        <v>1308</v>
      </c>
      <c r="D258" s="273" t="s">
        <v>93</v>
      </c>
      <c r="E258" s="273"/>
      <c r="F258" s="272" t="e">
        <f t="shared" ref="F258:O258" si="112">F107/F$87</f>
        <v>#DIV/0!</v>
      </c>
      <c r="G258" s="272" t="e">
        <f t="shared" si="112"/>
        <v>#DIV/0!</v>
      </c>
      <c r="H258" s="272" t="e">
        <f t="shared" si="112"/>
        <v>#DIV/0!</v>
      </c>
      <c r="I258" s="272" t="e">
        <f t="shared" si="112"/>
        <v>#DIV/0!</v>
      </c>
      <c r="J258" s="272" t="e">
        <f t="shared" si="112"/>
        <v>#DIV/0!</v>
      </c>
      <c r="K258" s="272" t="e">
        <f t="shared" si="112"/>
        <v>#DIV/0!</v>
      </c>
      <c r="L258" s="272" t="e">
        <f t="shared" si="112"/>
        <v>#DIV/0!</v>
      </c>
      <c r="M258" s="272" t="e">
        <f t="shared" si="112"/>
        <v>#DIV/0!</v>
      </c>
      <c r="N258" s="272" t="e">
        <f t="shared" si="112"/>
        <v>#DIV/0!</v>
      </c>
      <c r="O258" s="272" t="e">
        <f t="shared" si="112"/>
        <v>#DIV/0!</v>
      </c>
      <c r="P258" s="128">
        <v>23</v>
      </c>
      <c r="Q258" s="231"/>
    </row>
    <row r="259" spans="1:17" x14ac:dyDescent="0.2">
      <c r="A259" s="231"/>
      <c r="B259" s="271" t="s">
        <v>1072</v>
      </c>
      <c r="C259" s="116" t="s">
        <v>1309</v>
      </c>
      <c r="D259" s="273" t="s">
        <v>93</v>
      </c>
      <c r="E259" s="273"/>
      <c r="F259" s="272" t="e">
        <f t="shared" ref="F259:O259" si="113">F108/F$87</f>
        <v>#DIV/0!</v>
      </c>
      <c r="G259" s="272" t="e">
        <f t="shared" si="113"/>
        <v>#DIV/0!</v>
      </c>
      <c r="H259" s="272" t="e">
        <f t="shared" si="113"/>
        <v>#DIV/0!</v>
      </c>
      <c r="I259" s="272" t="e">
        <f t="shared" si="113"/>
        <v>#DIV/0!</v>
      </c>
      <c r="J259" s="272" t="e">
        <f t="shared" si="113"/>
        <v>#DIV/0!</v>
      </c>
      <c r="K259" s="272" t="e">
        <f t="shared" si="113"/>
        <v>#DIV/0!</v>
      </c>
      <c r="L259" s="272" t="e">
        <f t="shared" si="113"/>
        <v>#DIV/0!</v>
      </c>
      <c r="M259" s="272" t="e">
        <f t="shared" si="113"/>
        <v>#DIV/0!</v>
      </c>
      <c r="N259" s="272" t="e">
        <f t="shared" si="113"/>
        <v>#DIV/0!</v>
      </c>
      <c r="O259" s="272" t="e">
        <f t="shared" si="113"/>
        <v>#DIV/0!</v>
      </c>
      <c r="P259" s="128">
        <v>23</v>
      </c>
      <c r="Q259" s="231"/>
    </row>
    <row r="260" spans="1:17" x14ac:dyDescent="0.2">
      <c r="A260" s="231"/>
      <c r="B260" s="271"/>
      <c r="C260" s="271"/>
      <c r="D260" s="273"/>
      <c r="E260" s="273"/>
      <c r="F260" s="307"/>
      <c r="G260" s="306"/>
      <c r="H260" s="306"/>
      <c r="I260" s="306"/>
      <c r="J260" s="306"/>
      <c r="K260" s="306"/>
      <c r="L260" s="306"/>
      <c r="M260" s="306"/>
      <c r="N260" s="306"/>
      <c r="O260" s="306"/>
      <c r="P260" s="128"/>
      <c r="Q260" s="231"/>
    </row>
    <row r="261" spans="1:17" x14ac:dyDescent="0.2">
      <c r="A261" s="231"/>
      <c r="B261" s="274" t="s">
        <v>1293</v>
      </c>
      <c r="C261" s="274" t="s">
        <v>1398</v>
      </c>
      <c r="D261" s="273"/>
      <c r="E261" s="273"/>
      <c r="F261" s="306"/>
      <c r="G261" s="306"/>
      <c r="H261" s="306"/>
      <c r="I261" s="306"/>
      <c r="J261" s="306"/>
      <c r="K261" s="306"/>
      <c r="L261" s="306"/>
      <c r="M261" s="306"/>
      <c r="N261" s="306"/>
      <c r="O261" s="306"/>
      <c r="P261" s="128"/>
      <c r="Q261" s="231"/>
    </row>
    <row r="262" spans="1:17" x14ac:dyDescent="0.2">
      <c r="A262" s="231"/>
      <c r="B262" s="271" t="s">
        <v>1294</v>
      </c>
      <c r="C262" s="271" t="s">
        <v>1401</v>
      </c>
      <c r="D262" s="273" t="s">
        <v>823</v>
      </c>
      <c r="E262" s="273"/>
      <c r="F262" s="298">
        <f t="shared" ref="F262:O262" si="114">SUM(F87,F111)-SUM(F65,F192)</f>
        <v>0</v>
      </c>
      <c r="G262" s="298">
        <f t="shared" si="114"/>
        <v>0</v>
      </c>
      <c r="H262" s="298">
        <f t="shared" si="114"/>
        <v>0</v>
      </c>
      <c r="I262" s="298">
        <f t="shared" si="114"/>
        <v>0</v>
      </c>
      <c r="J262" s="298">
        <f t="shared" si="114"/>
        <v>0</v>
      </c>
      <c r="K262" s="298">
        <f t="shared" si="114"/>
        <v>0</v>
      </c>
      <c r="L262" s="298">
        <f t="shared" si="114"/>
        <v>0</v>
      </c>
      <c r="M262" s="298">
        <f t="shared" si="114"/>
        <v>0</v>
      </c>
      <c r="N262" s="298">
        <f t="shared" si="114"/>
        <v>0</v>
      </c>
      <c r="O262" s="298">
        <f t="shared" si="114"/>
        <v>0</v>
      </c>
      <c r="P262" s="128">
        <v>24</v>
      </c>
      <c r="Q262" s="231">
        <v>4</v>
      </c>
    </row>
    <row r="263" spans="1:17" x14ac:dyDescent="0.2">
      <c r="A263" s="231"/>
      <c r="B263" s="271" t="s">
        <v>1295</v>
      </c>
      <c r="C263" s="271" t="s">
        <v>822</v>
      </c>
      <c r="D263" s="273" t="s">
        <v>93</v>
      </c>
      <c r="E263" s="273"/>
      <c r="F263" s="272" t="e">
        <f>F262/F235</f>
        <v>#DIV/0!</v>
      </c>
      <c r="G263" s="272" t="e">
        <f t="shared" ref="G263:O263" si="115">G262/G235</f>
        <v>#DIV/0!</v>
      </c>
      <c r="H263" s="272" t="e">
        <f t="shared" si="115"/>
        <v>#DIV/0!</v>
      </c>
      <c r="I263" s="272" t="e">
        <f t="shared" si="115"/>
        <v>#DIV/0!</v>
      </c>
      <c r="J263" s="272" t="e">
        <f t="shared" si="115"/>
        <v>#DIV/0!</v>
      </c>
      <c r="K263" s="272" t="e">
        <f t="shared" si="115"/>
        <v>#DIV/0!</v>
      </c>
      <c r="L263" s="272" t="e">
        <f t="shared" si="115"/>
        <v>#DIV/0!</v>
      </c>
      <c r="M263" s="272" t="e">
        <f t="shared" si="115"/>
        <v>#DIV/0!</v>
      </c>
      <c r="N263" s="272" t="e">
        <f t="shared" si="115"/>
        <v>#DIV/0!</v>
      </c>
      <c r="O263" s="272" t="e">
        <f t="shared" si="115"/>
        <v>#DIV/0!</v>
      </c>
      <c r="P263" s="128">
        <v>25</v>
      </c>
      <c r="Q263" s="231">
        <v>1</v>
      </c>
    </row>
    <row r="264" spans="1:17" s="231" customFormat="1" x14ac:dyDescent="0.2">
      <c r="B264" s="271" t="s">
        <v>1296</v>
      </c>
      <c r="C264" s="271" t="s">
        <v>1403</v>
      </c>
      <c r="D264" s="273" t="s">
        <v>1288</v>
      </c>
      <c r="E264" s="273"/>
      <c r="F264" s="298" t="e">
        <f>F262*1000/F31</f>
        <v>#DIV/0!</v>
      </c>
      <c r="G264" s="298" t="e">
        <f t="shared" ref="G264:O264" si="116">G262*1000/G31</f>
        <v>#DIV/0!</v>
      </c>
      <c r="H264" s="298" t="e">
        <f t="shared" si="116"/>
        <v>#DIV/0!</v>
      </c>
      <c r="I264" s="298" t="e">
        <f t="shared" si="116"/>
        <v>#DIV/0!</v>
      </c>
      <c r="J264" s="298" t="e">
        <f t="shared" si="116"/>
        <v>#DIV/0!</v>
      </c>
      <c r="K264" s="298" t="e">
        <f t="shared" si="116"/>
        <v>#DIV/0!</v>
      </c>
      <c r="L264" s="298" t="e">
        <f t="shared" si="116"/>
        <v>#DIV/0!</v>
      </c>
      <c r="M264" s="298" t="e">
        <f t="shared" si="116"/>
        <v>#DIV/0!</v>
      </c>
      <c r="N264" s="298" t="e">
        <f t="shared" si="116"/>
        <v>#DIV/0!</v>
      </c>
      <c r="O264" s="298" t="e">
        <f t="shared" si="116"/>
        <v>#DIV/0!</v>
      </c>
      <c r="P264" s="128"/>
    </row>
    <row r="265" spans="1:17" s="231" customFormat="1" x14ac:dyDescent="0.2">
      <c r="B265" s="271" t="s">
        <v>1404</v>
      </c>
      <c r="C265" s="271" t="s">
        <v>1436</v>
      </c>
      <c r="D265" s="273" t="s">
        <v>1288</v>
      </c>
      <c r="E265" s="273"/>
      <c r="F265" s="298" t="e">
        <f t="shared" ref="F265:O265" si="117">+F262/F178*1000</f>
        <v>#DIV/0!</v>
      </c>
      <c r="G265" s="298" t="e">
        <f t="shared" si="117"/>
        <v>#DIV/0!</v>
      </c>
      <c r="H265" s="298" t="e">
        <f t="shared" si="117"/>
        <v>#DIV/0!</v>
      </c>
      <c r="I265" s="298" t="e">
        <f t="shared" si="117"/>
        <v>#DIV/0!</v>
      </c>
      <c r="J265" s="298" t="e">
        <f t="shared" si="117"/>
        <v>#DIV/0!</v>
      </c>
      <c r="K265" s="298" t="e">
        <f t="shared" si="117"/>
        <v>#DIV/0!</v>
      </c>
      <c r="L265" s="298" t="e">
        <f t="shared" si="117"/>
        <v>#DIV/0!</v>
      </c>
      <c r="M265" s="298" t="e">
        <f t="shared" si="117"/>
        <v>#DIV/0!</v>
      </c>
      <c r="N265" s="298" t="e">
        <f t="shared" si="117"/>
        <v>#DIV/0!</v>
      </c>
      <c r="O265" s="298" t="e">
        <f t="shared" si="117"/>
        <v>#DIV/0!</v>
      </c>
      <c r="P265" s="128">
        <v>26</v>
      </c>
    </row>
    <row r="266" spans="1:17" x14ac:dyDescent="0.2">
      <c r="A266" s="231" t="s">
        <v>694</v>
      </c>
      <c r="B266" s="271" t="s">
        <v>1435</v>
      </c>
      <c r="C266" s="271" t="s">
        <v>1402</v>
      </c>
      <c r="D266" s="273" t="s">
        <v>1288</v>
      </c>
      <c r="E266" s="273"/>
      <c r="F266" s="298" t="e">
        <f t="shared" ref="F266:O266" si="118">+F262*1000/F179</f>
        <v>#DIV/0!</v>
      </c>
      <c r="G266" s="298" t="e">
        <f t="shared" si="118"/>
        <v>#DIV/0!</v>
      </c>
      <c r="H266" s="298" t="e">
        <f t="shared" si="118"/>
        <v>#DIV/0!</v>
      </c>
      <c r="I266" s="298" t="e">
        <f t="shared" si="118"/>
        <v>#DIV/0!</v>
      </c>
      <c r="J266" s="298" t="e">
        <f t="shared" si="118"/>
        <v>#DIV/0!</v>
      </c>
      <c r="K266" s="298" t="e">
        <f t="shared" si="118"/>
        <v>#DIV/0!</v>
      </c>
      <c r="L266" s="298" t="e">
        <f t="shared" si="118"/>
        <v>#DIV/0!</v>
      </c>
      <c r="M266" s="298" t="e">
        <f t="shared" si="118"/>
        <v>#DIV/0!</v>
      </c>
      <c r="N266" s="298" t="e">
        <f t="shared" si="118"/>
        <v>#DIV/0!</v>
      </c>
      <c r="O266" s="298" t="e">
        <f t="shared" si="118"/>
        <v>#DIV/0!</v>
      </c>
      <c r="P266" s="128"/>
    </row>
    <row r="267" spans="1:17" x14ac:dyDescent="0.2">
      <c r="D267" s="231"/>
      <c r="E267" s="231"/>
      <c r="F267" s="231"/>
      <c r="G267" s="231"/>
      <c r="H267" s="231"/>
      <c r="I267" s="231"/>
      <c r="J267" s="231"/>
      <c r="K267" s="231"/>
      <c r="L267" s="231"/>
      <c r="M267" s="231"/>
      <c r="O267" s="231"/>
      <c r="P267" s="302"/>
      <c r="Q267" s="8"/>
    </row>
    <row r="268" spans="1:17" x14ac:dyDescent="0.2">
      <c r="D268" s="231"/>
      <c r="E268" s="231"/>
      <c r="F268" s="231"/>
      <c r="G268" s="231"/>
      <c r="H268" s="231"/>
      <c r="I268" s="231"/>
      <c r="J268" s="231"/>
      <c r="K268" s="231"/>
      <c r="L268" s="231"/>
      <c r="M268" s="231"/>
      <c r="O268" s="231"/>
      <c r="P268" s="303"/>
      <c r="Q268" s="8"/>
    </row>
    <row r="269" spans="1:17" x14ac:dyDescent="0.2">
      <c r="D269" s="231"/>
      <c r="E269" s="231"/>
      <c r="F269" s="231"/>
      <c r="G269" s="231"/>
      <c r="H269" s="231"/>
      <c r="I269" s="231"/>
      <c r="J269" s="231"/>
      <c r="K269" s="231"/>
      <c r="L269" s="231"/>
      <c r="M269" s="231"/>
      <c r="O269" s="231"/>
      <c r="P269" s="303"/>
      <c r="Q269" s="8"/>
    </row>
    <row r="270" spans="1:17" x14ac:dyDescent="0.2">
      <c r="D270" s="231"/>
      <c r="E270" s="231"/>
      <c r="F270" s="231"/>
      <c r="G270" s="231"/>
      <c r="H270" s="231"/>
      <c r="I270" s="231"/>
      <c r="J270" s="231"/>
      <c r="K270" s="231"/>
      <c r="L270" s="231"/>
      <c r="M270" s="231"/>
      <c r="O270" s="231"/>
      <c r="P270" s="303"/>
      <c r="Q270" s="8"/>
    </row>
    <row r="271" spans="1:17" x14ac:dyDescent="0.2">
      <c r="D271" s="231"/>
      <c r="E271" s="231"/>
      <c r="F271" s="231"/>
      <c r="G271" s="231"/>
      <c r="H271" s="231"/>
      <c r="I271" s="231"/>
      <c r="J271" s="231"/>
      <c r="K271" s="231"/>
      <c r="L271" s="231"/>
      <c r="M271" s="231"/>
      <c r="O271" s="231"/>
      <c r="P271" s="303"/>
      <c r="Q271" s="8"/>
    </row>
    <row r="272" spans="1:17" x14ac:dyDescent="0.2">
      <c r="D272" s="231"/>
      <c r="E272" s="231"/>
      <c r="F272" s="231"/>
      <c r="G272" s="231"/>
      <c r="H272" s="231"/>
      <c r="I272" s="231"/>
      <c r="J272" s="231"/>
      <c r="K272" s="231"/>
      <c r="L272" s="231"/>
      <c r="M272" s="231"/>
      <c r="O272" s="231"/>
      <c r="P272" s="303"/>
      <c r="Q272" s="8"/>
    </row>
    <row r="273" spans="4:17" x14ac:dyDescent="0.2">
      <c r="D273" s="231"/>
      <c r="E273" s="231"/>
      <c r="F273" s="231"/>
      <c r="G273" s="231"/>
      <c r="H273" s="231"/>
      <c r="I273" s="231"/>
      <c r="J273" s="231"/>
      <c r="K273" s="231"/>
      <c r="L273" s="231"/>
      <c r="M273" s="231"/>
      <c r="O273" s="231"/>
      <c r="P273" s="303"/>
      <c r="Q273" s="8"/>
    </row>
    <row r="274" spans="4:17" x14ac:dyDescent="0.2">
      <c r="D274" s="231"/>
      <c r="E274" s="231"/>
      <c r="F274" s="231"/>
      <c r="G274" s="231"/>
      <c r="H274" s="231"/>
      <c r="I274" s="231"/>
      <c r="J274" s="231"/>
      <c r="K274" s="231"/>
      <c r="L274" s="231"/>
      <c r="M274" s="231"/>
      <c r="O274" s="231"/>
      <c r="P274" s="304"/>
      <c r="Q274" s="7"/>
    </row>
    <row r="275" spans="4:17" x14ac:dyDescent="0.2">
      <c r="D275" s="231"/>
      <c r="E275" s="231"/>
      <c r="F275" s="231"/>
      <c r="G275" s="231"/>
      <c r="H275" s="231"/>
      <c r="I275" s="231"/>
      <c r="J275" s="231"/>
      <c r="K275" s="231"/>
      <c r="L275" s="231"/>
      <c r="M275" s="231"/>
      <c r="O275" s="231"/>
      <c r="P275" s="303"/>
      <c r="Q275" s="8"/>
    </row>
    <row r="276" spans="4:17" x14ac:dyDescent="0.2">
      <c r="D276" s="231"/>
      <c r="E276" s="231"/>
      <c r="F276" s="231"/>
      <c r="G276" s="231"/>
      <c r="H276" s="231"/>
      <c r="I276" s="231"/>
      <c r="J276" s="231"/>
      <c r="K276" s="231"/>
      <c r="L276" s="231"/>
      <c r="M276" s="231"/>
      <c r="O276" s="231"/>
      <c r="P276" s="304"/>
      <c r="Q276" s="8"/>
    </row>
    <row r="277" spans="4:17" x14ac:dyDescent="0.2">
      <c r="D277" s="231"/>
      <c r="E277" s="231"/>
      <c r="F277" s="231"/>
      <c r="G277" s="231"/>
      <c r="H277" s="231"/>
      <c r="I277" s="231"/>
      <c r="J277" s="231"/>
      <c r="K277" s="231"/>
      <c r="L277" s="231"/>
      <c r="M277" s="231"/>
      <c r="O277" s="231"/>
      <c r="P277" s="128"/>
    </row>
    <row r="278" spans="4:17" x14ac:dyDescent="0.2">
      <c r="D278" s="231"/>
      <c r="E278" s="231"/>
      <c r="F278" s="231"/>
      <c r="G278" s="231"/>
      <c r="H278" s="231"/>
      <c r="I278" s="231"/>
      <c r="J278" s="231"/>
      <c r="K278" s="231"/>
      <c r="L278" s="231"/>
      <c r="M278" s="231"/>
      <c r="O278" s="231"/>
      <c r="P278" s="128"/>
    </row>
    <row r="279" spans="4:17" x14ac:dyDescent="0.2">
      <c r="D279" s="231"/>
      <c r="E279" s="231"/>
      <c r="F279" s="231"/>
      <c r="G279" s="231"/>
      <c r="H279" s="231"/>
      <c r="I279" s="231"/>
      <c r="J279" s="231"/>
      <c r="K279" s="231"/>
      <c r="L279" s="231"/>
      <c r="M279" s="231"/>
      <c r="O279" s="231"/>
      <c r="P279" s="128"/>
    </row>
    <row r="280" spans="4:17" x14ac:dyDescent="0.2">
      <c r="D280" s="231"/>
      <c r="E280" s="231"/>
      <c r="F280" s="231"/>
      <c r="G280" s="231"/>
      <c r="H280" s="231"/>
      <c r="I280" s="231"/>
      <c r="J280" s="231"/>
      <c r="K280" s="231"/>
      <c r="L280" s="231"/>
      <c r="M280" s="231"/>
      <c r="O280" s="231"/>
      <c r="P280" s="128"/>
    </row>
    <row r="281" spans="4:17" x14ac:dyDescent="0.2">
      <c r="D281" s="231"/>
      <c r="E281" s="231"/>
      <c r="F281" s="231"/>
      <c r="G281" s="231"/>
      <c r="H281" s="231"/>
      <c r="I281" s="231"/>
      <c r="J281" s="231"/>
      <c r="K281" s="231"/>
      <c r="L281" s="231"/>
      <c r="M281" s="231"/>
      <c r="O281" s="231"/>
      <c r="P281" s="128"/>
    </row>
    <row r="282" spans="4:17" x14ac:dyDescent="0.2">
      <c r="D282" s="231"/>
      <c r="E282" s="231"/>
      <c r="F282" s="231"/>
      <c r="G282" s="231"/>
      <c r="H282" s="231"/>
      <c r="I282" s="231"/>
      <c r="J282" s="231"/>
      <c r="K282" s="231"/>
      <c r="L282" s="231"/>
      <c r="M282" s="231"/>
      <c r="O282" s="231"/>
      <c r="P282" s="128"/>
    </row>
    <row r="283" spans="4:17" x14ac:dyDescent="0.2">
      <c r="D283" s="231"/>
      <c r="E283" s="231"/>
      <c r="F283" s="231"/>
      <c r="G283" s="231"/>
      <c r="H283" s="231"/>
      <c r="I283" s="231"/>
      <c r="J283" s="231"/>
      <c r="K283" s="231"/>
      <c r="L283" s="231"/>
      <c r="M283" s="231"/>
      <c r="O283" s="231"/>
    </row>
    <row r="284" spans="4:17" x14ac:dyDescent="0.2">
      <c r="D284" s="231"/>
      <c r="E284" s="231"/>
      <c r="F284" s="231"/>
      <c r="G284" s="231"/>
      <c r="H284" s="231"/>
      <c r="I284" s="231"/>
      <c r="J284" s="231"/>
      <c r="K284" s="231"/>
      <c r="L284" s="231"/>
      <c r="M284" s="231"/>
      <c r="O284" s="231"/>
    </row>
    <row r="285" spans="4:17" x14ac:dyDescent="0.2">
      <c r="D285" s="231"/>
      <c r="E285" s="231"/>
      <c r="F285" s="231"/>
      <c r="G285" s="231"/>
      <c r="H285" s="231"/>
      <c r="I285" s="231"/>
      <c r="J285" s="231"/>
      <c r="K285" s="231"/>
      <c r="L285" s="231"/>
      <c r="M285" s="231"/>
      <c r="O285" s="231"/>
    </row>
    <row r="286" spans="4:17" x14ac:dyDescent="0.2">
      <c r="D286" s="231"/>
      <c r="E286" s="231"/>
      <c r="F286" s="231"/>
      <c r="G286" s="231"/>
      <c r="H286" s="231"/>
      <c r="I286" s="231"/>
      <c r="J286" s="231"/>
      <c r="K286" s="231"/>
      <c r="L286" s="231"/>
      <c r="M286" s="231"/>
      <c r="O286" s="231"/>
    </row>
    <row r="287" spans="4:17" x14ac:dyDescent="0.2">
      <c r="D287" s="231"/>
      <c r="E287" s="231"/>
      <c r="F287" s="231"/>
      <c r="G287" s="231"/>
      <c r="H287" s="231"/>
      <c r="I287" s="231"/>
      <c r="J287" s="231"/>
      <c r="K287" s="231"/>
      <c r="L287" s="231"/>
      <c r="M287" s="231"/>
      <c r="O287" s="231"/>
    </row>
    <row r="288" spans="4:17" x14ac:dyDescent="0.2">
      <c r="D288" s="231"/>
      <c r="E288" s="231"/>
      <c r="F288" s="231"/>
      <c r="G288" s="231"/>
      <c r="H288" s="231"/>
      <c r="I288" s="231"/>
      <c r="J288" s="231"/>
      <c r="K288" s="231"/>
      <c r="L288" s="231"/>
      <c r="M288" s="231"/>
      <c r="O288" s="231"/>
    </row>
    <row r="289" spans="4:15" x14ac:dyDescent="0.2">
      <c r="D289" s="231"/>
      <c r="E289" s="231"/>
      <c r="F289" s="231"/>
      <c r="G289" s="231"/>
      <c r="H289" s="231"/>
      <c r="I289" s="231"/>
      <c r="J289" s="231"/>
      <c r="K289" s="231"/>
      <c r="L289" s="231"/>
      <c r="M289" s="231"/>
      <c r="O289" s="231"/>
    </row>
    <row r="290" spans="4:15" x14ac:dyDescent="0.2">
      <c r="D290" s="231"/>
      <c r="E290" s="231"/>
      <c r="F290" s="231"/>
      <c r="G290" s="231"/>
      <c r="H290" s="231"/>
      <c r="I290" s="231"/>
      <c r="J290" s="231"/>
      <c r="K290" s="231"/>
      <c r="L290" s="231"/>
      <c r="M290" s="231"/>
      <c r="O290" s="231"/>
    </row>
    <row r="291" spans="4:15" x14ac:dyDescent="0.2">
      <c r="D291" s="231"/>
      <c r="E291" s="231"/>
      <c r="F291" s="231"/>
      <c r="G291" s="231"/>
      <c r="H291" s="231"/>
      <c r="I291" s="231"/>
      <c r="J291" s="231"/>
      <c r="K291" s="231"/>
      <c r="L291" s="231"/>
      <c r="M291" s="231"/>
      <c r="O291" s="231"/>
    </row>
    <row r="292" spans="4:15" x14ac:dyDescent="0.2">
      <c r="D292" s="231"/>
      <c r="E292" s="231"/>
      <c r="F292" s="231"/>
      <c r="G292" s="231"/>
      <c r="H292" s="231"/>
      <c r="I292" s="231"/>
      <c r="J292" s="231"/>
      <c r="K292" s="231"/>
      <c r="L292" s="231"/>
      <c r="M292" s="231"/>
      <c r="O292" s="231"/>
    </row>
    <row r="293" spans="4:15" x14ac:dyDescent="0.2">
      <c r="D293" s="231"/>
      <c r="E293" s="231"/>
      <c r="F293" s="231"/>
      <c r="G293" s="231"/>
      <c r="H293" s="231"/>
      <c r="I293" s="231"/>
      <c r="J293" s="231"/>
      <c r="K293" s="231"/>
      <c r="L293" s="231"/>
      <c r="M293" s="231"/>
      <c r="O293" s="231"/>
    </row>
    <row r="294" spans="4:15" x14ac:dyDescent="0.2">
      <c r="D294" s="231"/>
      <c r="E294" s="231"/>
      <c r="F294" s="231"/>
      <c r="G294" s="231"/>
      <c r="H294" s="231"/>
      <c r="I294" s="231"/>
      <c r="J294" s="231"/>
      <c r="K294" s="231"/>
      <c r="L294" s="231"/>
      <c r="M294" s="231"/>
      <c r="O294" s="231"/>
    </row>
    <row r="295" spans="4:15" x14ac:dyDescent="0.2">
      <c r="D295" s="231"/>
      <c r="E295" s="231"/>
      <c r="F295" s="231"/>
      <c r="G295" s="231"/>
      <c r="H295" s="231"/>
      <c r="I295" s="231"/>
      <c r="J295" s="231"/>
      <c r="K295" s="231"/>
      <c r="L295" s="231"/>
      <c r="M295" s="231"/>
      <c r="O295" s="231"/>
    </row>
    <row r="296" spans="4:15" x14ac:dyDescent="0.2">
      <c r="D296" s="231"/>
      <c r="E296" s="231"/>
      <c r="F296" s="231"/>
      <c r="G296" s="231"/>
      <c r="H296" s="231"/>
      <c r="I296" s="231"/>
      <c r="J296" s="231"/>
      <c r="K296" s="231"/>
      <c r="L296" s="231"/>
      <c r="M296" s="231"/>
      <c r="O296" s="231"/>
    </row>
    <row r="297" spans="4:15" x14ac:dyDescent="0.2">
      <c r="D297" s="231"/>
      <c r="E297" s="231"/>
      <c r="F297" s="231"/>
      <c r="G297" s="231"/>
      <c r="H297" s="231"/>
      <c r="I297" s="231"/>
      <c r="J297" s="231"/>
      <c r="K297" s="231"/>
      <c r="L297" s="231"/>
      <c r="M297" s="231"/>
      <c r="O297" s="231"/>
    </row>
    <row r="298" spans="4:15" x14ac:dyDescent="0.2">
      <c r="D298" s="231"/>
      <c r="E298" s="231"/>
      <c r="F298" s="231"/>
      <c r="G298" s="231"/>
      <c r="H298" s="231"/>
      <c r="I298" s="231"/>
      <c r="J298" s="231"/>
      <c r="K298" s="231"/>
      <c r="L298" s="231"/>
      <c r="M298" s="231"/>
      <c r="O298" s="231"/>
    </row>
    <row r="299" spans="4:15" x14ac:dyDescent="0.2">
      <c r="D299" s="231"/>
      <c r="E299" s="231"/>
      <c r="F299" s="231"/>
      <c r="G299" s="231"/>
      <c r="H299" s="231"/>
      <c r="I299" s="231"/>
      <c r="J299" s="231"/>
      <c r="K299" s="231"/>
      <c r="L299" s="231"/>
      <c r="M299" s="231"/>
      <c r="O299" s="231"/>
    </row>
    <row r="300" spans="4:15" x14ac:dyDescent="0.2">
      <c r="D300" s="231"/>
      <c r="E300" s="231"/>
      <c r="F300" s="231"/>
      <c r="G300" s="231"/>
      <c r="H300" s="231"/>
      <c r="I300" s="231"/>
      <c r="J300" s="231"/>
      <c r="K300" s="231"/>
      <c r="L300" s="231"/>
      <c r="M300" s="231"/>
      <c r="O300" s="231"/>
    </row>
    <row r="301" spans="4:15" x14ac:dyDescent="0.2">
      <c r="D301" s="231"/>
      <c r="E301" s="231"/>
      <c r="F301" s="231"/>
      <c r="G301" s="231"/>
      <c r="H301" s="231"/>
      <c r="I301" s="231"/>
      <c r="J301" s="231"/>
      <c r="K301" s="231"/>
      <c r="L301" s="231"/>
      <c r="M301" s="231"/>
      <c r="O301" s="231"/>
    </row>
    <row r="302" spans="4:15" x14ac:dyDescent="0.2">
      <c r="D302" s="231"/>
      <c r="E302" s="231"/>
      <c r="F302" s="231"/>
      <c r="G302" s="231"/>
      <c r="H302" s="231"/>
      <c r="I302" s="231"/>
      <c r="J302" s="231"/>
      <c r="K302" s="231"/>
      <c r="L302" s="231"/>
      <c r="M302" s="231"/>
      <c r="O302" s="231"/>
    </row>
    <row r="303" spans="4:15" x14ac:dyDescent="0.2">
      <c r="D303" s="231"/>
      <c r="E303" s="231"/>
      <c r="F303" s="231"/>
      <c r="G303" s="231"/>
      <c r="H303" s="231"/>
      <c r="I303" s="231"/>
      <c r="J303" s="231"/>
      <c r="K303" s="231"/>
      <c r="L303" s="231"/>
      <c r="M303" s="231"/>
      <c r="O303" s="231"/>
    </row>
    <row r="304" spans="4:15" x14ac:dyDescent="0.2">
      <c r="D304" s="231"/>
      <c r="E304" s="231"/>
      <c r="F304" s="231"/>
      <c r="G304" s="231"/>
      <c r="H304" s="231"/>
      <c r="I304" s="231"/>
      <c r="J304" s="231"/>
      <c r="K304" s="231"/>
      <c r="L304" s="231"/>
      <c r="M304" s="231"/>
      <c r="O304" s="231"/>
    </row>
    <row r="305" spans="4:15" x14ac:dyDescent="0.2">
      <c r="D305" s="231"/>
      <c r="E305" s="231"/>
      <c r="F305" s="231"/>
      <c r="G305" s="231"/>
      <c r="H305" s="231"/>
      <c r="I305" s="231"/>
      <c r="J305" s="231"/>
      <c r="K305" s="231"/>
      <c r="L305" s="231"/>
      <c r="M305" s="231"/>
      <c r="O305" s="231"/>
    </row>
    <row r="306" spans="4:15" x14ac:dyDescent="0.2">
      <c r="D306" s="231"/>
      <c r="E306" s="231"/>
      <c r="F306" s="231"/>
      <c r="G306" s="231"/>
      <c r="H306" s="231"/>
      <c r="I306" s="231"/>
      <c r="J306" s="231"/>
      <c r="K306" s="231"/>
      <c r="L306" s="231"/>
      <c r="M306" s="231"/>
      <c r="O306" s="231"/>
    </row>
    <row r="307" spans="4:15" x14ac:dyDescent="0.2">
      <c r="D307" s="231"/>
      <c r="E307" s="231"/>
      <c r="F307" s="231"/>
      <c r="G307" s="231"/>
      <c r="H307" s="231"/>
      <c r="I307" s="231"/>
      <c r="J307" s="231"/>
      <c r="K307" s="231"/>
      <c r="L307" s="231"/>
      <c r="M307" s="231"/>
      <c r="O307" s="231"/>
    </row>
    <row r="308" spans="4:15" x14ac:dyDescent="0.2">
      <c r="D308" s="231"/>
      <c r="E308" s="231"/>
      <c r="F308" s="231"/>
      <c r="G308" s="231"/>
      <c r="H308" s="231"/>
      <c r="I308" s="231"/>
      <c r="J308" s="231"/>
      <c r="K308" s="231"/>
      <c r="L308" s="231"/>
      <c r="M308" s="231"/>
      <c r="O308" s="231"/>
    </row>
    <row r="309" spans="4:15" x14ac:dyDescent="0.2">
      <c r="D309" s="231"/>
      <c r="E309" s="231"/>
      <c r="F309" s="231"/>
      <c r="G309" s="231"/>
      <c r="H309" s="231"/>
      <c r="I309" s="231"/>
      <c r="J309" s="231"/>
      <c r="K309" s="231"/>
      <c r="L309" s="231"/>
      <c r="M309" s="231"/>
      <c r="O309" s="231"/>
    </row>
    <row r="310" spans="4:15" x14ac:dyDescent="0.2">
      <c r="D310" s="231"/>
      <c r="E310" s="231"/>
      <c r="F310" s="231"/>
      <c r="G310" s="231"/>
      <c r="H310" s="231"/>
      <c r="I310" s="231"/>
      <c r="J310" s="231"/>
      <c r="K310" s="231"/>
      <c r="L310" s="231"/>
      <c r="M310" s="231"/>
      <c r="O310" s="231"/>
    </row>
    <row r="311" spans="4:15" x14ac:dyDescent="0.2">
      <c r="D311" s="231"/>
      <c r="E311" s="231"/>
      <c r="F311" s="231"/>
      <c r="G311" s="231"/>
      <c r="H311" s="231"/>
      <c r="I311" s="231"/>
      <c r="J311" s="231"/>
      <c r="K311" s="231"/>
      <c r="L311" s="231"/>
      <c r="M311" s="231"/>
      <c r="O311" s="231"/>
    </row>
    <row r="312" spans="4:15" x14ac:dyDescent="0.2">
      <c r="D312" s="231"/>
      <c r="E312" s="231"/>
      <c r="F312" s="231"/>
      <c r="G312" s="231"/>
      <c r="H312" s="231"/>
      <c r="I312" s="231"/>
      <c r="J312" s="231"/>
      <c r="K312" s="231"/>
      <c r="L312" s="231"/>
      <c r="M312" s="231"/>
      <c r="O312" s="231"/>
    </row>
    <row r="313" spans="4:15" x14ac:dyDescent="0.2">
      <c r="D313" s="231"/>
      <c r="E313" s="231"/>
      <c r="F313" s="231"/>
      <c r="G313" s="231"/>
      <c r="H313" s="231"/>
      <c r="I313" s="231"/>
      <c r="J313" s="231"/>
      <c r="K313" s="231"/>
      <c r="L313" s="231"/>
      <c r="M313" s="231"/>
      <c r="O313" s="231"/>
    </row>
    <row r="314" spans="4:15" x14ac:dyDescent="0.2">
      <c r="D314" s="231"/>
      <c r="E314" s="231"/>
      <c r="F314" s="231"/>
      <c r="G314" s="231"/>
      <c r="H314" s="231"/>
      <c r="I314" s="231"/>
      <c r="J314" s="231"/>
      <c r="K314" s="231"/>
      <c r="L314" s="231"/>
      <c r="M314" s="231"/>
      <c r="O314" s="231"/>
    </row>
    <row r="315" spans="4:15" x14ac:dyDescent="0.2">
      <c r="D315" s="231"/>
      <c r="E315" s="231"/>
      <c r="F315" s="231"/>
      <c r="G315" s="231"/>
      <c r="H315" s="231"/>
      <c r="I315" s="231"/>
      <c r="J315" s="231"/>
      <c r="K315" s="231"/>
      <c r="L315" s="231"/>
      <c r="M315" s="231"/>
      <c r="O315" s="231"/>
    </row>
    <row r="316" spans="4:15" x14ac:dyDescent="0.2">
      <c r="D316" s="231"/>
      <c r="E316" s="231"/>
      <c r="F316" s="231"/>
      <c r="G316" s="231"/>
      <c r="H316" s="231"/>
      <c r="I316" s="231"/>
      <c r="J316" s="231"/>
      <c r="K316" s="231"/>
      <c r="L316" s="231"/>
      <c r="M316" s="231"/>
      <c r="O316" s="231"/>
    </row>
  </sheetData>
  <mergeCells count="1">
    <mergeCell ref="F8:I8"/>
  </mergeCells>
  <printOptions horizontalCentered="1"/>
  <pageMargins left="0.25" right="0.25" top="0.75" bottom="0.75" header="0.3" footer="0.3"/>
  <pageSetup paperSize="9" scale="43" fitToHeight="0"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BasicInfo</vt:lpstr>
      <vt:lpstr>User_Financial_Input</vt:lpstr>
      <vt:lpstr>User_Operation_Input</vt:lpstr>
      <vt:lpstr>Reference</vt:lpstr>
      <vt:lpstr>Unit_Map</vt:lpstr>
      <vt:lpstr>CrossCheck</vt:lpstr>
      <vt:lpstr>Charts</vt:lpstr>
      <vt:lpstr>Financial_Standard</vt:lpstr>
      <vt:lpstr>Operation_Standard</vt:lpstr>
      <vt:lpstr>Summary</vt:lpstr>
      <vt:lpstr>MetaDataSheet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dc:creator>
  <cp:lastModifiedBy>Shruti.Maheshwari</cp:lastModifiedBy>
  <cp:lastPrinted>2014-09-22T16:43:59Z</cp:lastPrinted>
  <dcterms:created xsi:type="dcterms:W3CDTF">2014-09-08T10:48:48Z</dcterms:created>
  <dcterms:modified xsi:type="dcterms:W3CDTF">2018-04-18T12:10:24Z</dcterms:modified>
</cp:coreProperties>
</file>