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arsshh Wankhayday\Desktop\Resume\FINAL YEAR RESUME\Reference docs\Finance_Projects\"/>
    </mc:Choice>
  </mc:AlternateContent>
  <xr:revisionPtr revIDLastSave="0" documentId="13_ncr:1_{B8494634-FAC0-47B9-B0C3-B402DD730B7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inancials" sheetId="1" r:id="rId1"/>
    <sheet name="Projection" sheetId="2" r:id="rId2"/>
    <sheet name="NPV Calculation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4" l="1"/>
  <c r="C12" i="4"/>
  <c r="N17" i="2"/>
  <c r="C7" i="4"/>
  <c r="I8" i="2"/>
  <c r="I14" i="2"/>
  <c r="I17" i="2"/>
  <c r="C9" i="4"/>
  <c r="C6" i="4"/>
  <c r="D16" i="2" l="1"/>
  <c r="E16" i="2"/>
  <c r="F16" i="2"/>
  <c r="A16" i="2"/>
  <c r="B15" i="2"/>
  <c r="G11" i="2"/>
  <c r="J11" i="2" s="1"/>
  <c r="D30" i="2"/>
  <c r="F39" i="2"/>
  <c r="E39" i="2"/>
  <c r="D39" i="2"/>
  <c r="F37" i="2"/>
  <c r="E37" i="2"/>
  <c r="D37" i="2"/>
  <c r="F30" i="2"/>
  <c r="E30" i="2"/>
  <c r="F22" i="2"/>
  <c r="F13" i="2" s="1"/>
  <c r="E22" i="2"/>
  <c r="E13" i="2" s="1"/>
  <c r="D22" i="2"/>
  <c r="D13" i="2" s="1"/>
  <c r="F8" i="2"/>
  <c r="F19" i="2" s="1"/>
  <c r="E8" i="2"/>
  <c r="E19" i="2" s="1"/>
  <c r="D8" i="2"/>
  <c r="D19" i="2" s="1"/>
  <c r="D40" i="2" s="1"/>
  <c r="F7" i="2"/>
  <c r="E7" i="2"/>
  <c r="D7" i="2"/>
  <c r="F5" i="2"/>
  <c r="E5" i="2"/>
  <c r="D10" i="2" l="1"/>
  <c r="E31" i="2"/>
  <c r="E15" i="2" s="1"/>
  <c r="D14" i="2"/>
  <c r="G5" i="2"/>
  <c r="I4" i="2" s="1"/>
  <c r="J4" i="2" s="1"/>
  <c r="E9" i="2"/>
  <c r="F10" i="2"/>
  <c r="G7" i="2"/>
  <c r="I6" i="2" s="1"/>
  <c r="K11" i="2"/>
  <c r="L11" i="2"/>
  <c r="M11" i="2"/>
  <c r="G37" i="2"/>
  <c r="F14" i="2"/>
  <c r="F31" i="2"/>
  <c r="F15" i="2" s="1"/>
  <c r="E14" i="2"/>
  <c r="E10" i="2"/>
  <c r="G10" i="2" s="1"/>
  <c r="F9" i="2"/>
  <c r="I11" i="2"/>
  <c r="G13" i="2"/>
  <c r="D16" i="1"/>
  <c r="E16" i="1"/>
  <c r="F16" i="1"/>
  <c r="F25" i="1"/>
  <c r="E25" i="1"/>
  <c r="F24" i="1"/>
  <c r="E24" i="1"/>
  <c r="D24" i="1"/>
  <c r="E31" i="1"/>
  <c r="F31" i="1"/>
  <c r="D7" i="1"/>
  <c r="D31" i="1"/>
  <c r="G31" i="1" s="1"/>
  <c r="F33" i="1"/>
  <c r="E33" i="1"/>
  <c r="D33" i="1"/>
  <c r="D9" i="1"/>
  <c r="F7" i="1"/>
  <c r="E7" i="1"/>
  <c r="F13" i="1"/>
  <c r="E13" i="1"/>
  <c r="D8" i="1"/>
  <c r="D13" i="1" s="1"/>
  <c r="D34" i="1" s="1"/>
  <c r="E8" i="1"/>
  <c r="E9" i="1" s="1"/>
  <c r="F8" i="1"/>
  <c r="F9" i="1" s="1"/>
  <c r="F5" i="1"/>
  <c r="E5" i="1"/>
  <c r="G31" i="2" l="1"/>
  <c r="G9" i="2"/>
  <c r="J6" i="2"/>
  <c r="J36" i="2"/>
  <c r="J16" i="2" s="1"/>
  <c r="I36" i="2"/>
  <c r="I16" i="2" s="1"/>
  <c r="L13" i="2"/>
  <c r="K13" i="2"/>
  <c r="J13" i="2"/>
  <c r="M13" i="2"/>
  <c r="I13" i="2"/>
  <c r="K4" i="2"/>
  <c r="K36" i="2" s="1"/>
  <c r="K16" i="2" s="1"/>
  <c r="J8" i="2"/>
  <c r="J14" i="2" s="1"/>
  <c r="J17" i="2" l="1"/>
  <c r="M31" i="2"/>
  <c r="M15" i="2" s="1"/>
  <c r="G15" i="2"/>
  <c r="J31" i="2"/>
  <c r="J15" i="2" s="1"/>
  <c r="K31" i="2"/>
  <c r="K15" i="2" s="1"/>
  <c r="I31" i="2"/>
  <c r="I15" i="2" s="1"/>
  <c r="L31" i="2"/>
  <c r="L15" i="2" s="1"/>
  <c r="K6" i="2"/>
  <c r="L4" i="2"/>
  <c r="K8" i="2"/>
  <c r="K14" i="2" s="1"/>
  <c r="K17" i="2" s="1"/>
  <c r="L6" i="2" l="1"/>
  <c r="M4" i="2"/>
  <c r="L8" i="2"/>
  <c r="L14" i="2" s="1"/>
  <c r="L17" i="2" s="1"/>
  <c r="L36" i="2"/>
  <c r="L16" i="2" s="1"/>
  <c r="M6" i="2" l="1"/>
  <c r="M8" i="2"/>
  <c r="M14" i="2" s="1"/>
  <c r="M36" i="2"/>
  <c r="M16" i="2" s="1"/>
  <c r="M17" i="2" l="1"/>
  <c r="L21" i="2"/>
</calcChain>
</file>

<file path=xl/sharedStrings.xml><?xml version="1.0" encoding="utf-8"?>
<sst xmlns="http://schemas.openxmlformats.org/spreadsheetml/2006/main" count="96" uniqueCount="60">
  <si>
    <t>Revenue from Operations</t>
  </si>
  <si>
    <t>COGS</t>
  </si>
  <si>
    <t>OPEX</t>
  </si>
  <si>
    <t>EBIDTA</t>
  </si>
  <si>
    <t>NET INCOME</t>
  </si>
  <si>
    <t>TOTAL ASSETS</t>
  </si>
  <si>
    <t xml:space="preserve">TOTAL LIABILITY </t>
  </si>
  <si>
    <t>Shareholders' Equity</t>
  </si>
  <si>
    <t>Long-term Debt</t>
  </si>
  <si>
    <t>Operating Cash Flow</t>
  </si>
  <si>
    <t>Investing Cash Flow (CapEx)</t>
  </si>
  <si>
    <t>Financing Cash Flow</t>
  </si>
  <si>
    <t>Free Cash Flow (FCF)</t>
  </si>
  <si>
    <t>Cash Flow statement</t>
  </si>
  <si>
    <t>Income Statement</t>
  </si>
  <si>
    <t>Balance Sheet</t>
  </si>
  <si>
    <t>FY 22</t>
  </si>
  <si>
    <t>FY 23</t>
  </si>
  <si>
    <t>FY 24</t>
  </si>
  <si>
    <t>Current</t>
  </si>
  <si>
    <t>Projected</t>
  </si>
  <si>
    <t>FY25</t>
  </si>
  <si>
    <t>FY26</t>
  </si>
  <si>
    <t>FY27</t>
  </si>
  <si>
    <t>FY28</t>
  </si>
  <si>
    <t>(in million)</t>
  </si>
  <si>
    <t>Current Assets</t>
  </si>
  <si>
    <t>Current Liability</t>
  </si>
  <si>
    <t>EBITDA = Net Income + Interest Expense(financial expense) + Taxes + Depreciation &amp; Amortization</t>
  </si>
  <si>
    <t>PBT</t>
  </si>
  <si>
    <t>Finance cost</t>
  </si>
  <si>
    <t>depreciation and amortization</t>
  </si>
  <si>
    <t>Revenue Growth rate</t>
  </si>
  <si>
    <t>Average</t>
  </si>
  <si>
    <t>COGS as % of revenue</t>
  </si>
  <si>
    <t>Opex as % of revenue</t>
  </si>
  <si>
    <t>CapEx as % of revenue</t>
  </si>
  <si>
    <t>Net working capital</t>
  </si>
  <si>
    <t>change in NWC</t>
  </si>
  <si>
    <t>FCF-</t>
  </si>
  <si>
    <t>Taxes</t>
  </si>
  <si>
    <t>Net Income before Taxes</t>
  </si>
  <si>
    <t>Tax Rate-</t>
  </si>
  <si>
    <t>EBIT-</t>
  </si>
  <si>
    <t>Expense Growth Rate</t>
  </si>
  <si>
    <t>FY29</t>
  </si>
  <si>
    <t xml:space="preserve">EV/EBITDA multiple- </t>
  </si>
  <si>
    <t>Terminal Value</t>
  </si>
  <si>
    <t>EV/EBITDA-</t>
  </si>
  <si>
    <t>FCF</t>
  </si>
  <si>
    <t>Exit Value</t>
  </si>
  <si>
    <t>%</t>
  </si>
  <si>
    <t>NPV Calculation-</t>
  </si>
  <si>
    <t>WACC=</t>
  </si>
  <si>
    <t>Net present value =</t>
  </si>
  <si>
    <t>Cash+Cash equivalents</t>
  </si>
  <si>
    <t>Debt-</t>
  </si>
  <si>
    <t>Equity Value-</t>
  </si>
  <si>
    <t>Num of shares (million)</t>
  </si>
  <si>
    <t>FairPrice per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</si>
</sst>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₹&quot;\ #,##0.00;[Red]&quot;₹&quot;\ \-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2" fillId="0" borderId="0" xfId="0" applyFont="1"/>
    <xf numFmtId="0" fontId="0" fillId="5" borderId="0" xfId="0" applyFill="1"/>
    <xf numFmtId="8" fontId="0" fillId="5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6"/>
  <sheetViews>
    <sheetView tabSelected="1" zoomScaleNormal="100" workbookViewId="0">
      <selection activeCell="H8" sqref="H8"/>
    </sheetView>
  </sheetViews>
  <sheetFormatPr defaultRowHeight="14.4" x14ac:dyDescent="0.3"/>
  <sheetData>
    <row r="1" spans="1:9" x14ac:dyDescent="0.3">
      <c r="D1" s="1" t="s">
        <v>19</v>
      </c>
      <c r="E1" t="s">
        <v>25</v>
      </c>
      <c r="I1" s="1"/>
    </row>
    <row r="2" spans="1:9" x14ac:dyDescent="0.3">
      <c r="D2" t="s">
        <v>16</v>
      </c>
      <c r="E2" t="s">
        <v>17</v>
      </c>
      <c r="F2" t="s">
        <v>18</v>
      </c>
    </row>
    <row r="3" spans="1:9" x14ac:dyDescent="0.3">
      <c r="A3" s="1" t="s">
        <v>14</v>
      </c>
      <c r="B3" s="1"/>
    </row>
    <row r="4" spans="1:9" x14ac:dyDescent="0.3">
      <c r="A4" t="s">
        <v>0</v>
      </c>
      <c r="D4" s="2">
        <v>60984</v>
      </c>
      <c r="E4" s="2">
        <v>65249</v>
      </c>
      <c r="F4" s="2">
        <v>72738</v>
      </c>
    </row>
    <row r="5" spans="1:9" x14ac:dyDescent="0.3">
      <c r="B5" t="s">
        <v>32</v>
      </c>
      <c r="E5">
        <f>(E4-D4)/D4*100</f>
        <v>6.993637675455858</v>
      </c>
      <c r="F5">
        <f>(F4-E4)/E4*100</f>
        <v>11.477570537479503</v>
      </c>
      <c r="G5" s="3"/>
    </row>
    <row r="6" spans="1:9" x14ac:dyDescent="0.3">
      <c r="A6" t="s">
        <v>1</v>
      </c>
      <c r="D6" s="2">
        <v>19294</v>
      </c>
      <c r="E6" s="2">
        <v>18611</v>
      </c>
      <c r="F6" s="2">
        <v>19990</v>
      </c>
      <c r="G6" s="3"/>
    </row>
    <row r="7" spans="1:9" x14ac:dyDescent="0.3">
      <c r="B7" t="s">
        <v>34</v>
      </c>
      <c r="D7" s="3">
        <f>D6/D4*100</f>
        <v>31.637806637806637</v>
      </c>
      <c r="E7" s="3">
        <f t="shared" ref="E7:F7" si="0">E6/E4*100</f>
        <v>28.523042498735613</v>
      </c>
      <c r="F7" s="3">
        <f t="shared" si="0"/>
        <v>27.482196376034533</v>
      </c>
      <c r="G7" s="3"/>
    </row>
    <row r="8" spans="1:9" x14ac:dyDescent="0.3">
      <c r="A8" t="s">
        <v>2</v>
      </c>
      <c r="D8" s="2">
        <f>52865-D6-D11</f>
        <v>31130</v>
      </c>
      <c r="E8" s="2">
        <f>54489-E6-E11</f>
        <v>33490</v>
      </c>
      <c r="F8" s="2">
        <f>61251-F6-F11</f>
        <v>38763</v>
      </c>
      <c r="G8" s="3"/>
    </row>
    <row r="9" spans="1:9" x14ac:dyDescent="0.3">
      <c r="B9" t="s">
        <v>35</v>
      </c>
      <c r="D9" s="3">
        <f>D8/D4*100</f>
        <v>51.046176046176051</v>
      </c>
      <c r="E9" s="3">
        <f t="shared" ref="E9:F9" si="1">E8/E4*100</f>
        <v>51.326457110453802</v>
      </c>
      <c r="F9" s="3">
        <f t="shared" si="1"/>
        <v>53.291264538480576</v>
      </c>
      <c r="G9" s="3"/>
    </row>
    <row r="10" spans="1:9" x14ac:dyDescent="0.3">
      <c r="A10" t="s">
        <v>29</v>
      </c>
      <c r="D10" s="2">
        <v>8522</v>
      </c>
      <c r="E10" s="2">
        <v>12275</v>
      </c>
      <c r="F10" s="2">
        <v>13286</v>
      </c>
      <c r="G10" s="3"/>
    </row>
    <row r="11" spans="1:9" x14ac:dyDescent="0.3">
      <c r="A11" t="s">
        <v>30</v>
      </c>
      <c r="D11" s="2">
        <v>2441</v>
      </c>
      <c r="E11" s="2">
        <v>2388</v>
      </c>
      <c r="F11" s="2">
        <v>2498</v>
      </c>
      <c r="G11" s="3"/>
    </row>
    <row r="12" spans="1:9" x14ac:dyDescent="0.3">
      <c r="A12" t="s">
        <v>31</v>
      </c>
      <c r="D12" s="2">
        <v>3635</v>
      </c>
      <c r="E12" s="2">
        <v>3667</v>
      </c>
      <c r="F12" s="2">
        <v>3990</v>
      </c>
      <c r="G12" s="3"/>
    </row>
    <row r="13" spans="1:9" x14ac:dyDescent="0.3">
      <c r="A13" t="s">
        <v>3</v>
      </c>
      <c r="D13">
        <f>D4-D8-D6</f>
        <v>10560</v>
      </c>
      <c r="E13">
        <f t="shared" ref="E13:F13" si="2">E4-E8-E6</f>
        <v>13148</v>
      </c>
      <c r="F13">
        <f t="shared" si="2"/>
        <v>13985</v>
      </c>
      <c r="G13" s="3"/>
    </row>
    <row r="14" spans="1:9" x14ac:dyDescent="0.3">
      <c r="A14" t="s">
        <v>28</v>
      </c>
      <c r="D14" s="2"/>
      <c r="E14" s="2"/>
      <c r="F14" s="2"/>
      <c r="G14" s="3"/>
    </row>
    <row r="15" spans="1:9" x14ac:dyDescent="0.3">
      <c r="A15" t="s">
        <v>4</v>
      </c>
      <c r="D15" s="2">
        <v>5724</v>
      </c>
      <c r="E15" s="2">
        <v>10848</v>
      </c>
      <c r="F15" s="2">
        <v>10105</v>
      </c>
      <c r="G15" s="3"/>
    </row>
    <row r="16" spans="1:9" x14ac:dyDescent="0.3">
      <c r="A16" t="s">
        <v>40</v>
      </c>
      <c r="D16" s="2">
        <f>403+2395</f>
        <v>2798</v>
      </c>
      <c r="E16" s="2">
        <f>3025-1598</f>
        <v>1427</v>
      </c>
      <c r="F16" s="2">
        <f>3216-35</f>
        <v>3181</v>
      </c>
      <c r="G16" s="3"/>
    </row>
    <row r="17" spans="1:7" x14ac:dyDescent="0.3">
      <c r="G17" s="3"/>
    </row>
    <row r="18" spans="1:7" x14ac:dyDescent="0.3">
      <c r="A18" s="1" t="s">
        <v>15</v>
      </c>
      <c r="B18" s="1"/>
      <c r="G18" s="3"/>
    </row>
    <row r="19" spans="1:7" x14ac:dyDescent="0.3">
      <c r="A19" t="s">
        <v>5</v>
      </c>
      <c r="D19" s="2">
        <v>104081</v>
      </c>
      <c r="E19" s="2">
        <v>107804</v>
      </c>
      <c r="F19" s="2">
        <v>124052</v>
      </c>
      <c r="G19" s="3"/>
    </row>
    <row r="20" spans="1:7" x14ac:dyDescent="0.3">
      <c r="A20" t="s">
        <v>6</v>
      </c>
      <c r="D20" s="2">
        <v>42974</v>
      </c>
      <c r="E20" s="2">
        <v>38556</v>
      </c>
      <c r="F20" s="2">
        <v>46943</v>
      </c>
      <c r="G20" s="3"/>
    </row>
    <row r="21" spans="1:7" x14ac:dyDescent="0.3">
      <c r="A21" t="s">
        <v>7</v>
      </c>
      <c r="D21" s="2">
        <v>61107</v>
      </c>
      <c r="E21" s="2">
        <v>69248</v>
      </c>
      <c r="F21" s="2">
        <v>77109</v>
      </c>
      <c r="G21" s="3"/>
    </row>
    <row r="22" spans="1:7" x14ac:dyDescent="0.3">
      <c r="A22" t="s">
        <v>26</v>
      </c>
      <c r="D22" s="2">
        <v>34552</v>
      </c>
      <c r="E22" s="2">
        <v>31507</v>
      </c>
      <c r="F22" s="2">
        <v>36751</v>
      </c>
      <c r="G22" s="3"/>
    </row>
    <row r="23" spans="1:7" x14ac:dyDescent="0.3">
      <c r="A23" t="s">
        <v>27</v>
      </c>
      <c r="D23" s="2">
        <v>11892</v>
      </c>
      <c r="E23" s="2">
        <v>12433</v>
      </c>
      <c r="F23" s="2">
        <v>13702</v>
      </c>
      <c r="G23" s="3"/>
    </row>
    <row r="24" spans="1:7" x14ac:dyDescent="0.3">
      <c r="B24" t="s">
        <v>37</v>
      </c>
      <c r="D24" s="3">
        <f>D22-D23</f>
        <v>22660</v>
      </c>
      <c r="E24" s="3">
        <f t="shared" ref="E24:F24" si="3">E22-E23</f>
        <v>19074</v>
      </c>
      <c r="F24" s="3">
        <f t="shared" si="3"/>
        <v>23049</v>
      </c>
      <c r="G24" s="3"/>
    </row>
    <row r="25" spans="1:7" x14ac:dyDescent="0.3">
      <c r="B25" t="s">
        <v>38</v>
      </c>
      <c r="D25" s="3"/>
      <c r="E25" s="3">
        <f>(E24-D24)</f>
        <v>-3586</v>
      </c>
      <c r="F25" s="3">
        <f>F24-E24</f>
        <v>3975</v>
      </c>
      <c r="G25" s="3"/>
    </row>
    <row r="26" spans="1:7" x14ac:dyDescent="0.3">
      <c r="A26" t="s">
        <v>8</v>
      </c>
      <c r="D26" s="2">
        <v>19082</v>
      </c>
      <c r="E26" s="2">
        <v>15201</v>
      </c>
      <c r="F26" s="2">
        <v>17855</v>
      </c>
      <c r="G26" s="3"/>
    </row>
    <row r="27" spans="1:7" x14ac:dyDescent="0.3">
      <c r="G27" s="3"/>
    </row>
    <row r="28" spans="1:7" x14ac:dyDescent="0.3">
      <c r="A28" s="1" t="s">
        <v>13</v>
      </c>
      <c r="B28" s="1"/>
      <c r="G28" s="3"/>
    </row>
    <row r="29" spans="1:7" x14ac:dyDescent="0.3">
      <c r="A29" t="s">
        <v>9</v>
      </c>
      <c r="D29" s="2">
        <v>12009</v>
      </c>
      <c r="E29" s="2">
        <v>12245</v>
      </c>
      <c r="F29" s="2">
        <v>11914</v>
      </c>
      <c r="G29" s="3"/>
    </row>
    <row r="30" spans="1:7" x14ac:dyDescent="0.3">
      <c r="A30" t="s">
        <v>10</v>
      </c>
      <c r="D30" s="2">
        <v>5235</v>
      </c>
      <c r="E30" s="2">
        <v>3960</v>
      </c>
      <c r="F30" s="2">
        <v>6210</v>
      </c>
      <c r="G30" s="3"/>
    </row>
    <row r="31" spans="1:7" x14ac:dyDescent="0.3">
      <c r="B31" t="s">
        <v>36</v>
      </c>
      <c r="D31">
        <f>D30*100/D4</f>
        <v>8.5842188114915388</v>
      </c>
      <c r="E31">
        <f t="shared" ref="E31:F31" si="4">E30*100/E4</f>
        <v>6.0690585296326383</v>
      </c>
      <c r="F31">
        <f t="shared" si="4"/>
        <v>8.5374907201187824</v>
      </c>
      <c r="G31" s="3">
        <f>AVERAGE(D31:F31)</f>
        <v>7.7302560204143198</v>
      </c>
    </row>
    <row r="32" spans="1:7" x14ac:dyDescent="0.3">
      <c r="A32" t="s">
        <v>11</v>
      </c>
      <c r="D32" s="2">
        <v>5766</v>
      </c>
      <c r="E32" s="2">
        <v>7786</v>
      </c>
      <c r="F32" s="2">
        <v>2970</v>
      </c>
      <c r="G32" s="3"/>
    </row>
    <row r="33" spans="1:7" x14ac:dyDescent="0.3">
      <c r="A33" t="s">
        <v>12</v>
      </c>
      <c r="D33">
        <f>D29-D30</f>
        <v>6774</v>
      </c>
      <c r="E33">
        <f t="shared" ref="E33:F33" si="5">E29-E30</f>
        <v>8285</v>
      </c>
      <c r="F33">
        <f t="shared" si="5"/>
        <v>5704</v>
      </c>
      <c r="G33" s="3"/>
    </row>
    <row r="34" spans="1:7" x14ac:dyDescent="0.3">
      <c r="B34" t="s">
        <v>39</v>
      </c>
      <c r="D34">
        <f>D13-D30-D25</f>
        <v>5325</v>
      </c>
      <c r="G34" s="3"/>
    </row>
    <row r="35" spans="1:7" x14ac:dyDescent="0.3">
      <c r="G35" s="3"/>
    </row>
    <row r="36" spans="1:7" x14ac:dyDescent="0.3">
      <c r="B36" s="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42"/>
  <sheetViews>
    <sheetView zoomScale="80" zoomScaleNormal="70" workbookViewId="0">
      <selection activeCell="E17" sqref="E17"/>
    </sheetView>
  </sheetViews>
  <sheetFormatPr defaultRowHeight="14.4" x14ac:dyDescent="0.3"/>
  <sheetData>
    <row r="1" spans="1:14" x14ac:dyDescent="0.3">
      <c r="D1" s="1" t="s">
        <v>19</v>
      </c>
      <c r="E1" t="s">
        <v>25</v>
      </c>
      <c r="I1" s="1" t="s">
        <v>20</v>
      </c>
    </row>
    <row r="2" spans="1:14" x14ac:dyDescent="0.3">
      <c r="D2" s="1" t="s">
        <v>16</v>
      </c>
      <c r="E2" s="1" t="s">
        <v>17</v>
      </c>
      <c r="F2" s="1" t="s">
        <v>18</v>
      </c>
      <c r="G2" s="1" t="s">
        <v>33</v>
      </c>
      <c r="H2" s="1"/>
      <c r="I2" s="1" t="s">
        <v>21</v>
      </c>
      <c r="J2" s="1" t="s">
        <v>22</v>
      </c>
      <c r="K2" s="1" t="s">
        <v>23</v>
      </c>
      <c r="L2" s="1" t="s">
        <v>24</v>
      </c>
      <c r="M2" s="1" t="s">
        <v>45</v>
      </c>
      <c r="N2" s="1" t="s">
        <v>50</v>
      </c>
    </row>
    <row r="3" spans="1:14" x14ac:dyDescent="0.3">
      <c r="A3" s="1" t="s">
        <v>14</v>
      </c>
      <c r="B3" s="1"/>
    </row>
    <row r="4" spans="1:14" x14ac:dyDescent="0.3">
      <c r="A4" t="s">
        <v>0</v>
      </c>
      <c r="D4" s="2">
        <v>60984</v>
      </c>
      <c r="E4" s="2">
        <v>65249</v>
      </c>
      <c r="F4" s="2">
        <v>72738</v>
      </c>
      <c r="I4">
        <f>F4*(1+G5/100)</f>
        <v>79455.793714962463</v>
      </c>
      <c r="J4">
        <f>I4*(1+$G$5/100)</f>
        <v>86794.016262128032</v>
      </c>
      <c r="K4">
        <f>J4*(1+$G$5/100)</f>
        <v>94809.96799220136</v>
      </c>
      <c r="L4">
        <f>K4*(1+$G$5/100)</f>
        <v>103566.2412894298</v>
      </c>
      <c r="M4">
        <f>L4*(1+$G$5/100)</f>
        <v>113131.20932287062</v>
      </c>
    </row>
    <row r="5" spans="1:14" x14ac:dyDescent="0.3">
      <c r="B5" t="s">
        <v>32</v>
      </c>
      <c r="E5">
        <f>(E4-D4)/D4*100</f>
        <v>6.993637675455858</v>
      </c>
      <c r="F5">
        <f>(F4-E4)/E4*100</f>
        <v>11.477570537479503</v>
      </c>
      <c r="G5" s="4">
        <f>AVERAGE(E5:F5)</f>
        <v>9.2356041064676795</v>
      </c>
    </row>
    <row r="6" spans="1:14" x14ac:dyDescent="0.3">
      <c r="A6" t="s">
        <v>1</v>
      </c>
      <c r="D6" s="2">
        <v>19294</v>
      </c>
      <c r="E6" s="2">
        <v>18611</v>
      </c>
      <c r="F6" s="2">
        <v>19990</v>
      </c>
      <c r="I6">
        <f>I4*$G$7/100</f>
        <v>23212.492482661226</v>
      </c>
      <c r="J6">
        <f>J4*$G$7/100</f>
        <v>25356.306391603386</v>
      </c>
      <c r="K6">
        <f>K4*$G$7/100</f>
        <v>27698.114465954841</v>
      </c>
      <c r="L6">
        <f>L4*$G$7/100</f>
        <v>30256.202662986685</v>
      </c>
      <c r="M6">
        <f>M4*$G$7/100</f>
        <v>33050.54575859067</v>
      </c>
    </row>
    <row r="7" spans="1:14" x14ac:dyDescent="0.3">
      <c r="B7" t="s">
        <v>34</v>
      </c>
      <c r="D7" s="3">
        <f>D6/D4*100</f>
        <v>31.637806637806637</v>
      </c>
      <c r="E7" s="3">
        <f t="shared" ref="E7:F7" si="0">E6/E4*100</f>
        <v>28.523042498735613</v>
      </c>
      <c r="F7" s="3">
        <f t="shared" si="0"/>
        <v>27.482196376034533</v>
      </c>
      <c r="G7" s="4">
        <f>AVERAGE(D7:F7)</f>
        <v>29.214348504192262</v>
      </c>
    </row>
    <row r="8" spans="1:14" x14ac:dyDescent="0.3">
      <c r="A8" t="s">
        <v>2</v>
      </c>
      <c r="D8" s="2">
        <f>52865-D6-D18</f>
        <v>31130</v>
      </c>
      <c r="E8" s="2">
        <f>54489-E6-E18</f>
        <v>33490</v>
      </c>
      <c r="F8" s="2">
        <f>61251-F6-F18</f>
        <v>38763</v>
      </c>
      <c r="I8">
        <f>$G$10/100*I4</f>
        <v>41227.995147099056</v>
      </c>
      <c r="J8">
        <f t="shared" ref="J8" si="1">$G$10/100*J4</f>
        <v>45035.649559918835</v>
      </c>
      <c r="K8">
        <f>$G$10/100*K4</f>
        <v>49194.963860049094</v>
      </c>
      <c r="L8">
        <f>$G$10/100*L4</f>
        <v>53738.415962483079</v>
      </c>
      <c r="M8">
        <f>$G$10/100*M4</f>
        <v>58701.483313864854</v>
      </c>
    </row>
    <row r="9" spans="1:14" x14ac:dyDescent="0.3">
      <c r="B9" t="s">
        <v>44</v>
      </c>
      <c r="D9" s="3"/>
      <c r="E9" s="3">
        <f>(E8/D8-1)*100</f>
        <v>7.5811114680372604</v>
      </c>
      <c r="F9" s="3">
        <f>(F8/E8-1)*100</f>
        <v>15.744998507017026</v>
      </c>
      <c r="G9" s="4">
        <f>AVERAGE(E9:F9)</f>
        <v>11.663054987527143</v>
      </c>
    </row>
    <row r="10" spans="1:14" x14ac:dyDescent="0.3">
      <c r="B10" t="s">
        <v>35</v>
      </c>
      <c r="D10" s="3">
        <f>D8/D4*100</f>
        <v>51.046176046176051</v>
      </c>
      <c r="E10" s="3">
        <f t="shared" ref="E10:F10" si="2">E8/E4*100</f>
        <v>51.326457110453802</v>
      </c>
      <c r="F10" s="3">
        <f t="shared" si="2"/>
        <v>53.291264538480576</v>
      </c>
      <c r="G10" s="4">
        <f>AVERAGE(D10:F10)</f>
        <v>51.887965898370147</v>
      </c>
    </row>
    <row r="11" spans="1:14" x14ac:dyDescent="0.3">
      <c r="A11" t="s">
        <v>31</v>
      </c>
      <c r="D11" s="2">
        <v>3635</v>
      </c>
      <c r="E11" s="2">
        <v>3667</v>
      </c>
      <c r="F11" s="2">
        <v>3990</v>
      </c>
      <c r="G11" s="4">
        <f>AVERAGE(D11:F11)</f>
        <v>3764</v>
      </c>
      <c r="I11">
        <f>$G$11</f>
        <v>3764</v>
      </c>
      <c r="J11">
        <f>$G$11</f>
        <v>3764</v>
      </c>
      <c r="K11">
        <f>$G$11</f>
        <v>3764</v>
      </c>
      <c r="L11">
        <f>$G$11</f>
        <v>3764</v>
      </c>
      <c r="M11">
        <f>$G$11</f>
        <v>3764</v>
      </c>
    </row>
    <row r="12" spans="1:14" x14ac:dyDescent="0.3">
      <c r="A12" t="s">
        <v>41</v>
      </c>
      <c r="D12" s="2">
        <v>8521</v>
      </c>
      <c r="E12" s="2">
        <v>12275</v>
      </c>
      <c r="F12" s="2">
        <v>13286</v>
      </c>
    </row>
    <row r="13" spans="1:14" x14ac:dyDescent="0.3">
      <c r="B13" t="s">
        <v>42</v>
      </c>
      <c r="D13" s="3">
        <f>D22/D12*100</f>
        <v>32.836521535031096</v>
      </c>
      <c r="E13" s="3">
        <f>E22/E12*100</f>
        <v>11.625254582484725</v>
      </c>
      <c r="F13" s="3">
        <f>F22/F12*100</f>
        <v>23.942495860304081</v>
      </c>
      <c r="G13" s="4">
        <f>AVERAGE(D13:F13)</f>
        <v>22.801423992606633</v>
      </c>
      <c r="I13">
        <f>$G$13</f>
        <v>22.801423992606633</v>
      </c>
      <c r="J13">
        <f>$G$13</f>
        <v>22.801423992606633</v>
      </c>
      <c r="K13">
        <f>$G$13</f>
        <v>22.801423992606633</v>
      </c>
      <c r="L13">
        <f>$G$13</f>
        <v>22.801423992606633</v>
      </c>
      <c r="M13">
        <f>$G$13</f>
        <v>22.801423992606633</v>
      </c>
    </row>
    <row r="14" spans="1:14" x14ac:dyDescent="0.3">
      <c r="B14" t="s">
        <v>43</v>
      </c>
      <c r="D14" s="3">
        <f>D4-D8</f>
        <v>29854</v>
      </c>
      <c r="E14" s="3">
        <f>E4-E8</f>
        <v>31759</v>
      </c>
      <c r="F14" s="3">
        <f>F4-F8</f>
        <v>33975</v>
      </c>
      <c r="I14" s="3">
        <f>I4-I8</f>
        <v>38227.798567863407</v>
      </c>
      <c r="J14" s="3">
        <f>J4-J8</f>
        <v>41758.366702209198</v>
      </c>
      <c r="K14" s="3">
        <f>K4-K8</f>
        <v>45615.004132152266</v>
      </c>
      <c r="L14" s="3">
        <f>L4-L8</f>
        <v>49827.825326946724</v>
      </c>
      <c r="M14" s="3">
        <f>M4-M8</f>
        <v>54429.726009005768</v>
      </c>
    </row>
    <row r="15" spans="1:14" x14ac:dyDescent="0.3">
      <c r="B15" t="str">
        <f>B31</f>
        <v>change in NWC</v>
      </c>
      <c r="E15">
        <f t="shared" ref="E15:M15" si="3">E31</f>
        <v>-3586</v>
      </c>
      <c r="F15">
        <f t="shared" si="3"/>
        <v>3975</v>
      </c>
      <c r="G15" s="4">
        <f t="shared" si="3"/>
        <v>194.5</v>
      </c>
      <c r="I15">
        <f t="shared" si="3"/>
        <v>194.5</v>
      </c>
      <c r="J15">
        <f t="shared" si="3"/>
        <v>194.5</v>
      </c>
      <c r="K15">
        <f t="shared" si="3"/>
        <v>194.5</v>
      </c>
      <c r="L15">
        <f t="shared" si="3"/>
        <v>194.5</v>
      </c>
      <c r="M15">
        <f t="shared" si="3"/>
        <v>194.5</v>
      </c>
    </row>
    <row r="16" spans="1:14" x14ac:dyDescent="0.3">
      <c r="A16" t="str">
        <f>A36</f>
        <v>Investing Cash Flow (CapEx)</v>
      </c>
      <c r="D16">
        <f t="shared" ref="D16:M16" si="4">D36</f>
        <v>5235</v>
      </c>
      <c r="E16">
        <f t="shared" si="4"/>
        <v>3960</v>
      </c>
      <c r="F16">
        <f t="shared" si="4"/>
        <v>6210</v>
      </c>
      <c r="I16">
        <f t="shared" si="4"/>
        <v>6142.1362772188686</v>
      </c>
      <c r="J16">
        <f t="shared" si="4"/>
        <v>6709.399667462535</v>
      </c>
      <c r="K16">
        <f t="shared" si="4"/>
        <v>7329.0532586700356</v>
      </c>
      <c r="L16">
        <f t="shared" si="4"/>
        <v>8005.9356023929686</v>
      </c>
      <c r="M16">
        <f t="shared" si="4"/>
        <v>8745.3321196487323</v>
      </c>
    </row>
    <row r="17" spans="1:14" x14ac:dyDescent="0.3">
      <c r="A17" t="s">
        <v>29</v>
      </c>
      <c r="D17" s="2">
        <v>8522</v>
      </c>
      <c r="E17" s="2">
        <v>12275</v>
      </c>
      <c r="F17" s="2">
        <v>13286</v>
      </c>
      <c r="H17" s="1" t="s">
        <v>49</v>
      </c>
      <c r="I17" s="1">
        <f>I14*(1-I13/100)+I11-I15-I36</f>
        <v>26938.679856146398</v>
      </c>
      <c r="J17" s="1">
        <f t="shared" ref="J17:M17" si="5">J14*(1-J13/100)+J11-J15-J36</f>
        <v>29096.964790588481</v>
      </c>
      <c r="K17" s="1">
        <f t="shared" si="5"/>
        <v>31454.580377065162</v>
      </c>
      <c r="L17" s="1">
        <f t="shared" si="5"/>
        <v>34029.936005461204</v>
      </c>
      <c r="M17" s="1">
        <f t="shared" si="5"/>
        <v>36843.141284029545</v>
      </c>
      <c r="N17" s="1">
        <f>L21</f>
        <v>1163874.5201801155</v>
      </c>
    </row>
    <row r="18" spans="1:14" x14ac:dyDescent="0.3">
      <c r="A18" t="s">
        <v>30</v>
      </c>
      <c r="D18" s="2">
        <v>2441</v>
      </c>
      <c r="E18" s="2">
        <v>2388</v>
      </c>
      <c r="F18" s="2">
        <v>2498</v>
      </c>
    </row>
    <row r="19" spans="1:14" x14ac:dyDescent="0.3">
      <c r="A19" t="s">
        <v>3</v>
      </c>
      <c r="D19">
        <f>D4-D8-D6</f>
        <v>10560</v>
      </c>
      <c r="E19">
        <f>E4-E8-E6</f>
        <v>13148</v>
      </c>
      <c r="F19">
        <f>F4-F8-F6</f>
        <v>13985</v>
      </c>
      <c r="J19" t="s">
        <v>46</v>
      </c>
      <c r="L19">
        <v>20</v>
      </c>
    </row>
    <row r="20" spans="1:14" x14ac:dyDescent="0.3">
      <c r="A20" t="s">
        <v>28</v>
      </c>
      <c r="D20" s="2"/>
      <c r="E20" s="2"/>
      <c r="F20" s="2"/>
      <c r="J20" t="s">
        <v>47</v>
      </c>
    </row>
    <row r="21" spans="1:14" x14ac:dyDescent="0.3">
      <c r="A21" t="s">
        <v>4</v>
      </c>
      <c r="D21" s="2">
        <v>5724</v>
      </c>
      <c r="E21" s="2">
        <v>10848</v>
      </c>
      <c r="F21" s="2">
        <v>10105</v>
      </c>
      <c r="J21" t="s">
        <v>48</v>
      </c>
      <c r="L21">
        <f>L19*(M14+M11)</f>
        <v>1163874.5201801155</v>
      </c>
    </row>
    <row r="22" spans="1:14" x14ac:dyDescent="0.3">
      <c r="A22" t="s">
        <v>40</v>
      </c>
      <c r="D22" s="2">
        <f>403+2395</f>
        <v>2798</v>
      </c>
      <c r="E22" s="2">
        <f>3025-1598</f>
        <v>1427</v>
      </c>
      <c r="F22" s="2">
        <f>3216-35</f>
        <v>3181</v>
      </c>
    </row>
    <row r="24" spans="1:14" x14ac:dyDescent="0.3">
      <c r="A24" s="1" t="s">
        <v>15</v>
      </c>
      <c r="B24" s="1"/>
    </row>
    <row r="25" spans="1:14" x14ac:dyDescent="0.3">
      <c r="A25" t="s">
        <v>5</v>
      </c>
      <c r="D25" s="2">
        <v>104081</v>
      </c>
      <c r="E25" s="2">
        <v>107804</v>
      </c>
      <c r="F25" s="2">
        <v>124052</v>
      </c>
    </row>
    <row r="26" spans="1:14" x14ac:dyDescent="0.3">
      <c r="A26" t="s">
        <v>6</v>
      </c>
      <c r="D26" s="2">
        <v>42974</v>
      </c>
      <c r="E26" s="2">
        <v>38556</v>
      </c>
      <c r="F26" s="2">
        <v>46943</v>
      </c>
    </row>
    <row r="27" spans="1:14" x14ac:dyDescent="0.3">
      <c r="A27" t="s">
        <v>7</v>
      </c>
      <c r="D27" s="2">
        <v>61107</v>
      </c>
      <c r="E27" s="2">
        <v>69248</v>
      </c>
      <c r="F27" s="2">
        <v>77109</v>
      </c>
    </row>
    <row r="28" spans="1:14" x14ac:dyDescent="0.3">
      <c r="A28" t="s">
        <v>26</v>
      </c>
      <c r="D28" s="2">
        <v>34552</v>
      </c>
      <c r="E28" s="2">
        <v>31507</v>
      </c>
      <c r="F28" s="2">
        <v>36751</v>
      </c>
    </row>
    <row r="29" spans="1:14" x14ac:dyDescent="0.3">
      <c r="A29" t="s">
        <v>27</v>
      </c>
      <c r="D29" s="2">
        <v>11892</v>
      </c>
      <c r="E29" s="2">
        <v>12433</v>
      </c>
      <c r="F29" s="2">
        <v>13702</v>
      </c>
    </row>
    <row r="30" spans="1:14" x14ac:dyDescent="0.3">
      <c r="B30" t="s">
        <v>37</v>
      </c>
      <c r="D30" s="3">
        <f>D28-D29</f>
        <v>22660</v>
      </c>
      <c r="E30" s="3">
        <f t="shared" ref="E30:F30" si="6">E28-E29</f>
        <v>19074</v>
      </c>
      <c r="F30" s="3">
        <f t="shared" si="6"/>
        <v>23049</v>
      </c>
      <c r="G30" s="3"/>
    </row>
    <row r="31" spans="1:14" x14ac:dyDescent="0.3">
      <c r="B31" t="s">
        <v>38</v>
      </c>
      <c r="D31" s="3"/>
      <c r="E31" s="3">
        <f>(E30-D30)</f>
        <v>-3586</v>
      </c>
      <c r="F31" s="3">
        <f>F30-E30</f>
        <v>3975</v>
      </c>
      <c r="G31" s="4">
        <f>AVERAGE(E31:F31)</f>
        <v>194.5</v>
      </c>
      <c r="I31">
        <f>$G$31</f>
        <v>194.5</v>
      </c>
      <c r="J31">
        <f t="shared" ref="J31:M31" si="7">$G$31</f>
        <v>194.5</v>
      </c>
      <c r="K31">
        <f t="shared" si="7"/>
        <v>194.5</v>
      </c>
      <c r="L31">
        <f t="shared" si="7"/>
        <v>194.5</v>
      </c>
      <c r="M31">
        <f t="shared" si="7"/>
        <v>194.5</v>
      </c>
    </row>
    <row r="32" spans="1:14" x14ac:dyDescent="0.3">
      <c r="A32" t="s">
        <v>8</v>
      </c>
      <c r="D32" s="2">
        <v>19082</v>
      </c>
      <c r="E32" s="2">
        <v>15201</v>
      </c>
      <c r="F32" s="2">
        <v>17855</v>
      </c>
    </row>
    <row r="34" spans="1:13" x14ac:dyDescent="0.3">
      <c r="A34" s="1" t="s">
        <v>13</v>
      </c>
      <c r="B34" s="1"/>
    </row>
    <row r="35" spans="1:13" x14ac:dyDescent="0.3">
      <c r="A35" t="s">
        <v>9</v>
      </c>
      <c r="D35" s="2">
        <v>12009</v>
      </c>
      <c r="E35" s="2">
        <v>12245</v>
      </c>
      <c r="F35" s="2">
        <v>11914</v>
      </c>
    </row>
    <row r="36" spans="1:13" x14ac:dyDescent="0.3">
      <c r="A36" t="s">
        <v>10</v>
      </c>
      <c r="D36" s="2">
        <v>5235</v>
      </c>
      <c r="E36" s="2">
        <v>3960</v>
      </c>
      <c r="F36" s="2">
        <v>6210</v>
      </c>
      <c r="I36">
        <f>$G$37*I4/100</f>
        <v>6142.1362772188686</v>
      </c>
      <c r="J36">
        <f>$G$37*J4/100</f>
        <v>6709.399667462535</v>
      </c>
      <c r="K36">
        <f>$G$37*K4/100</f>
        <v>7329.0532586700356</v>
      </c>
      <c r="L36">
        <f>$G$37*L4/100</f>
        <v>8005.9356023929686</v>
      </c>
      <c r="M36">
        <f>$G$37*M4/100</f>
        <v>8745.3321196487323</v>
      </c>
    </row>
    <row r="37" spans="1:13" x14ac:dyDescent="0.3">
      <c r="B37" t="s">
        <v>36</v>
      </c>
      <c r="D37">
        <f>D36*100/D4</f>
        <v>8.5842188114915388</v>
      </c>
      <c r="E37">
        <f>E36*100/E4</f>
        <v>6.0690585296326383</v>
      </c>
      <c r="F37">
        <f>F36*100/F4</f>
        <v>8.5374907201187824</v>
      </c>
      <c r="G37" s="4">
        <f>AVERAGE(D37:F37)</f>
        <v>7.7302560204143198</v>
      </c>
    </row>
    <row r="38" spans="1:13" x14ac:dyDescent="0.3">
      <c r="A38" t="s">
        <v>11</v>
      </c>
      <c r="D38" s="2">
        <v>5766</v>
      </c>
      <c r="E38" s="2">
        <v>7786</v>
      </c>
      <c r="F38" s="2">
        <v>2970</v>
      </c>
    </row>
    <row r="39" spans="1:13" x14ac:dyDescent="0.3">
      <c r="A39" t="s">
        <v>12</v>
      </c>
      <c r="D39">
        <f>D35-D36</f>
        <v>6774</v>
      </c>
      <c r="E39">
        <f t="shared" ref="E39:F39" si="8">E35-E36</f>
        <v>8285</v>
      </c>
      <c r="F39">
        <f t="shared" si="8"/>
        <v>5704</v>
      </c>
    </row>
    <row r="40" spans="1:13" x14ac:dyDescent="0.3">
      <c r="B40" t="s">
        <v>39</v>
      </c>
      <c r="D40">
        <f>D19-D36-D31</f>
        <v>5325</v>
      </c>
    </row>
    <row r="42" spans="1:13" x14ac:dyDescent="0.3">
      <c r="B42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D13"/>
  <sheetViews>
    <sheetView workbookViewId="0">
      <selection activeCell="D4" sqref="D4"/>
    </sheetView>
  </sheetViews>
  <sheetFormatPr defaultRowHeight="14.4" x14ac:dyDescent="0.3"/>
  <cols>
    <col min="3" max="3" width="15.5546875" customWidth="1"/>
  </cols>
  <sheetData>
    <row r="2" spans="1:4" x14ac:dyDescent="0.3">
      <c r="A2" t="s">
        <v>52</v>
      </c>
    </row>
    <row r="4" spans="1:4" x14ac:dyDescent="0.3">
      <c r="A4" t="s">
        <v>53</v>
      </c>
      <c r="C4" s="6">
        <v>11.7</v>
      </c>
      <c r="D4" t="s">
        <v>51</v>
      </c>
    </row>
    <row r="6" spans="1:4" x14ac:dyDescent="0.3">
      <c r="A6" t="s">
        <v>54</v>
      </c>
      <c r="C6" s="7">
        <f>NPV(C4,Projection!I17:N17)</f>
        <v>2318.6102645429814</v>
      </c>
    </row>
    <row r="7" spans="1:4" x14ac:dyDescent="0.3">
      <c r="A7" t="s">
        <v>54</v>
      </c>
      <c r="C7" s="6">
        <f>Projection!I17/(1+0.117)+Projection!J17/(1.117)^2+(Projection!K17/1.117^3)+(Projection!L17/1.117^4)+(Projection!M17/1.117^5)+(Projection!N17/1.117^6)</f>
        <v>712276.39297847997</v>
      </c>
    </row>
    <row r="8" spans="1:4" x14ac:dyDescent="0.3">
      <c r="A8" t="s">
        <v>55</v>
      </c>
      <c r="C8">
        <v>2761</v>
      </c>
    </row>
    <row r="9" spans="1:4" x14ac:dyDescent="0.3">
      <c r="A9" t="s">
        <v>56</v>
      </c>
      <c r="C9">
        <f>17855+1702</f>
        <v>19557</v>
      </c>
    </row>
    <row r="11" spans="1:4" x14ac:dyDescent="0.3">
      <c r="A11" s="1" t="s">
        <v>58</v>
      </c>
      <c r="B11" s="1"/>
      <c r="C11" s="1">
        <v>143</v>
      </c>
    </row>
    <row r="12" spans="1:4" x14ac:dyDescent="0.3">
      <c r="A12" s="1" t="s">
        <v>57</v>
      </c>
      <c r="B12" s="1"/>
      <c r="C12" s="1">
        <f>C7+C8-C9</f>
        <v>695480.39297847997</v>
      </c>
    </row>
    <row r="13" spans="1:4" x14ac:dyDescent="0.3">
      <c r="A13" s="1" t="s">
        <v>59</v>
      </c>
      <c r="B13" s="1"/>
      <c r="C13" s="1">
        <f>C12/C11</f>
        <v>4863.4992515977619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Financials</vt:lpstr>
      <vt:lpstr>Projection</vt:lpstr>
      <vt:lpstr>NPV Calculation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Harsshh Wankhayday</dc:creator>
  <cp:lastModifiedBy>Wankhayday Harsshh Promoad</cp:lastModifiedBy>
  <cp:lastPrinted>2024-08-16T12:42:32Z</cp:lastPrinted>
  <dcterms:created xsi:type="dcterms:W3CDTF">2024-08-10T06:08:46Z</dcterms:created>
  <dcterms:modified xsi:type="dcterms:W3CDTF">2024-08-17T18:57:59Z</dcterms:modified>
</cp:coreProperties>
</file>