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 S1\Akademik\SKRIPSI!!!!!!!!!!!!!!!!!!!\Skripsi Harun\Fixed Excels\"/>
    </mc:Choice>
  </mc:AlternateContent>
  <bookViews>
    <workbookView xWindow="0" yWindow="0" windowWidth="20490" windowHeight="7755" firstSheet="2" activeTab="2"/>
  </bookViews>
  <sheets>
    <sheet name="Core Parameter" sheetId="7" r:id="rId1"/>
    <sheet name="Geometri" sheetId="5" r:id="rId2"/>
    <sheet name="Suhu Gap dan Cladding" sheetId="9" r:id="rId3"/>
    <sheet name="Fraksi Volume" sheetId="10" r:id="rId4"/>
    <sheet name="HD FIX" sheetId="11" r:id="rId5"/>
    <sheet name="Nuklida FA 1" sheetId="1" r:id="rId6"/>
    <sheet name="Nuklida FA 2" sheetId="3" r:id="rId7"/>
    <sheet name="Hasil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I8" i="1"/>
  <c r="B5" i="1"/>
  <c r="B6" i="11" l="1"/>
  <c r="B15" i="11"/>
  <c r="B16" i="11"/>
  <c r="K4" i="10" l="1"/>
  <c r="L4" i="10"/>
  <c r="K8" i="10"/>
  <c r="L8" i="10" s="1"/>
  <c r="K11" i="10"/>
  <c r="L11" i="10"/>
  <c r="H23" i="3"/>
  <c r="C6" i="11"/>
  <c r="C17" i="11" s="1"/>
  <c r="C18" i="11" s="1"/>
  <c r="U9" i="8"/>
  <c r="U10" i="8" s="1"/>
  <c r="U11" i="8" s="1"/>
  <c r="U12" i="8" s="1"/>
  <c r="U13" i="8" s="1"/>
  <c r="B17" i="11"/>
  <c r="B18" i="11" s="1"/>
  <c r="B5" i="3"/>
  <c r="G4" i="3"/>
  <c r="H4" i="3" s="1"/>
  <c r="I4" i="3" s="1"/>
  <c r="C3" i="11"/>
  <c r="B3" i="11"/>
  <c r="F4" i="5"/>
  <c r="F6" i="5" s="1"/>
  <c r="C6" i="5"/>
  <c r="E25" i="5"/>
  <c r="C13" i="5"/>
  <c r="C14" i="5" s="1"/>
  <c r="C36" i="5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7" i="8"/>
  <c r="X9" i="8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B5" i="9"/>
  <c r="B6" i="9"/>
  <c r="G1" i="9" s="1"/>
  <c r="G2" i="9"/>
  <c r="I17" i="9" s="1"/>
  <c r="G17" i="9"/>
  <c r="H17" i="9"/>
  <c r="B9" i="9"/>
  <c r="G3" i="9"/>
  <c r="J17" i="9"/>
  <c r="M17" i="9"/>
  <c r="N17" i="9"/>
  <c r="O17" i="9"/>
  <c r="C17" i="9"/>
  <c r="D17" i="9" s="1"/>
  <c r="AJ10" i="8"/>
  <c r="F16" i="5"/>
  <c r="B57" i="3"/>
  <c r="E17" i="9"/>
  <c r="AF10" i="8"/>
  <c r="O9" i="8"/>
  <c r="O10" i="8"/>
  <c r="O11" i="8" s="1"/>
  <c r="F19" i="5"/>
  <c r="AF8" i="8"/>
  <c r="AG8" i="8"/>
  <c r="AH8" i="8"/>
  <c r="AJ8" i="8"/>
  <c r="AF9" i="8"/>
  <c r="AG9" i="8"/>
  <c r="AH9" i="8"/>
  <c r="AJ9" i="8"/>
  <c r="AG10" i="8"/>
  <c r="AH10" i="8"/>
  <c r="AF11" i="8"/>
  <c r="AG11" i="8"/>
  <c r="AH11" i="8"/>
  <c r="AJ11" i="8"/>
  <c r="AF12" i="8"/>
  <c r="AG12" i="8"/>
  <c r="AH12" i="8"/>
  <c r="AJ12" i="8"/>
  <c r="AF13" i="8"/>
  <c r="AG13" i="8"/>
  <c r="AH13" i="8"/>
  <c r="AJ13" i="8"/>
  <c r="AF14" i="8"/>
  <c r="AG14" i="8"/>
  <c r="AH14" i="8"/>
  <c r="AJ14" i="8"/>
  <c r="AF15" i="8"/>
  <c r="AG15" i="8"/>
  <c r="AH15" i="8"/>
  <c r="AJ15" i="8"/>
  <c r="AF16" i="8"/>
  <c r="AG16" i="8"/>
  <c r="AH16" i="8"/>
  <c r="AJ16" i="8"/>
  <c r="AF17" i="8"/>
  <c r="AG17" i="8"/>
  <c r="AH17" i="8"/>
  <c r="AJ17" i="8"/>
  <c r="AF18" i="8"/>
  <c r="AG18" i="8"/>
  <c r="AH18" i="8"/>
  <c r="AJ18" i="8"/>
  <c r="AF19" i="8"/>
  <c r="AG19" i="8"/>
  <c r="AH19" i="8"/>
  <c r="AJ19" i="8"/>
  <c r="AF20" i="8"/>
  <c r="AG20" i="8"/>
  <c r="AH20" i="8"/>
  <c r="AJ20" i="8"/>
  <c r="AF21" i="8"/>
  <c r="AG21" i="8"/>
  <c r="AH21" i="8"/>
  <c r="AJ21" i="8"/>
  <c r="AF22" i="8"/>
  <c r="AG22" i="8"/>
  <c r="AH22" i="8"/>
  <c r="AJ22" i="8"/>
  <c r="AF23" i="8"/>
  <c r="AG23" i="8"/>
  <c r="AH23" i="8"/>
  <c r="AJ23" i="8"/>
  <c r="AF24" i="8"/>
  <c r="AG24" i="8"/>
  <c r="AH24" i="8"/>
  <c r="AJ24" i="8"/>
  <c r="AF25" i="8"/>
  <c r="AG25" i="8"/>
  <c r="AH25" i="8"/>
  <c r="AJ25" i="8"/>
  <c r="AF26" i="8"/>
  <c r="AG26" i="8"/>
  <c r="AH26" i="8"/>
  <c r="AJ26" i="8"/>
  <c r="AF27" i="8"/>
  <c r="AG27" i="8"/>
  <c r="AH27" i="8"/>
  <c r="AJ27" i="8"/>
  <c r="AF28" i="8"/>
  <c r="AG28" i="8"/>
  <c r="AH28" i="8"/>
  <c r="AJ28" i="8"/>
  <c r="AF29" i="8"/>
  <c r="AG29" i="8"/>
  <c r="AH29" i="8"/>
  <c r="AJ29" i="8"/>
  <c r="AF30" i="8"/>
  <c r="AG30" i="8"/>
  <c r="AH30" i="8"/>
  <c r="AJ30" i="8"/>
  <c r="AF31" i="8"/>
  <c r="AG31" i="8"/>
  <c r="AH31" i="8"/>
  <c r="AJ31" i="8"/>
  <c r="AF32" i="8"/>
  <c r="AG32" i="8"/>
  <c r="AH32" i="8"/>
  <c r="AJ32" i="8"/>
  <c r="AF33" i="8"/>
  <c r="AG33" i="8"/>
  <c r="AH33" i="8"/>
  <c r="AJ33" i="8"/>
  <c r="AF34" i="8"/>
  <c r="AG34" i="8"/>
  <c r="AH34" i="8"/>
  <c r="AJ34" i="8"/>
  <c r="AF35" i="8"/>
  <c r="AG35" i="8"/>
  <c r="AH35" i="8"/>
  <c r="AJ35" i="8"/>
  <c r="AF36" i="8"/>
  <c r="AG36" i="8"/>
  <c r="AH36" i="8"/>
  <c r="AJ36" i="8"/>
  <c r="AF37" i="8"/>
  <c r="AG37" i="8"/>
  <c r="AH37" i="8"/>
  <c r="AJ37" i="8"/>
  <c r="AF38" i="8"/>
  <c r="AG38" i="8"/>
  <c r="AH38" i="8"/>
  <c r="AJ38" i="8"/>
  <c r="AF39" i="8"/>
  <c r="AG39" i="8"/>
  <c r="AH39" i="8"/>
  <c r="AJ39" i="8"/>
  <c r="AF40" i="8"/>
  <c r="AG40" i="8"/>
  <c r="AH40" i="8"/>
  <c r="AJ40" i="8"/>
  <c r="AF41" i="8"/>
  <c r="AG41" i="8"/>
  <c r="AH41" i="8"/>
  <c r="AJ41" i="8"/>
  <c r="AF42" i="8"/>
  <c r="AG42" i="8"/>
  <c r="AH42" i="8"/>
  <c r="AJ42" i="8"/>
  <c r="AF43" i="8"/>
  <c r="AG43" i="8"/>
  <c r="AH43" i="8"/>
  <c r="AJ43" i="8"/>
  <c r="AF44" i="8"/>
  <c r="AG44" i="8"/>
  <c r="AH44" i="8"/>
  <c r="AJ44" i="8"/>
  <c r="AF45" i="8"/>
  <c r="AG45" i="8"/>
  <c r="AH45" i="8"/>
  <c r="AJ45" i="8"/>
  <c r="AF7" i="8"/>
  <c r="AG7" i="8"/>
  <c r="AH7" i="8"/>
  <c r="AJ7" i="8"/>
  <c r="AE8" i="8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5" i="8" s="1"/>
  <c r="AA9" i="8"/>
  <c r="AA10" i="8" s="1"/>
  <c r="AA11" i="8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U14" i="8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6" i="8" s="1"/>
  <c r="R9" i="8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O12" i="8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AE44" i="8"/>
  <c r="U45" i="8"/>
  <c r="D65" i="3"/>
  <c r="D66" i="3"/>
  <c r="D67" i="3"/>
  <c r="D68" i="3"/>
  <c r="D69" i="3"/>
  <c r="D70" i="3"/>
  <c r="D71" i="3"/>
  <c r="D64" i="3"/>
  <c r="E12" i="10"/>
  <c r="E11" i="10"/>
  <c r="F11" i="10" s="1"/>
  <c r="E10" i="10"/>
  <c r="C9" i="10"/>
  <c r="E8" i="10"/>
  <c r="F8" i="10" s="1"/>
  <c r="H8" i="10" s="1"/>
  <c r="E6" i="10"/>
  <c r="C5" i="10"/>
  <c r="E4" i="10" s="1"/>
  <c r="F4" i="10" s="1"/>
  <c r="U18" i="9"/>
  <c r="T4" i="9"/>
  <c r="U17" i="9"/>
  <c r="U19" i="9" s="1"/>
  <c r="U21" i="9"/>
  <c r="U24" i="9" s="1"/>
  <c r="T3" i="9"/>
  <c r="T5" i="9"/>
  <c r="D72" i="3"/>
  <c r="F61" i="3" s="1"/>
  <c r="H4" i="10"/>
  <c r="F17" i="9"/>
  <c r="H67" i="3"/>
  <c r="H70" i="3"/>
  <c r="G5" i="8"/>
  <c r="H5" i="8"/>
  <c r="G6" i="8"/>
  <c r="H6" i="8"/>
  <c r="G7" i="8"/>
  <c r="H7" i="8" s="1"/>
  <c r="G8" i="8"/>
  <c r="H8" i="8" s="1"/>
  <c r="G9" i="8"/>
  <c r="H9" i="8" s="1"/>
  <c r="G10" i="8"/>
  <c r="H10" i="8"/>
  <c r="G11" i="8"/>
  <c r="H11" i="8" s="1"/>
  <c r="G12" i="8"/>
  <c r="H12" i="8"/>
  <c r="G13" i="8"/>
  <c r="H13" i="8"/>
  <c r="G14" i="8"/>
  <c r="H14" i="8" s="1"/>
  <c r="G15" i="8"/>
  <c r="H15" i="8"/>
  <c r="G16" i="8"/>
  <c r="H16" i="8"/>
  <c r="G17" i="8"/>
  <c r="H17" i="8" s="1"/>
  <c r="G18" i="8"/>
  <c r="H18" i="8"/>
  <c r="G19" i="8"/>
  <c r="H19" i="8"/>
  <c r="G20" i="8"/>
  <c r="H20" i="8"/>
  <c r="G21" i="8"/>
  <c r="H21" i="8"/>
  <c r="G22" i="8"/>
  <c r="H22" i="8" s="1"/>
  <c r="G23" i="8"/>
  <c r="H23" i="8"/>
  <c r="G24" i="8"/>
  <c r="H24" i="8"/>
  <c r="G25" i="8"/>
  <c r="H25" i="8"/>
  <c r="G26" i="8"/>
  <c r="H26" i="8"/>
  <c r="G27" i="8"/>
  <c r="H27" i="8"/>
  <c r="G28" i="8"/>
  <c r="H28" i="8" s="1"/>
  <c r="G29" i="8"/>
  <c r="H29" i="8"/>
  <c r="G30" i="8"/>
  <c r="H30" i="8" s="1"/>
  <c r="G31" i="8"/>
  <c r="H31" i="8"/>
  <c r="G32" i="8"/>
  <c r="H32" i="8"/>
  <c r="G33" i="8"/>
  <c r="H33" i="8"/>
  <c r="G34" i="8"/>
  <c r="H34" i="8" s="1"/>
  <c r="G35" i="8"/>
  <c r="H35" i="8"/>
  <c r="G36" i="8"/>
  <c r="H36" i="8"/>
  <c r="G37" i="8"/>
  <c r="H37" i="8"/>
  <c r="G38" i="8"/>
  <c r="H38" i="8" s="1"/>
  <c r="G39" i="8"/>
  <c r="H39" i="8"/>
  <c r="G40" i="8"/>
  <c r="H40" i="8" s="1"/>
  <c r="G41" i="8"/>
  <c r="H41" i="8"/>
  <c r="G42" i="8"/>
  <c r="H42" i="8" s="1"/>
  <c r="G43" i="8"/>
  <c r="H43" i="8"/>
  <c r="G44" i="8"/>
  <c r="H44" i="8" s="1"/>
  <c r="G45" i="8"/>
  <c r="H45" i="8"/>
  <c r="G46" i="8"/>
  <c r="H46" i="8" s="1"/>
  <c r="G47" i="8"/>
  <c r="H47" i="8"/>
  <c r="G48" i="8"/>
  <c r="H48" i="8"/>
  <c r="G49" i="8"/>
  <c r="H49" i="8" s="1"/>
  <c r="G50" i="8"/>
  <c r="H50" i="8" s="1"/>
  <c r="G51" i="8"/>
  <c r="H51" i="8"/>
  <c r="G52" i="8"/>
  <c r="H52" i="8" s="1"/>
  <c r="G53" i="8"/>
  <c r="H53" i="8" s="1"/>
  <c r="G54" i="8"/>
  <c r="H54" i="8"/>
  <c r="G55" i="8"/>
  <c r="H55" i="8" s="1"/>
  <c r="G56" i="8"/>
  <c r="H56" i="8"/>
  <c r="G57" i="8"/>
  <c r="H57" i="8"/>
  <c r="G58" i="8"/>
  <c r="H58" i="8"/>
  <c r="G59" i="8"/>
  <c r="H59" i="8"/>
  <c r="G60" i="8"/>
  <c r="H60" i="8" s="1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9" i="8"/>
  <c r="H69" i="8"/>
  <c r="G68" i="8"/>
  <c r="H68" i="8"/>
  <c r="F7" i="7"/>
  <c r="F6" i="7"/>
  <c r="F54" i="7"/>
  <c r="F53" i="7"/>
  <c r="F51" i="7"/>
  <c r="B49" i="7"/>
  <c r="D45" i="7"/>
  <c r="D44" i="7"/>
  <c r="D43" i="7"/>
  <c r="D35" i="7"/>
  <c r="D34" i="7"/>
  <c r="D29" i="7"/>
  <c r="D28" i="7"/>
  <c r="D27" i="7"/>
  <c r="D26" i="7"/>
  <c r="D24" i="7"/>
  <c r="D17" i="7"/>
  <c r="D15" i="7"/>
  <c r="D14" i="7"/>
  <c r="D13" i="7"/>
  <c r="D5" i="7"/>
  <c r="D4" i="7"/>
  <c r="F22" i="5"/>
  <c r="C20" i="5"/>
  <c r="H17" i="1"/>
  <c r="F38" i="3"/>
  <c r="H42" i="3" s="1"/>
  <c r="B53" i="3"/>
  <c r="B52" i="3"/>
  <c r="D52" i="3" s="1"/>
  <c r="B51" i="3"/>
  <c r="B50" i="3"/>
  <c r="B49" i="3"/>
  <c r="D49" i="3" s="1"/>
  <c r="B48" i="3"/>
  <c r="D48" i="3" s="1"/>
  <c r="B47" i="3"/>
  <c r="D51" i="3"/>
  <c r="H41" i="3"/>
  <c r="D50" i="3"/>
  <c r="B46" i="3"/>
  <c r="D47" i="3"/>
  <c r="D20" i="1"/>
  <c r="B39" i="1"/>
  <c r="B38" i="1"/>
  <c r="D38" i="1" s="1"/>
  <c r="B37" i="1"/>
  <c r="D37" i="1" s="1"/>
  <c r="B36" i="1"/>
  <c r="B35" i="1"/>
  <c r="B34" i="1"/>
  <c r="B33" i="1"/>
  <c r="D33" i="1" s="1"/>
  <c r="D34" i="1"/>
  <c r="D35" i="1"/>
  <c r="D39" i="1"/>
  <c r="D36" i="1"/>
  <c r="B32" i="1"/>
  <c r="F11" i="5"/>
  <c r="F13" i="5" s="1"/>
  <c r="D32" i="1"/>
  <c r="G4" i="5"/>
  <c r="H5" i="5" s="1"/>
  <c r="C21" i="5"/>
  <c r="C12" i="5"/>
  <c r="D38" i="3"/>
  <c r="D37" i="3"/>
  <c r="D36" i="3"/>
  <c r="D35" i="3"/>
  <c r="D34" i="3"/>
  <c r="D21" i="1"/>
  <c r="D22" i="1"/>
  <c r="D23" i="1"/>
  <c r="D24" i="1"/>
  <c r="F32" i="1"/>
  <c r="G5" i="1"/>
  <c r="H35" i="1"/>
  <c r="H36" i="1"/>
  <c r="H5" i="1"/>
  <c r="D25" i="1"/>
  <c r="D39" i="3"/>
  <c r="I10" i="1"/>
  <c r="H10" i="1"/>
  <c r="I9" i="1"/>
  <c r="H9" i="1"/>
  <c r="F27" i="3"/>
  <c r="J27" i="3"/>
  <c r="F21" i="1"/>
  <c r="J21" i="1"/>
  <c r="L31" i="3"/>
  <c r="H33" i="3"/>
  <c r="L32" i="3"/>
  <c r="H34" i="3"/>
  <c r="H31" i="3"/>
  <c r="L25" i="1"/>
  <c r="L26" i="1"/>
  <c r="H25" i="1"/>
  <c r="H26" i="1"/>
  <c r="H24" i="1" l="1"/>
  <c r="L27" i="1"/>
  <c r="H28" i="1"/>
  <c r="L28" i="1"/>
  <c r="H27" i="1"/>
  <c r="D40" i="1"/>
  <c r="F40" i="1" s="1"/>
  <c r="L24" i="1"/>
  <c r="L30" i="3"/>
  <c r="H30" i="3"/>
  <c r="L34" i="3"/>
  <c r="H32" i="3"/>
  <c r="L33" i="3"/>
  <c r="O45" i="8"/>
  <c r="O46" i="8"/>
  <c r="D46" i="3"/>
  <c r="D54" i="3" s="1"/>
  <c r="F46" i="3" s="1"/>
  <c r="D53" i="3"/>
  <c r="F8" i="7"/>
  <c r="F9" i="7" s="1"/>
  <c r="H8" i="1"/>
  <c r="AA45" i="8"/>
  <c r="AA46" i="8"/>
  <c r="R45" i="8"/>
  <c r="R46" i="8"/>
  <c r="H64" i="3"/>
  <c r="H65" i="3"/>
  <c r="H68" i="3"/>
  <c r="H69" i="3"/>
  <c r="H66" i="3"/>
  <c r="H71" i="3"/>
  <c r="K17" i="9"/>
  <c r="X45" i="8"/>
  <c r="X46" i="8"/>
  <c r="G70" i="8"/>
  <c r="H70" i="8" s="1"/>
  <c r="F71" i="8"/>
  <c r="H11" i="3"/>
  <c r="I11" i="3" s="1"/>
  <c r="H14" i="3"/>
  <c r="I14" i="3" s="1"/>
  <c r="H8" i="3"/>
  <c r="I8" i="3" s="1"/>
  <c r="M8" i="10"/>
  <c r="N8" i="10" s="1"/>
  <c r="O8" i="10" s="1"/>
  <c r="P8" i="10" s="1"/>
  <c r="C10" i="11" s="1"/>
  <c r="C11" i="11" s="1"/>
  <c r="H10" i="3"/>
  <c r="N4" i="10"/>
  <c r="O4" i="10" s="1"/>
  <c r="P4" i="10" s="1"/>
  <c r="B10" i="11" s="1"/>
  <c r="B11" i="11" s="1"/>
  <c r="B12" i="11" s="1"/>
  <c r="P17" i="9"/>
  <c r="C15" i="5"/>
  <c r="C32" i="5" s="1"/>
  <c r="C24" i="5" s="1"/>
  <c r="C33" i="5"/>
  <c r="C34" i="5" s="1"/>
  <c r="C35" i="5" s="1"/>
  <c r="N11" i="10"/>
  <c r="H16" i="3"/>
  <c r="I16" i="3" s="1"/>
  <c r="H13" i="3"/>
  <c r="I13" i="3" s="1"/>
  <c r="M4" i="10"/>
  <c r="H15" i="3"/>
  <c r="I15" i="3" s="1"/>
  <c r="H12" i="3"/>
  <c r="I12" i="3" s="1"/>
  <c r="H9" i="3"/>
  <c r="I9" i="3" s="1"/>
  <c r="G71" i="8" l="1"/>
  <c r="H71" i="8" s="1"/>
  <c r="F72" i="8"/>
  <c r="L18" i="9"/>
  <c r="B18" i="9"/>
  <c r="H45" i="1"/>
  <c r="H50" i="1"/>
  <c r="H47" i="1"/>
  <c r="H46" i="1"/>
  <c r="H44" i="1"/>
  <c r="H48" i="1"/>
  <c r="H49" i="1"/>
  <c r="I7" i="3"/>
  <c r="I10" i="3"/>
  <c r="C29" i="5"/>
  <c r="C26" i="5"/>
  <c r="C27" i="5"/>
  <c r="C30" i="5"/>
  <c r="C31" i="5"/>
  <c r="C28" i="5"/>
  <c r="C25" i="5"/>
  <c r="H54" i="3"/>
  <c r="H51" i="3"/>
  <c r="H50" i="3"/>
  <c r="H52" i="3"/>
  <c r="H53" i="3"/>
  <c r="H55" i="3"/>
  <c r="H56" i="3"/>
  <c r="H49" i="3"/>
  <c r="H43" i="1"/>
  <c r="C18" i="9" l="1"/>
  <c r="D18" i="9" s="1"/>
  <c r="G18" i="9"/>
  <c r="E18" i="9"/>
  <c r="M18" i="9"/>
  <c r="N18" i="9" s="1"/>
  <c r="O18" i="9"/>
  <c r="F73" i="8"/>
  <c r="G72" i="8"/>
  <c r="H72" i="8" s="1"/>
  <c r="P18" i="9" l="1"/>
  <c r="F74" i="8"/>
  <c r="G73" i="8"/>
  <c r="H73" i="8" s="1"/>
  <c r="H18" i="9"/>
  <c r="I18" i="9" s="1"/>
  <c r="J18" i="9"/>
  <c r="Q18" i="9"/>
  <c r="F18" i="9"/>
  <c r="G74" i="8" l="1"/>
  <c r="H74" i="8" s="1"/>
  <c r="F75" i="8"/>
  <c r="K18" i="9"/>
  <c r="L19" i="9" s="1"/>
  <c r="G75" i="8" l="1"/>
  <c r="H75" i="8" s="1"/>
  <c r="F76" i="8"/>
  <c r="B19" i="9"/>
  <c r="M19" i="9"/>
  <c r="N19" i="9" s="1"/>
  <c r="O19" i="9"/>
  <c r="F77" i="8" l="1"/>
  <c r="G76" i="8"/>
  <c r="H76" i="8" s="1"/>
  <c r="P19" i="9"/>
  <c r="E19" i="9"/>
  <c r="G19" i="9"/>
  <c r="C19" i="9"/>
  <c r="D19" i="9" s="1"/>
  <c r="F19" i="9" l="1"/>
  <c r="J19" i="9"/>
  <c r="Q19" i="9"/>
  <c r="H19" i="9"/>
  <c r="I19" i="9" s="1"/>
  <c r="K19" i="9" s="1"/>
  <c r="L20" i="9" s="1"/>
  <c r="F78" i="8"/>
  <c r="G77" i="8"/>
  <c r="H77" i="8" s="1"/>
  <c r="M20" i="9" l="1"/>
  <c r="N20" i="9" s="1"/>
  <c r="O20" i="9"/>
  <c r="G78" i="8"/>
  <c r="H78" i="8" s="1"/>
  <c r="F79" i="8"/>
  <c r="B20" i="9"/>
  <c r="G79" i="8" l="1"/>
  <c r="H79" i="8" s="1"/>
  <c r="F80" i="8"/>
  <c r="E20" i="9"/>
  <c r="C20" i="9"/>
  <c r="D20" i="9" s="1"/>
  <c r="F20" i="9" s="1"/>
  <c r="G20" i="9"/>
  <c r="P20" i="9"/>
  <c r="F81" i="8" l="1"/>
  <c r="G80" i="8"/>
  <c r="H80" i="8" s="1"/>
  <c r="J20" i="9"/>
  <c r="H20" i="9"/>
  <c r="I20" i="9" s="1"/>
  <c r="Q20" i="9"/>
  <c r="F82" i="8" l="1"/>
  <c r="G81" i="8"/>
  <c r="H81" i="8" s="1"/>
  <c r="K20" i="9"/>
  <c r="L21" i="9" l="1"/>
  <c r="B21" i="9"/>
  <c r="G82" i="8"/>
  <c r="H82" i="8" s="1"/>
  <c r="F83" i="8"/>
  <c r="G83" i="8" l="1"/>
  <c r="H83" i="8" s="1"/>
  <c r="F84" i="8"/>
  <c r="E21" i="9"/>
  <c r="G21" i="9"/>
  <c r="C21" i="9"/>
  <c r="D21" i="9" s="1"/>
  <c r="F21" i="9" s="1"/>
  <c r="M21" i="9"/>
  <c r="N21" i="9" s="1"/>
  <c r="P21" i="9" s="1"/>
  <c r="O21" i="9"/>
  <c r="J21" i="9" l="1"/>
  <c r="Q21" i="9"/>
  <c r="H21" i="9"/>
  <c r="I21" i="9" s="1"/>
  <c r="F85" i="8"/>
  <c r="G84" i="8"/>
  <c r="H84" i="8" s="1"/>
  <c r="K21" i="9" l="1"/>
  <c r="F86" i="8"/>
  <c r="G85" i="8"/>
  <c r="H85" i="8" s="1"/>
  <c r="L22" i="9" l="1"/>
  <c r="B22" i="9"/>
  <c r="G86" i="8"/>
  <c r="H86" i="8" s="1"/>
  <c r="F87" i="8"/>
  <c r="G22" i="9" l="1"/>
  <c r="C22" i="9"/>
  <c r="D22" i="9" s="1"/>
  <c r="E22" i="9"/>
  <c r="G87" i="8"/>
  <c r="H87" i="8" s="1"/>
  <c r="F88" i="8"/>
  <c r="M22" i="9"/>
  <c r="N22" i="9" s="1"/>
  <c r="P22" i="9" s="1"/>
  <c r="O22" i="9"/>
  <c r="F22" i="9" l="1"/>
  <c r="F89" i="8"/>
  <c r="G88" i="8"/>
  <c r="H88" i="8" s="1"/>
  <c r="J22" i="9"/>
  <c r="Q22" i="9"/>
  <c r="H22" i="9"/>
  <c r="I22" i="9" s="1"/>
  <c r="K22" i="9" s="1"/>
  <c r="L23" i="9" s="1"/>
  <c r="M23" i="9" l="1"/>
  <c r="N23" i="9" s="1"/>
  <c r="P23" i="9" s="1"/>
  <c r="O23" i="9"/>
  <c r="F90" i="8"/>
  <c r="G89" i="8"/>
  <c r="H89" i="8" s="1"/>
  <c r="B23" i="9"/>
  <c r="G90" i="8" l="1"/>
  <c r="H90" i="8" s="1"/>
  <c r="F91" i="8"/>
  <c r="C23" i="9"/>
  <c r="D23" i="9" s="1"/>
  <c r="F23" i="9" s="1"/>
  <c r="G23" i="9"/>
  <c r="E23" i="9"/>
  <c r="G91" i="8" l="1"/>
  <c r="H91" i="8" s="1"/>
  <c r="F92" i="8"/>
  <c r="H23" i="9"/>
  <c r="I23" i="9" s="1"/>
  <c r="Q23" i="9"/>
  <c r="J23" i="9"/>
  <c r="K23" i="9" l="1"/>
  <c r="F93" i="8"/>
  <c r="G93" i="8" s="1"/>
  <c r="H93" i="8" s="1"/>
  <c r="G92" i="8"/>
  <c r="H92" i="8" s="1"/>
  <c r="L24" i="9" l="1"/>
  <c r="B24" i="9"/>
  <c r="G24" i="9" l="1"/>
  <c r="E24" i="9"/>
  <c r="C24" i="9"/>
  <c r="D24" i="9" s="1"/>
  <c r="F24" i="9" s="1"/>
  <c r="M24" i="9"/>
  <c r="N24" i="9" s="1"/>
  <c r="P24" i="9" s="1"/>
  <c r="O24" i="9"/>
  <c r="J24" i="9" l="1"/>
  <c r="H24" i="9"/>
  <c r="I24" i="9" s="1"/>
  <c r="K24" i="9" s="1"/>
  <c r="L25" i="9" s="1"/>
  <c r="Q24" i="9"/>
  <c r="M25" i="9" l="1"/>
  <c r="N25" i="9" s="1"/>
  <c r="O25" i="9"/>
  <c r="B25" i="9"/>
  <c r="G25" i="9" l="1"/>
  <c r="C25" i="9"/>
  <c r="D25" i="9" s="1"/>
  <c r="F25" i="9" s="1"/>
  <c r="E25" i="9"/>
  <c r="P25" i="9"/>
  <c r="Q25" i="9" l="1"/>
  <c r="H25" i="9"/>
  <c r="I25" i="9" s="1"/>
  <c r="K25" i="9" s="1"/>
  <c r="L26" i="9" s="1"/>
  <c r="J25" i="9"/>
  <c r="B26" i="9" l="1"/>
  <c r="M26" i="9"/>
  <c r="N26" i="9" s="1"/>
  <c r="P26" i="9" s="1"/>
  <c r="O26" i="9"/>
  <c r="G26" i="9" l="1"/>
  <c r="E26" i="9"/>
  <c r="C26" i="9"/>
  <c r="D26" i="9" s="1"/>
  <c r="H26" i="9" l="1"/>
  <c r="I26" i="9" s="1"/>
  <c r="K26" i="9" s="1"/>
  <c r="L27" i="9" s="1"/>
  <c r="Q26" i="9"/>
  <c r="J26" i="9"/>
  <c r="F26" i="9"/>
  <c r="B27" i="9" l="1"/>
  <c r="O27" i="9"/>
  <c r="M27" i="9"/>
  <c r="N27" i="9" s="1"/>
  <c r="P27" i="9" l="1"/>
  <c r="E27" i="9"/>
  <c r="C27" i="9"/>
  <c r="D27" i="9" s="1"/>
  <c r="G27" i="9"/>
  <c r="H27" i="9" l="1"/>
  <c r="I27" i="9" s="1"/>
  <c r="J27" i="9"/>
  <c r="Q27" i="9"/>
  <c r="F27" i="9"/>
  <c r="K27" i="9" l="1"/>
  <c r="L28" i="9" s="1"/>
  <c r="M28" i="9" l="1"/>
  <c r="N28" i="9" s="1"/>
  <c r="O28" i="9"/>
  <c r="B28" i="9"/>
  <c r="P28" i="9" l="1"/>
  <c r="C28" i="9"/>
  <c r="D28" i="9" s="1"/>
  <c r="F28" i="9" s="1"/>
  <c r="G28" i="9"/>
  <c r="E28" i="9"/>
  <c r="H28" i="9" l="1"/>
  <c r="I28" i="9" s="1"/>
  <c r="K28" i="9" s="1"/>
  <c r="L29" i="9" s="1"/>
  <c r="J28" i="9"/>
  <c r="Q28" i="9"/>
  <c r="O29" i="9" l="1"/>
  <c r="M29" i="9"/>
  <c r="N29" i="9" s="1"/>
  <c r="P29" i="9" s="1"/>
  <c r="B29" i="9"/>
  <c r="E29" i="9" l="1"/>
  <c r="C29" i="9"/>
  <c r="D29" i="9" s="1"/>
  <c r="F29" i="9" s="1"/>
  <c r="G29" i="9"/>
  <c r="Q29" i="9" l="1"/>
  <c r="H29" i="9"/>
  <c r="I29" i="9" s="1"/>
  <c r="J29" i="9"/>
  <c r="K29" i="9" l="1"/>
  <c r="L30" i="9" l="1"/>
  <c r="B30" i="9"/>
  <c r="E30" i="9" l="1"/>
  <c r="C30" i="9"/>
  <c r="D30" i="9" s="1"/>
  <c r="F30" i="9" s="1"/>
  <c r="G30" i="9"/>
  <c r="O30" i="9"/>
  <c r="M30" i="9"/>
  <c r="N30" i="9" s="1"/>
  <c r="Q30" i="9" l="1"/>
  <c r="J30" i="9"/>
  <c r="H30" i="9"/>
  <c r="I30" i="9" s="1"/>
  <c r="P30" i="9"/>
  <c r="K30" i="9" l="1"/>
  <c r="L31" i="9" l="1"/>
  <c r="B31" i="9"/>
  <c r="G31" i="9" l="1"/>
  <c r="C31" i="9"/>
  <c r="D31" i="9" s="1"/>
  <c r="F31" i="9" s="1"/>
  <c r="E31" i="9"/>
  <c r="O31" i="9"/>
  <c r="M31" i="9"/>
  <c r="N31" i="9" s="1"/>
  <c r="P31" i="9" s="1"/>
  <c r="H31" i="9" l="1"/>
  <c r="I31" i="9" s="1"/>
  <c r="J31" i="9"/>
  <c r="Q31" i="9"/>
  <c r="K31" i="9" l="1"/>
  <c r="L32" i="9" l="1"/>
  <c r="B32" i="9"/>
  <c r="E32" i="9" l="1"/>
  <c r="C32" i="9"/>
  <c r="D32" i="9" s="1"/>
  <c r="F32" i="9" s="1"/>
  <c r="G32" i="9"/>
  <c r="M32" i="9"/>
  <c r="N32" i="9" s="1"/>
  <c r="P32" i="9" s="1"/>
  <c r="O32" i="9"/>
  <c r="H32" i="9" l="1"/>
  <c r="I32" i="9" s="1"/>
  <c r="Q32" i="9"/>
  <c r="J32" i="9"/>
  <c r="K32" i="9" l="1"/>
  <c r="L33" i="9" l="1"/>
  <c r="B33" i="9"/>
  <c r="G33" i="9" l="1"/>
  <c r="C33" i="9"/>
  <c r="D33" i="9" s="1"/>
  <c r="F33" i="9" s="1"/>
  <c r="E33" i="9"/>
  <c r="O33" i="9"/>
  <c r="M33" i="9"/>
  <c r="N33" i="9" s="1"/>
  <c r="P33" i="9" s="1"/>
  <c r="H33" i="9" l="1"/>
  <c r="I33" i="9" s="1"/>
  <c r="J33" i="9"/>
  <c r="Q33" i="9"/>
  <c r="K33" i="9" l="1"/>
  <c r="L34" i="9" l="1"/>
  <c r="B34" i="9"/>
  <c r="M34" i="9" l="1"/>
  <c r="N34" i="9" s="1"/>
  <c r="O34" i="9"/>
  <c r="C34" i="9"/>
  <c r="D34" i="9" s="1"/>
  <c r="F34" i="9" s="1"/>
  <c r="E34" i="9"/>
  <c r="G34" i="9"/>
  <c r="P34" i="9" l="1"/>
  <c r="Q34" i="9"/>
  <c r="H34" i="9"/>
  <c r="I34" i="9" s="1"/>
  <c r="J34" i="9"/>
  <c r="K34" i="9" l="1"/>
  <c r="L35" i="9" l="1"/>
  <c r="B35" i="9"/>
  <c r="C35" i="9" l="1"/>
  <c r="D35" i="9" s="1"/>
  <c r="F35" i="9" s="1"/>
  <c r="E35" i="9"/>
  <c r="G35" i="9"/>
  <c r="M35" i="9"/>
  <c r="N35" i="9" s="1"/>
  <c r="O35" i="9"/>
  <c r="P35" i="9" l="1"/>
  <c r="J35" i="9"/>
  <c r="Q35" i="9"/>
  <c r="H35" i="9"/>
  <c r="I35" i="9" s="1"/>
  <c r="K35" i="9" l="1"/>
  <c r="L36" i="9" l="1"/>
  <c r="B36" i="9"/>
  <c r="C36" i="9" l="1"/>
  <c r="D36" i="9" s="1"/>
  <c r="E36" i="9"/>
  <c r="G36" i="9"/>
  <c r="M36" i="9"/>
  <c r="N36" i="9" s="1"/>
  <c r="P36" i="9" s="1"/>
  <c r="O36" i="9"/>
  <c r="J36" i="9" l="1"/>
  <c r="Q36" i="9"/>
  <c r="H36" i="9"/>
  <c r="I36" i="9" s="1"/>
  <c r="K36" i="9" s="1"/>
  <c r="L37" i="9" s="1"/>
  <c r="F36" i="9"/>
  <c r="B37" i="9" l="1"/>
  <c r="M37" i="9"/>
  <c r="N37" i="9" s="1"/>
  <c r="O37" i="9"/>
  <c r="P37" i="9" l="1"/>
  <c r="C37" i="9"/>
  <c r="D37" i="9" s="1"/>
  <c r="F37" i="9" s="1"/>
  <c r="E37" i="9"/>
  <c r="G37" i="9"/>
  <c r="J37" i="9" l="1"/>
  <c r="Q37" i="9"/>
  <c r="H37" i="9"/>
  <c r="I37" i="9" s="1"/>
  <c r="K37" i="9" l="1"/>
  <c r="L38" i="9" l="1"/>
  <c r="B38" i="9"/>
  <c r="C38" i="9" l="1"/>
  <c r="D38" i="9" s="1"/>
  <c r="E38" i="9"/>
  <c r="G38" i="9"/>
  <c r="M38" i="9"/>
  <c r="N38" i="9" s="1"/>
  <c r="P38" i="9" s="1"/>
  <c r="O38" i="9"/>
  <c r="H38" i="9" l="1"/>
  <c r="I38" i="9" s="1"/>
  <c r="Q38" i="9"/>
  <c r="J38" i="9"/>
  <c r="F38" i="9"/>
  <c r="K38" i="9" l="1"/>
  <c r="L39" i="9" s="1"/>
  <c r="M39" i="9" l="1"/>
  <c r="N39" i="9" s="1"/>
  <c r="O39" i="9"/>
  <c r="B39" i="9"/>
  <c r="G39" i="9" l="1"/>
  <c r="C39" i="9"/>
  <c r="D39" i="9" s="1"/>
  <c r="F39" i="9" s="1"/>
  <c r="E39" i="9"/>
  <c r="P39" i="9"/>
  <c r="Q39" i="9" l="1"/>
  <c r="H39" i="9"/>
  <c r="I39" i="9" s="1"/>
  <c r="J39" i="9"/>
  <c r="K39" i="9" l="1"/>
  <c r="L40" i="9" l="1"/>
  <c r="B40" i="9"/>
  <c r="G40" i="9" l="1"/>
  <c r="E40" i="9"/>
  <c r="C40" i="9"/>
  <c r="D40" i="9" s="1"/>
  <c r="O40" i="9"/>
  <c r="M40" i="9"/>
  <c r="N40" i="9" s="1"/>
  <c r="F40" i="9" l="1"/>
  <c r="P40" i="9"/>
  <c r="Q40" i="9"/>
  <c r="J40" i="9"/>
  <c r="H40" i="9"/>
  <c r="I40" i="9" s="1"/>
  <c r="K40" i="9" l="1"/>
  <c r="L41" i="9" s="1"/>
  <c r="B41" i="9"/>
  <c r="C41" i="9" l="1"/>
  <c r="D41" i="9" s="1"/>
  <c r="F41" i="9" s="1"/>
  <c r="E41" i="9"/>
  <c r="G41" i="9"/>
  <c r="M41" i="9"/>
  <c r="N41" i="9" s="1"/>
  <c r="O41" i="9"/>
  <c r="P41" i="9" l="1"/>
  <c r="J41" i="9"/>
  <c r="H41" i="9"/>
  <c r="I41" i="9" s="1"/>
  <c r="K41" i="9" s="1"/>
  <c r="L42" i="9" s="1"/>
  <c r="Q41" i="9"/>
  <c r="O42" i="9" l="1"/>
  <c r="M42" i="9"/>
  <c r="N42" i="9" s="1"/>
  <c r="P42" i="9" s="1"/>
  <c r="B42" i="9"/>
  <c r="G42" i="9" l="1"/>
  <c r="C42" i="9"/>
  <c r="D42" i="9" s="1"/>
  <c r="F42" i="9" s="1"/>
  <c r="E42" i="9"/>
  <c r="J42" i="9" l="1"/>
  <c r="Q42" i="9"/>
  <c r="H42" i="9"/>
  <c r="I42" i="9" s="1"/>
  <c r="K42" i="9" s="1"/>
  <c r="L43" i="9" s="1"/>
  <c r="O43" i="9" l="1"/>
  <c r="M43" i="9"/>
  <c r="N43" i="9" s="1"/>
  <c r="P43" i="9" s="1"/>
  <c r="B43" i="9"/>
  <c r="C43" i="9" l="1"/>
  <c r="D43" i="9" s="1"/>
  <c r="F43" i="9" s="1"/>
  <c r="G43" i="9"/>
  <c r="E43" i="9"/>
  <c r="H43" i="9" l="1"/>
  <c r="I43" i="9" s="1"/>
  <c r="K43" i="9" s="1"/>
  <c r="L44" i="9" s="1"/>
  <c r="J43" i="9"/>
  <c r="Q43" i="9"/>
  <c r="O44" i="9" l="1"/>
  <c r="M44" i="9"/>
  <c r="N44" i="9" s="1"/>
  <c r="P44" i="9" s="1"/>
  <c r="B44" i="9"/>
  <c r="G44" i="9" l="1"/>
  <c r="E44" i="9"/>
  <c r="C44" i="9"/>
  <c r="D44" i="9" s="1"/>
  <c r="F44" i="9" s="1"/>
  <c r="Q44" i="9" l="1"/>
  <c r="J44" i="9"/>
  <c r="H44" i="9"/>
  <c r="I44" i="9" s="1"/>
  <c r="K44" i="9" s="1"/>
  <c r="L45" i="9" s="1"/>
  <c r="O45" i="9" l="1"/>
  <c r="M45" i="9"/>
  <c r="N45" i="9" s="1"/>
  <c r="P45" i="9" s="1"/>
  <c r="B45" i="9"/>
  <c r="G45" i="9" l="1"/>
  <c r="E45" i="9"/>
  <c r="C45" i="9"/>
  <c r="D45" i="9" s="1"/>
  <c r="J45" i="9" l="1"/>
  <c r="Q45" i="9"/>
  <c r="H45" i="9"/>
  <c r="I45" i="9" s="1"/>
  <c r="F45" i="9"/>
  <c r="K45" i="9" l="1"/>
  <c r="L46" i="9" s="1"/>
  <c r="O46" i="9" l="1"/>
  <c r="M46" i="9"/>
  <c r="N46" i="9" s="1"/>
  <c r="P46" i="9" s="1"/>
  <c r="B46" i="9"/>
  <c r="G46" i="9" l="1"/>
  <c r="C46" i="9"/>
  <c r="D46" i="9" s="1"/>
  <c r="F46" i="9" s="1"/>
  <c r="E46" i="9"/>
  <c r="J46" i="9" l="1"/>
  <c r="Q46" i="9"/>
  <c r="H46" i="9"/>
  <c r="I46" i="9" s="1"/>
  <c r="K46" i="9" l="1"/>
  <c r="L47" i="9" l="1"/>
  <c r="B47" i="9"/>
  <c r="E47" i="9" l="1"/>
  <c r="C47" i="9"/>
  <c r="D47" i="9" s="1"/>
  <c r="F47" i="9" s="1"/>
  <c r="G47" i="9"/>
  <c r="O47" i="9"/>
  <c r="M47" i="9"/>
  <c r="N47" i="9" s="1"/>
  <c r="H47" i="9" l="1"/>
  <c r="I47" i="9" s="1"/>
  <c r="J47" i="9"/>
  <c r="Q47" i="9"/>
  <c r="P47" i="9"/>
  <c r="K47" i="9" l="1"/>
  <c r="L48" i="9" l="1"/>
  <c r="B48" i="9"/>
  <c r="E48" i="9" l="1"/>
  <c r="C48" i="9"/>
  <c r="D48" i="9" s="1"/>
  <c r="F48" i="9" s="1"/>
  <c r="G48" i="9"/>
  <c r="O48" i="9"/>
  <c r="M48" i="9"/>
  <c r="N48" i="9" s="1"/>
  <c r="Q48" i="9" l="1"/>
  <c r="H48" i="9"/>
  <c r="I48" i="9" s="1"/>
  <c r="J48" i="9"/>
  <c r="P48" i="9"/>
  <c r="K48" i="9" l="1"/>
  <c r="L49" i="9" l="1"/>
  <c r="B49" i="9"/>
  <c r="E49" i="9" l="1"/>
  <c r="C49" i="9"/>
  <c r="D49" i="9" s="1"/>
  <c r="F49" i="9" s="1"/>
  <c r="G49" i="9"/>
  <c r="M49" i="9"/>
  <c r="N49" i="9" s="1"/>
  <c r="P49" i="9" s="1"/>
  <c r="O49" i="9"/>
  <c r="H49" i="9" l="1"/>
  <c r="I49" i="9" s="1"/>
  <c r="Q49" i="9"/>
  <c r="J49" i="9"/>
  <c r="K49" i="9" l="1"/>
  <c r="L50" i="9" l="1"/>
  <c r="B50" i="9"/>
  <c r="G50" i="9" l="1"/>
  <c r="C50" i="9"/>
  <c r="D50" i="9" s="1"/>
  <c r="F50" i="9" s="1"/>
  <c r="E50" i="9"/>
  <c r="O50" i="9"/>
  <c r="M50" i="9"/>
  <c r="N50" i="9" s="1"/>
  <c r="P50" i="9" l="1"/>
  <c r="Q50" i="9"/>
  <c r="J50" i="9"/>
  <c r="H50" i="9"/>
  <c r="I50" i="9" s="1"/>
  <c r="K50" i="9" l="1"/>
  <c r="L51" i="9" l="1"/>
  <c r="B51" i="9"/>
  <c r="E51" i="9" l="1"/>
  <c r="G51" i="9"/>
  <c r="C51" i="9"/>
  <c r="D51" i="9" s="1"/>
  <c r="F51" i="9" s="1"/>
  <c r="O51" i="9"/>
  <c r="M51" i="9"/>
  <c r="N51" i="9" s="1"/>
  <c r="J51" i="9" l="1"/>
  <c r="H51" i="9"/>
  <c r="I51" i="9" s="1"/>
  <c r="K51" i="9" s="1"/>
  <c r="L52" i="9" s="1"/>
  <c r="Q51" i="9"/>
  <c r="P51" i="9"/>
  <c r="M52" i="9" l="1"/>
  <c r="N52" i="9" s="1"/>
  <c r="O52" i="9"/>
  <c r="B52" i="9"/>
  <c r="C52" i="9" l="1"/>
  <c r="D52" i="9" s="1"/>
  <c r="G52" i="9"/>
  <c r="E52" i="9"/>
  <c r="P52" i="9"/>
  <c r="Q52" i="9" l="1"/>
  <c r="J52" i="9"/>
  <c r="H52" i="9"/>
  <c r="I52" i="9" s="1"/>
  <c r="K52" i="9" s="1"/>
  <c r="L53" i="9" s="1"/>
  <c r="F52" i="9"/>
  <c r="B53" i="9" l="1"/>
  <c r="O53" i="9"/>
  <c r="M53" i="9"/>
  <c r="N53" i="9" s="1"/>
  <c r="P53" i="9" s="1"/>
  <c r="E53" i="9" l="1"/>
  <c r="G53" i="9"/>
  <c r="C53" i="9"/>
  <c r="D53" i="9" s="1"/>
  <c r="F53" i="9" s="1"/>
  <c r="J53" i="9" l="1"/>
  <c r="H53" i="9"/>
  <c r="I53" i="9" s="1"/>
  <c r="Q53" i="9"/>
  <c r="K53" i="9" l="1"/>
  <c r="L54" i="9" l="1"/>
  <c r="B54" i="9"/>
  <c r="E54" i="9" l="1"/>
  <c r="G54" i="9"/>
  <c r="C54" i="9"/>
  <c r="D54" i="9" s="1"/>
  <c r="F54" i="9" s="1"/>
  <c r="M54" i="9"/>
  <c r="N54" i="9" s="1"/>
  <c r="P54" i="9" s="1"/>
  <c r="O54" i="9"/>
  <c r="H54" i="9" l="1"/>
  <c r="I54" i="9" s="1"/>
  <c r="Q54" i="9"/>
  <c r="J54" i="9"/>
  <c r="K54" i="9" l="1"/>
  <c r="L55" i="9" l="1"/>
  <c r="B55" i="9"/>
  <c r="C55" i="9" l="1"/>
  <c r="D55" i="9" s="1"/>
  <c r="F55" i="9" s="1"/>
  <c r="E55" i="9"/>
  <c r="G55" i="9"/>
  <c r="M55" i="9"/>
  <c r="N55" i="9" s="1"/>
  <c r="O55" i="9"/>
  <c r="P55" i="9" l="1"/>
  <c r="J55" i="9"/>
  <c r="H55" i="9"/>
  <c r="I55" i="9" s="1"/>
  <c r="K55" i="9" s="1"/>
  <c r="L56" i="9" s="1"/>
  <c r="Q55" i="9"/>
  <c r="O56" i="9" l="1"/>
  <c r="M56" i="9"/>
  <c r="N56" i="9" s="1"/>
  <c r="P56" i="9" s="1"/>
  <c r="B56" i="9"/>
  <c r="E56" i="9" l="1"/>
  <c r="G56" i="9"/>
  <c r="C56" i="9"/>
  <c r="D56" i="9" s="1"/>
  <c r="F56" i="9" s="1"/>
  <c r="Q56" i="9" l="1"/>
  <c r="H56" i="9"/>
  <c r="I56" i="9" s="1"/>
  <c r="J56" i="9"/>
  <c r="K56" i="9" l="1"/>
  <c r="L57" i="9" l="1"/>
  <c r="B57" i="9"/>
  <c r="G57" i="9" l="1"/>
  <c r="C57" i="9"/>
  <c r="D57" i="9" s="1"/>
  <c r="E57" i="9"/>
  <c r="M57" i="9"/>
  <c r="N57" i="9" s="1"/>
  <c r="P57" i="9" s="1"/>
  <c r="O57" i="9"/>
  <c r="F57" i="9" l="1"/>
  <c r="H57" i="9"/>
  <c r="I57" i="9" s="1"/>
  <c r="Q57" i="9"/>
  <c r="J57" i="9"/>
  <c r="K57" i="9" l="1"/>
  <c r="L58" i="9" s="1"/>
  <c r="B58" i="9"/>
  <c r="C58" i="9" l="1"/>
  <c r="D58" i="9" s="1"/>
  <c r="G58" i="9"/>
  <c r="E58" i="9"/>
  <c r="M58" i="9"/>
  <c r="N58" i="9" s="1"/>
  <c r="O58" i="9"/>
  <c r="P58" i="9" l="1"/>
  <c r="J58" i="9"/>
  <c r="H58" i="9"/>
  <c r="I58" i="9" s="1"/>
  <c r="K58" i="9" s="1"/>
  <c r="L59" i="9" s="1"/>
  <c r="Q58" i="9"/>
  <c r="F58" i="9"/>
  <c r="O59" i="9" l="1"/>
  <c r="M59" i="9"/>
  <c r="N59" i="9" s="1"/>
  <c r="P59" i="9" s="1"/>
  <c r="B59" i="9"/>
  <c r="C59" i="9" l="1"/>
  <c r="D59" i="9" s="1"/>
  <c r="E59" i="9"/>
  <c r="G59" i="9"/>
  <c r="H59" i="9" l="1"/>
  <c r="I59" i="9" s="1"/>
  <c r="J59" i="9"/>
  <c r="Q59" i="9"/>
  <c r="F59" i="9"/>
  <c r="K59" i="9" l="1"/>
  <c r="L60" i="9" s="1"/>
  <c r="M60" i="9" l="1"/>
  <c r="N60" i="9" s="1"/>
  <c r="O60" i="9"/>
  <c r="B60" i="9"/>
  <c r="P60" i="9" l="1"/>
  <c r="G60" i="9"/>
  <c r="C60" i="9"/>
  <c r="D60" i="9" s="1"/>
  <c r="F60" i="9" s="1"/>
  <c r="E60" i="9"/>
  <c r="Q60" i="9" l="1"/>
  <c r="H60" i="9"/>
  <c r="I60" i="9" s="1"/>
  <c r="K60" i="9" s="1"/>
  <c r="L61" i="9" s="1"/>
  <c r="J60" i="9"/>
  <c r="B61" i="9" l="1"/>
  <c r="M61" i="9"/>
  <c r="N61" i="9" s="1"/>
  <c r="P61" i="9" s="1"/>
  <c r="O61" i="9"/>
  <c r="C61" i="9" l="1"/>
  <c r="D61" i="9" s="1"/>
  <c r="E61" i="9"/>
  <c r="G61" i="9"/>
  <c r="F61" i="9" l="1"/>
  <c r="B62" i="9" s="1"/>
  <c r="Q61" i="9"/>
  <c r="H61" i="9"/>
  <c r="I61" i="9" s="1"/>
  <c r="K61" i="9" s="1"/>
  <c r="L62" i="9" s="1"/>
  <c r="J61" i="9"/>
  <c r="M62" i="9" l="1"/>
  <c r="N62" i="9" s="1"/>
  <c r="O62" i="9"/>
  <c r="E62" i="9"/>
  <c r="G62" i="9"/>
  <c r="C62" i="9"/>
  <c r="D62" i="9" s="1"/>
  <c r="F62" i="9" s="1"/>
  <c r="P62" i="9" l="1"/>
  <c r="H62" i="9"/>
  <c r="I62" i="9" s="1"/>
  <c r="K62" i="9" s="1"/>
  <c r="L63" i="9" s="1"/>
  <c r="J62" i="9"/>
  <c r="Q62" i="9"/>
  <c r="M63" i="9" l="1"/>
  <c r="N63" i="9" s="1"/>
  <c r="O63" i="9"/>
  <c r="B63" i="9"/>
  <c r="C63" i="9" l="1"/>
  <c r="D63" i="9" s="1"/>
  <c r="E63" i="9"/>
  <c r="G63" i="9"/>
  <c r="P63" i="9"/>
  <c r="J63" i="9" l="1"/>
  <c r="H63" i="9"/>
  <c r="I63" i="9" s="1"/>
  <c r="K63" i="9" s="1"/>
  <c r="L64" i="9" s="1"/>
  <c r="Q63" i="9"/>
  <c r="F63" i="9"/>
  <c r="B64" i="9" s="1"/>
  <c r="O64" i="9" l="1"/>
  <c r="M64" i="9"/>
  <c r="N64" i="9" s="1"/>
  <c r="P64" i="9" s="1"/>
  <c r="E64" i="9"/>
  <c r="G64" i="9"/>
  <c r="C64" i="9"/>
  <c r="D64" i="9" s="1"/>
  <c r="Q64" i="9" l="1"/>
  <c r="H64" i="9"/>
  <c r="I64" i="9" s="1"/>
  <c r="K64" i="9" s="1"/>
  <c r="L65" i="9" s="1"/>
  <c r="J64" i="9"/>
  <c r="F64" i="9"/>
  <c r="B65" i="9" l="1"/>
  <c r="M65" i="9"/>
  <c r="N65" i="9" s="1"/>
  <c r="P65" i="9" s="1"/>
  <c r="O65" i="9"/>
  <c r="G65" i="9" l="1"/>
  <c r="C65" i="9"/>
  <c r="D65" i="9" s="1"/>
  <c r="F65" i="9" s="1"/>
  <c r="E65" i="9"/>
  <c r="J65" i="9" l="1"/>
  <c r="H65" i="9"/>
  <c r="I65" i="9" s="1"/>
  <c r="K65" i="9" s="1"/>
  <c r="L66" i="9" s="1"/>
  <c r="Q65" i="9"/>
  <c r="M66" i="9" l="1"/>
  <c r="N66" i="9" s="1"/>
  <c r="P66" i="9" s="1"/>
  <c r="O66" i="9"/>
  <c r="B66" i="9"/>
  <c r="E66" i="9" l="1"/>
  <c r="C66" i="9"/>
  <c r="D66" i="9" s="1"/>
  <c r="F66" i="9" s="1"/>
  <c r="G66" i="9"/>
  <c r="T26" i="9" l="1"/>
  <c r="Q66" i="9"/>
  <c r="H66" i="9"/>
  <c r="I66" i="9" s="1"/>
  <c r="C68" i="9"/>
  <c r="J66" i="9"/>
  <c r="K66" i="9" l="1"/>
</calcChain>
</file>

<file path=xl/sharedStrings.xml><?xml version="1.0" encoding="utf-8"?>
<sst xmlns="http://schemas.openxmlformats.org/spreadsheetml/2006/main" count="811" uniqueCount="371">
  <si>
    <t>Data Dasar</t>
  </si>
  <si>
    <t>Parameter</t>
  </si>
  <si>
    <t>Nilai</t>
  </si>
  <si>
    <t>Satuan</t>
  </si>
  <si>
    <t>Sumber</t>
  </si>
  <si>
    <t>Avogadro</t>
  </si>
  <si>
    <t>partikel/mol</t>
  </si>
  <si>
    <t>Data NIST</t>
  </si>
  <si>
    <t>Theoretical Density UO2</t>
  </si>
  <si>
    <t>g/cm3</t>
  </si>
  <si>
    <t>Densitas Operasi UO2</t>
  </si>
  <si>
    <t>Suhu Rata2 Bahan Bakar</t>
  </si>
  <si>
    <t>K</t>
  </si>
  <si>
    <t>Densitas Moderator</t>
  </si>
  <si>
    <t>Suhu Rata2 Moderator</t>
  </si>
  <si>
    <t>Densitas GAP</t>
  </si>
  <si>
    <t>Suhu Rata2 GAP</t>
  </si>
  <si>
    <t>Tekanan Operasi</t>
  </si>
  <si>
    <t>psia</t>
  </si>
  <si>
    <t>Enrich (e)</t>
  </si>
  <si>
    <t>1-e</t>
  </si>
  <si>
    <t>Fuel</t>
  </si>
  <si>
    <t>GAP</t>
  </si>
  <si>
    <t>Moderator</t>
  </si>
  <si>
    <t>Mr UO2</t>
  </si>
  <si>
    <t>Mr He</t>
  </si>
  <si>
    <t>Mr H2O</t>
  </si>
  <si>
    <t>Clad</t>
  </si>
  <si>
    <t>Mr Clad</t>
  </si>
  <si>
    <t>Mr Gd</t>
  </si>
  <si>
    <t>Ar</t>
  </si>
  <si>
    <t>Cr</t>
  </si>
  <si>
    <t>Fe</t>
  </si>
  <si>
    <t>Ni</t>
  </si>
  <si>
    <t>Mr UO2-Gd2O3</t>
  </si>
  <si>
    <t>UO2</t>
  </si>
  <si>
    <t>Gd2O3</t>
  </si>
  <si>
    <t>Zirc-4</t>
  </si>
  <si>
    <t>Cladding</t>
  </si>
  <si>
    <t>Jenis</t>
  </si>
  <si>
    <t>Mr O</t>
  </si>
  <si>
    <t>Gd-152</t>
  </si>
  <si>
    <t>Gd-154</t>
  </si>
  <si>
    <t>Gd-155</t>
  </si>
  <si>
    <t>Gd-156</t>
  </si>
  <si>
    <t>Gd-157</t>
  </si>
  <si>
    <t>Gd-158</t>
  </si>
  <si>
    <t>Gd-160</t>
  </si>
  <si>
    <t>Nuklida Gd</t>
  </si>
  <si>
    <t>Persentase</t>
  </si>
  <si>
    <t>Theoretical Density UO2-Gd2O3</t>
  </si>
  <si>
    <t>Densitas Operasi UO2-Gd2O3</t>
  </si>
  <si>
    <t>Densitas</t>
  </si>
  <si>
    <t>Komposisi Cladding</t>
  </si>
  <si>
    <t>Zr</t>
  </si>
  <si>
    <t>Sn</t>
  </si>
  <si>
    <t>Diameter Luar Pin</t>
  </si>
  <si>
    <t>Diameter Dalam Pin</t>
  </si>
  <si>
    <t>Diameter Fuel</t>
  </si>
  <si>
    <t>Nilai (cm)</t>
  </si>
  <si>
    <t>Tebal Clad</t>
  </si>
  <si>
    <t>Pitch</t>
  </si>
  <si>
    <t>Pitch Ekuivalen</t>
  </si>
  <si>
    <t>Jari - Jari Cladding</t>
  </si>
  <si>
    <t>Jari - jari Gap</t>
  </si>
  <si>
    <t>Jari - Jari Fuel</t>
  </si>
  <si>
    <t>Diameter Gap</t>
  </si>
  <si>
    <t>Batas Utama R-X</t>
  </si>
  <si>
    <t>nilai (cm)</t>
  </si>
  <si>
    <t>Mean Chord Length</t>
  </si>
  <si>
    <t>Gap</t>
  </si>
  <si>
    <t>Buckling Geometri</t>
  </si>
  <si>
    <t>Jari-jari Aktif</t>
  </si>
  <si>
    <t>Tinggi Aktif</t>
  </si>
  <si>
    <t>Bg2</t>
  </si>
  <si>
    <t>Jumlah Pin Rod</t>
  </si>
  <si>
    <t>Fuel Assembly</t>
  </si>
  <si>
    <t>Sisi Dalam</t>
  </si>
  <si>
    <t>Sisi Luar</t>
  </si>
  <si>
    <t>Tebal FA</t>
  </si>
  <si>
    <t>Nuklida</t>
  </si>
  <si>
    <t>Jumlah</t>
  </si>
  <si>
    <t>Kode</t>
  </si>
  <si>
    <t>U-235</t>
  </si>
  <si>
    <t>U-238</t>
  </si>
  <si>
    <t>O</t>
  </si>
  <si>
    <t>He</t>
  </si>
  <si>
    <t>H</t>
  </si>
  <si>
    <t>Guide Tube dan Control Rod</t>
  </si>
  <si>
    <t>Struktur Fuel Assembly</t>
  </si>
  <si>
    <t>AISI 304 L stainless steel</t>
  </si>
  <si>
    <t>Komposisi</t>
  </si>
  <si>
    <t>g/cc</t>
  </si>
  <si>
    <t>C</t>
  </si>
  <si>
    <t>Mn</t>
  </si>
  <si>
    <t>P</t>
  </si>
  <si>
    <t>S</t>
  </si>
  <si>
    <t>Si</t>
  </si>
  <si>
    <t>Mr Struktur</t>
  </si>
  <si>
    <t>FUE1A010</t>
  </si>
  <si>
    <t>GAP1A020</t>
  </si>
  <si>
    <t>CLA1A030</t>
  </si>
  <si>
    <t>GCR1A030</t>
  </si>
  <si>
    <t>MOD1A040</t>
  </si>
  <si>
    <t>SFA1A050</t>
  </si>
  <si>
    <t>XU050000</t>
  </si>
  <si>
    <t>XU080000</t>
  </si>
  <si>
    <t>XO060000</t>
  </si>
  <si>
    <t>XHE40000</t>
  </si>
  <si>
    <t>XZRN0000</t>
  </si>
  <si>
    <t>XSNN0000</t>
  </si>
  <si>
    <t>XFEN0000</t>
  </si>
  <si>
    <t>XCRN0000</t>
  </si>
  <si>
    <t>XNIN0000</t>
  </si>
  <si>
    <t>XH01H000</t>
  </si>
  <si>
    <t>XMNN0000</t>
  </si>
  <si>
    <t>XSIN0000</t>
  </si>
  <si>
    <t>XC020000</t>
  </si>
  <si>
    <t>XP0N0000</t>
  </si>
  <si>
    <t>XS0N0000</t>
  </si>
  <si>
    <t>FUE2A010</t>
  </si>
  <si>
    <t>XGD20000</t>
  </si>
  <si>
    <t>XGD40000</t>
  </si>
  <si>
    <t>XGD50000</t>
  </si>
  <si>
    <t>XGD60000</t>
  </si>
  <si>
    <t>XGD70000</t>
  </si>
  <si>
    <t>XGD80000</t>
  </si>
  <si>
    <t>XGD00000</t>
  </si>
  <si>
    <t>GAP2A020</t>
  </si>
  <si>
    <t>CLA2A030</t>
  </si>
  <si>
    <t>MOD2A040</t>
  </si>
  <si>
    <t>SFA2A050</t>
  </si>
  <si>
    <t>GCR2A030</t>
  </si>
  <si>
    <t>Suhu rata2 cladding</t>
  </si>
  <si>
    <t>tinggi FA</t>
  </si>
  <si>
    <t>XMN50000</t>
  </si>
  <si>
    <t>Reflektor</t>
  </si>
  <si>
    <t>Diameter luar</t>
  </si>
  <si>
    <t>Diameter dalam</t>
  </si>
  <si>
    <t>REF1A010</t>
  </si>
  <si>
    <t>Sub-Region</t>
  </si>
  <si>
    <t>Pin Region</t>
  </si>
  <si>
    <t>Tebal Reflektor</t>
  </si>
  <si>
    <t>Jumlah Fuel Pin</t>
  </si>
  <si>
    <t>Jumlah CR</t>
  </si>
  <si>
    <t>Jumlah Guide Tube</t>
  </si>
  <si>
    <t>Fraksi Massa Gd-U</t>
  </si>
  <si>
    <t>Nilai (BU)</t>
  </si>
  <si>
    <t>Nilai SI</t>
  </si>
  <si>
    <t>Nilai yang dipakai</t>
  </si>
  <si>
    <t>Core</t>
  </si>
  <si>
    <t>Diameter</t>
  </si>
  <si>
    <t>Inch</t>
  </si>
  <si>
    <t>cm</t>
  </si>
  <si>
    <t>Active Fuel Height</t>
  </si>
  <si>
    <t>Array Batang BBN</t>
  </si>
  <si>
    <t>17x17</t>
  </si>
  <si>
    <t>Panjang</t>
  </si>
  <si>
    <t>FA Pitch</t>
  </si>
  <si>
    <t>Fuel Rod Pitch</t>
  </si>
  <si>
    <t>Jumlah Spacer</t>
  </si>
  <si>
    <t>Tinggi Spacer Grid</t>
  </si>
  <si>
    <t>Jumlah BBN Rod</t>
  </si>
  <si>
    <t>Jumlah Guide Tube per FA</t>
  </si>
  <si>
    <t>Jumlah Instrumentation Tubes per FA</t>
  </si>
  <si>
    <t>Tebal Struktur FA</t>
  </si>
  <si>
    <t>Fuel Rods</t>
  </si>
  <si>
    <t>Material Cladding</t>
  </si>
  <si>
    <t>MS*</t>
  </si>
  <si>
    <t>Zircalloy-4</t>
  </si>
  <si>
    <t>Diameter Luar Cladding</t>
  </si>
  <si>
    <t>Diameter Dalam Cladding</t>
  </si>
  <si>
    <t>Tebal Cladding</t>
  </si>
  <si>
    <t>Panjang Fuel Rod</t>
  </si>
  <si>
    <t>Fill Gas</t>
  </si>
  <si>
    <t>Helium</t>
  </si>
  <si>
    <t>Fuel Pellet</t>
  </si>
  <si>
    <t>96% TD</t>
  </si>
  <si>
    <t>Material</t>
  </si>
  <si>
    <t>UO2 (Sintered)</t>
  </si>
  <si>
    <t>Control Rod Assemblies</t>
  </si>
  <si>
    <t>Material Penyerap bagian Atas</t>
  </si>
  <si>
    <t>B4C</t>
  </si>
  <si>
    <t>Material Penyerap bagian Bawah</t>
  </si>
  <si>
    <t>Ag-In-Cd</t>
  </si>
  <si>
    <t>304 Stainless Steel</t>
  </si>
  <si>
    <t>Guide Tube</t>
  </si>
  <si>
    <t>Diameter Luar</t>
  </si>
  <si>
    <t>Diameter Dalam (diatas Dashpot)</t>
  </si>
  <si>
    <t>Diameter Dalam (di dalam Dashpot)</t>
  </si>
  <si>
    <t>Basic Core Parameter</t>
  </si>
  <si>
    <t>Daya Termal Teras</t>
  </si>
  <si>
    <t>MWt</t>
  </si>
  <si>
    <t>Panjang Fuel Cycle (sebelum harus refueling)</t>
  </si>
  <si>
    <t>Months</t>
  </si>
  <si>
    <t>Discharge burn-Up Rata-Rata</t>
  </si>
  <si>
    <t>MWd/ton</t>
  </si>
  <si>
    <t>Peak Linear Power</t>
  </si>
  <si>
    <t>kw/ft</t>
  </si>
  <si>
    <t>MW/cm</t>
  </si>
  <si>
    <t>Peak Linear Power per FA</t>
  </si>
  <si>
    <t>Tekanan Sistem Reaktor</t>
  </si>
  <si>
    <t>Suhu Fuel Pin</t>
  </si>
  <si>
    <t>F</t>
  </si>
  <si>
    <t>Suhu Inlet Coolant</t>
  </si>
  <si>
    <t>Suhu Gap</t>
  </si>
  <si>
    <t>Suhu Cladding</t>
  </si>
  <si>
    <t>Susunan 1/4 FA</t>
  </si>
  <si>
    <t>Note</t>
  </si>
  <si>
    <t>TD = Theoretical Density = 10.96 g/cm3</t>
  </si>
  <si>
    <t>=</t>
  </si>
  <si>
    <t>Angka sementara. Belum yakin nilainya</t>
  </si>
  <si>
    <t>Volume Bahan Bakar</t>
  </si>
  <si>
    <t>cm3</t>
  </si>
  <si>
    <t>Massa Bahan Bakar</t>
  </si>
  <si>
    <t>g</t>
  </si>
  <si>
    <t>Ton</t>
  </si>
  <si>
    <t>Nama</t>
  </si>
  <si>
    <t>Step</t>
  </si>
  <si>
    <t>Rentang (Jam)</t>
  </si>
  <si>
    <t>Jam</t>
  </si>
  <si>
    <t>Hari</t>
  </si>
  <si>
    <t>Tahun</t>
  </si>
  <si>
    <t>BO1C</t>
  </si>
  <si>
    <t>EO1C</t>
  </si>
  <si>
    <t>EO2C</t>
  </si>
  <si>
    <t>EO3C</t>
  </si>
  <si>
    <t>K-Eff</t>
  </si>
  <si>
    <t>CR</t>
  </si>
  <si>
    <t>note:</t>
  </si>
  <si>
    <t>step 2 diskip</t>
  </si>
  <si>
    <t>step 1 diskip</t>
  </si>
  <si>
    <t>Aktinida</t>
  </si>
  <si>
    <t>U-236</t>
  </si>
  <si>
    <t>Pu-239</t>
  </si>
  <si>
    <t>Pu-240</t>
  </si>
  <si>
    <t>Pu-241</t>
  </si>
  <si>
    <t>Pu-242</t>
  </si>
  <si>
    <t>Benchmark</t>
  </si>
  <si>
    <t>Mesh Axial</t>
  </si>
  <si>
    <t>EOL</t>
  </si>
  <si>
    <t>Relative Values</t>
  </si>
  <si>
    <t>Real Values</t>
  </si>
  <si>
    <t>Axial Power Density of Best Design</t>
  </si>
  <si>
    <t>Top</t>
  </si>
  <si>
    <t>Bottom</t>
  </si>
  <si>
    <t>Tw</t>
  </si>
  <si>
    <t>2.pi().Rcli</t>
  </si>
  <si>
    <t>Suhu Rata2 Coolant</t>
  </si>
  <si>
    <t>Tfl</t>
  </si>
  <si>
    <t>b</t>
  </si>
  <si>
    <t>Suhu Rata2 Gap</t>
  </si>
  <si>
    <t>c</t>
  </si>
  <si>
    <t>Suhu Outlet Coolant</t>
  </si>
  <si>
    <t>Suhu rata2 Cladding</t>
  </si>
  <si>
    <t>m</t>
  </si>
  <si>
    <t>Peak Linear Power Per Fuel Pin</t>
  </si>
  <si>
    <t>W/cm</t>
  </si>
  <si>
    <t>q'</t>
  </si>
  <si>
    <t>Luas Area Konveksi</t>
  </si>
  <si>
    <t>m2</t>
  </si>
  <si>
    <t>pi</t>
  </si>
  <si>
    <t>Mass Flow</t>
  </si>
  <si>
    <t>kg/s</t>
  </si>
  <si>
    <t>Jari - Jari Cladding Dalam</t>
  </si>
  <si>
    <t>Rcli</t>
  </si>
  <si>
    <t>Coolant Velocity</t>
  </si>
  <si>
    <t>m/s</t>
  </si>
  <si>
    <t>Tebal Gap</t>
  </si>
  <si>
    <t>delta</t>
  </si>
  <si>
    <t>Properties of Water at Tfl,avg</t>
  </si>
  <si>
    <t>Konstanta Stephan-Boltzmann</t>
  </si>
  <si>
    <t>sigma kecil</t>
  </si>
  <si>
    <t>Fuel Emmisivity</t>
  </si>
  <si>
    <t>epsilon f</t>
  </si>
  <si>
    <t>asumsi sama dengan UO2</t>
  </si>
  <si>
    <t>Tekanan</t>
  </si>
  <si>
    <t>Cladding Emissivity</t>
  </si>
  <si>
    <t>epsilon c</t>
  </si>
  <si>
    <t>asumsi sama dengan Zr-1%Nb Alloy</t>
  </si>
  <si>
    <t>kg/m3</t>
  </si>
  <si>
    <t>A</t>
  </si>
  <si>
    <t>Viskositas (miu)</t>
  </si>
  <si>
    <t>Pa.s</t>
  </si>
  <si>
    <t>Cp</t>
  </si>
  <si>
    <t>kJ/kg.K</t>
  </si>
  <si>
    <t>Hitung Suhu GAP</t>
  </si>
  <si>
    <t>Konduktivitas</t>
  </si>
  <si>
    <t>W/m.K</t>
  </si>
  <si>
    <t>Iterasi</t>
  </si>
  <si>
    <t>Kiri</t>
  </si>
  <si>
    <t>Tengah</t>
  </si>
  <si>
    <t>Kanan</t>
  </si>
  <si>
    <t>Error</t>
  </si>
  <si>
    <t>Tcli</t>
  </si>
  <si>
    <t>B</t>
  </si>
  <si>
    <t>Hasil</t>
  </si>
  <si>
    <t>Perhitungan h (heat coefficient)</t>
  </si>
  <si>
    <t>Re</t>
  </si>
  <si>
    <t>Pr</t>
  </si>
  <si>
    <t>Nu</t>
  </si>
  <si>
    <t>h</t>
  </si>
  <si>
    <t>Perhitung Tclo</t>
  </si>
  <si>
    <t>Tclo</t>
  </si>
  <si>
    <t>Suhu Rata2 Cladding</t>
  </si>
  <si>
    <t>Tgap</t>
  </si>
  <si>
    <t>Fuel Assembly 1</t>
  </si>
  <si>
    <t>Komponen</t>
  </si>
  <si>
    <t>Penyusun</t>
  </si>
  <si>
    <t>Pengkayaan (Wt)</t>
  </si>
  <si>
    <t>Ar Isotop</t>
  </si>
  <si>
    <t>Ar Unsur</t>
  </si>
  <si>
    <t>Mr</t>
  </si>
  <si>
    <t>Mr Fuel (g/mol)</t>
  </si>
  <si>
    <t>Densitas (g/cc)</t>
  </si>
  <si>
    <t>Asumsi Massa (g)</t>
  </si>
  <si>
    <t>Massa Komponen (g)</t>
  </si>
  <si>
    <t>Volume Komponen (cc)</t>
  </si>
  <si>
    <t>Volume Total (cc)</t>
  </si>
  <si>
    <t>Fraksi Volume</t>
  </si>
  <si>
    <t>Densitas Campuran (versi volume) (g/cc)</t>
  </si>
  <si>
    <t>Fuel Assembly 2</t>
  </si>
  <si>
    <t>Gd</t>
  </si>
  <si>
    <t>benchmark</t>
  </si>
  <si>
    <t>Banyaknya</t>
  </si>
  <si>
    <t>Tinggi</t>
  </si>
  <si>
    <t>SS304L</t>
  </si>
  <si>
    <t>Mr 304L</t>
  </si>
  <si>
    <t>Reflektor SS304L</t>
  </si>
  <si>
    <t>XP010000</t>
  </si>
  <si>
    <t>Tebal Radial</t>
  </si>
  <si>
    <t>Tebal Aksial</t>
  </si>
  <si>
    <t>Inventori Aktinida (g)</t>
  </si>
  <si>
    <t>k/delta g</t>
  </si>
  <si>
    <t>W/(cm2.K4)</t>
  </si>
  <si>
    <t>Burn Up Steps</t>
  </si>
  <si>
    <t>Average</t>
  </si>
  <si>
    <t>BOC</t>
  </si>
  <si>
    <t>MO1C</t>
  </si>
  <si>
    <t>MO2C</t>
  </si>
  <si>
    <t>MO3C</t>
  </si>
  <si>
    <t>EO4C</t>
  </si>
  <si>
    <t>varhd3</t>
  </si>
  <si>
    <t>FA 1</t>
  </si>
  <si>
    <t>FA 2</t>
  </si>
  <si>
    <t>R=165</t>
  </si>
  <si>
    <t>H/D</t>
  </si>
  <si>
    <t>y\x</t>
  </si>
  <si>
    <t>Diameter (cm)</t>
  </si>
  <si>
    <t>R</t>
  </si>
  <si>
    <t>Tinggi (cm)</t>
  </si>
  <si>
    <t>Volume (cm3)</t>
  </si>
  <si>
    <t>Jari-jari Bahan Bakar</t>
  </si>
  <si>
    <t>Jumlah FA</t>
  </si>
  <si>
    <t>Jumlah Fuel Rod/FA</t>
  </si>
  <si>
    <t>Densitas Bahan Bakar (g/cm3)</t>
  </si>
  <si>
    <t>Massa Bahan Bakar (g)</t>
  </si>
  <si>
    <t>Massa Total BBN (g)</t>
  </si>
  <si>
    <t>Massa Konstan BBN (g)</t>
  </si>
  <si>
    <t xml:space="preserve">Jumlah Node Arah Z </t>
  </si>
  <si>
    <t>Ukuran per Node</t>
  </si>
  <si>
    <t>Volume Node</t>
  </si>
  <si>
    <t>Volume BBN tiap Node</t>
  </si>
  <si>
    <t>Fraksi BBN di Node</t>
  </si>
  <si>
    <t>untuk HIST</t>
  </si>
  <si>
    <t>Untuk HIST</t>
  </si>
  <si>
    <t>Awal Tahun Ke-0</t>
  </si>
  <si>
    <t>Akhir Tahun Ke-1</t>
  </si>
  <si>
    <t>Akhir Tahun Ke-3</t>
  </si>
  <si>
    <t>Akhir Tahun Ke-5</t>
  </si>
  <si>
    <t>Akhir Tahun Ke-7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</si>
</sst>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E+00"/>
    <numFmt numFmtId="165" formatCode="0.00000E+00"/>
    <numFmt numFmtId="166" formatCode="0.000"/>
    <numFmt numFmtId="167" formatCode="0.0000000"/>
    <numFmt numFmtId="168" formatCode="0.00000000"/>
    <numFmt numFmtId="169" formatCode="0.000000000000"/>
    <numFmt numFmtId="170" formatCode="0.0000000000000"/>
    <numFmt numFmtId="171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9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4" xfId="0" applyBorder="1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165" fontId="0" fillId="0" borderId="1" xfId="0" applyNumberFormat="1" applyBorder="1"/>
    <xf numFmtId="164" fontId="0" fillId="0" borderId="7" xfId="0" applyNumberForma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0" xfId="0" applyFill="1" applyBorder="1"/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166" fontId="0" fillId="0" borderId="1" xfId="0" applyNumberFormat="1" applyBorder="1"/>
    <xf numFmtId="0" fontId="0" fillId="5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11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0" fontId="0" fillId="0" borderId="0" xfId="0" applyNumberFormat="1" applyFill="1" applyBorder="1"/>
    <xf numFmtId="0" fontId="0" fillId="0" borderId="2" xfId="0" applyNumberFormat="1" applyFill="1" applyBorder="1"/>
    <xf numFmtId="0" fontId="0" fillId="0" borderId="1" xfId="0" applyNumberFormat="1" applyFill="1" applyBorder="1"/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167" fontId="0" fillId="0" borderId="0" xfId="0" applyNumberFormat="1"/>
    <xf numFmtId="166" fontId="0" fillId="0" borderId="1" xfId="0" applyNumberFormat="1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8" xfId="0" applyNumberFormat="1" applyFont="1" applyFill="1" applyBorder="1" applyAlignment="1">
      <alignment horizontal="right"/>
    </xf>
    <xf numFmtId="0" fontId="0" fillId="0" borderId="0" xfId="0" applyNumberFormat="1" applyBorder="1"/>
    <xf numFmtId="0" fontId="0" fillId="0" borderId="1" xfId="0" applyFont="1" applyBorder="1" applyAlignment="1">
      <alignment horizontal="right" vertical="center"/>
    </xf>
    <xf numFmtId="0" fontId="0" fillId="3" borderId="2" xfId="0" applyNumberFormat="1" applyFill="1" applyBorder="1"/>
    <xf numFmtId="0" fontId="0" fillId="3" borderId="0" xfId="0" applyNumberFormat="1" applyFill="1"/>
    <xf numFmtId="0" fontId="0" fillId="0" borderId="0" xfId="0" applyAlignment="1">
      <alignment horizontal="center"/>
    </xf>
    <xf numFmtId="11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/>
    <xf numFmtId="11" fontId="0" fillId="0" borderId="1" xfId="0" applyNumberFormat="1" applyFont="1" applyFill="1" applyBorder="1" applyAlignment="1"/>
    <xf numFmtId="11" fontId="0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Border="1"/>
    <xf numFmtId="0" fontId="0" fillId="6" borderId="1" xfId="0" applyFill="1" applyBorder="1"/>
    <xf numFmtId="0" fontId="0" fillId="7" borderId="1" xfId="0" applyFill="1" applyBorder="1"/>
    <xf numFmtId="0" fontId="1" fillId="0" borderId="1" xfId="0" applyFont="1" applyBorder="1" applyAlignment="1">
      <alignment horizontal="center"/>
    </xf>
    <xf numFmtId="4" fontId="0" fillId="0" borderId="1" xfId="0" applyNumberFormat="1" applyFont="1" applyBorder="1"/>
    <xf numFmtId="4" fontId="0" fillId="0" borderId="1" xfId="0" applyNumberFormat="1" applyBorder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0" borderId="12" xfId="0" applyBorder="1"/>
    <xf numFmtId="0" fontId="0" fillId="0" borderId="6" xfId="0" applyBorder="1"/>
    <xf numFmtId="0" fontId="0" fillId="0" borderId="13" xfId="0" applyBorder="1"/>
    <xf numFmtId="169" fontId="0" fillId="3" borderId="1" xfId="0" applyNumberFormat="1" applyFill="1" applyBorder="1"/>
    <xf numFmtId="0" fontId="0" fillId="8" borderId="6" xfId="0" applyFill="1" applyBorder="1"/>
    <xf numFmtId="0" fontId="0" fillId="3" borderId="6" xfId="0" applyFill="1" applyBorder="1"/>
    <xf numFmtId="0" fontId="0" fillId="0" borderId="15" xfId="0" applyFill="1" applyBorder="1"/>
    <xf numFmtId="0" fontId="0" fillId="8" borderId="0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8" borderId="2" xfId="0" applyFill="1" applyBorder="1"/>
    <xf numFmtId="0" fontId="0" fillId="8" borderId="3" xfId="0" applyFill="1" applyBorder="1"/>
    <xf numFmtId="168" fontId="0" fillId="0" borderId="1" xfId="0" applyNumberFormat="1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8" borderId="5" xfId="0" applyFill="1" applyBorder="1"/>
    <xf numFmtId="0" fontId="0" fillId="3" borderId="5" xfId="0" applyFill="1" applyBorder="1"/>
    <xf numFmtId="0" fontId="0" fillId="0" borderId="15" xfId="0" applyBorder="1"/>
    <xf numFmtId="0" fontId="0" fillId="0" borderId="7" xfId="0" applyBorder="1"/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8" fontId="0" fillId="0" borderId="7" xfId="0" applyNumberFormat="1" applyFont="1" applyFill="1" applyBorder="1" applyAlignment="1">
      <alignment horizontal="center" vertical="center"/>
    </xf>
    <xf numFmtId="168" fontId="0" fillId="0" borderId="15" xfId="0" applyNumberFormat="1" applyFont="1" applyFill="1" applyBorder="1" applyAlignment="1">
      <alignment horizontal="center" vertical="center"/>
    </xf>
    <xf numFmtId="168" fontId="0" fillId="0" borderId="11" xfId="0" applyNumberFormat="1" applyFont="1" applyFill="1" applyBorder="1" applyAlignment="1">
      <alignment horizontal="center" vertical="center"/>
    </xf>
    <xf numFmtId="170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Hasil!$I$4</c:f>
              <c:strCache>
                <c:ptCount val="1"/>
                <c:pt idx="0">
                  <c:v>K-Eff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Hasil!$H$5:$H$93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Hasil!$I$5:$I$93</c:f>
              <c:numCache>
                <c:formatCode>General</c:formatCode>
                <c:ptCount val="89"/>
                <c:pt idx="0">
                  <c:v>1.1035820999999999</c:v>
                </c:pt>
                <c:pt idx="1">
                  <c:v>1.0720516</c:v>
                </c:pt>
                <c:pt idx="2">
                  <c:v>1.0714644</c:v>
                </c:pt>
                <c:pt idx="3">
                  <c:v>1.0695281999999999</c:v>
                </c:pt>
                <c:pt idx="4">
                  <c:v>1.0671405</c:v>
                </c:pt>
                <c:pt idx="5">
                  <c:v>1.0629377</c:v>
                </c:pt>
                <c:pt idx="6">
                  <c:v>1.0602526999999999</c:v>
                </c:pt>
                <c:pt idx="7">
                  <c:v>1.0544766999999999</c:v>
                </c:pt>
                <c:pt idx="8">
                  <c:v>1.0504937999999999</c:v>
                </c:pt>
                <c:pt idx="9">
                  <c:v>1.0487412</c:v>
                </c:pt>
                <c:pt idx="10">
                  <c:v>1.0501573</c:v>
                </c:pt>
                <c:pt idx="11">
                  <c:v>1.0563487</c:v>
                </c:pt>
                <c:pt idx="12">
                  <c:v>1.0669028</c:v>
                </c:pt>
                <c:pt idx="13">
                  <c:v>1.0802451</c:v>
                </c:pt>
                <c:pt idx="14">
                  <c:v>1.0899519</c:v>
                </c:pt>
                <c:pt idx="15">
                  <c:v>1.0890678</c:v>
                </c:pt>
                <c:pt idx="16">
                  <c:v>1.0850519000000001</c:v>
                </c:pt>
                <c:pt idx="17">
                  <c:v>1.0851443000000001</c:v>
                </c:pt>
                <c:pt idx="18">
                  <c:v>1.0796911</c:v>
                </c:pt>
                <c:pt idx="19">
                  <c:v>1.0745792000000001</c:v>
                </c:pt>
                <c:pt idx="20">
                  <c:v>1.0712229</c:v>
                </c:pt>
                <c:pt idx="21">
                  <c:v>1.0697478</c:v>
                </c:pt>
                <c:pt idx="22">
                  <c:v>1.0698274000000001</c:v>
                </c:pt>
                <c:pt idx="23">
                  <c:v>1.0695101</c:v>
                </c:pt>
                <c:pt idx="24">
                  <c:v>1.0673044</c:v>
                </c:pt>
                <c:pt idx="25">
                  <c:v>1.0648493999999999</c:v>
                </c:pt>
                <c:pt idx="26">
                  <c:v>1.0614775000000001</c:v>
                </c:pt>
                <c:pt idx="27">
                  <c:v>1.0575437999999999</c:v>
                </c:pt>
                <c:pt idx="28">
                  <c:v>1.0540456</c:v>
                </c:pt>
                <c:pt idx="29">
                  <c:v>1.0503513</c:v>
                </c:pt>
                <c:pt idx="30">
                  <c:v>1.0474490000000001</c:v>
                </c:pt>
                <c:pt idx="31">
                  <c:v>1.0447061</c:v>
                </c:pt>
                <c:pt idx="32">
                  <c:v>1.0425732000000001</c:v>
                </c:pt>
                <c:pt idx="33">
                  <c:v>1.0401376</c:v>
                </c:pt>
                <c:pt idx="34">
                  <c:v>1.0378569</c:v>
                </c:pt>
                <c:pt idx="35">
                  <c:v>1.0353406999999999</c:v>
                </c:pt>
                <c:pt idx="36">
                  <c:v>1.0330321</c:v>
                </c:pt>
                <c:pt idx="37">
                  <c:v>1.0311634999999999</c:v>
                </c:pt>
                <c:pt idx="38">
                  <c:v>1.0291526</c:v>
                </c:pt>
                <c:pt idx="39">
                  <c:v>1.0268739</c:v>
                </c:pt>
                <c:pt idx="40">
                  <c:v>1.0250367</c:v>
                </c:pt>
                <c:pt idx="41">
                  <c:v>1.0250587</c:v>
                </c:pt>
                <c:pt idx="42">
                  <c:v>1.0225519000000001</c:v>
                </c:pt>
                <c:pt idx="43">
                  <c:v>1.020472</c:v>
                </c:pt>
                <c:pt idx="44">
                  <c:v>1.0181636000000001</c:v>
                </c:pt>
                <c:pt idx="45">
                  <c:v>1.0158895999999999</c:v>
                </c:pt>
                <c:pt idx="46">
                  <c:v>1.0137388000000001</c:v>
                </c:pt>
                <c:pt idx="47">
                  <c:v>1.0113713</c:v>
                </c:pt>
                <c:pt idx="48">
                  <c:v>1.0090014</c:v>
                </c:pt>
                <c:pt idx="49">
                  <c:v>1.0065010000000001</c:v>
                </c:pt>
                <c:pt idx="50">
                  <c:v>1.0039393000000001</c:v>
                </c:pt>
                <c:pt idx="51">
                  <c:v>1.0015129</c:v>
                </c:pt>
                <c:pt idx="52">
                  <c:v>0.99908710000000001</c:v>
                </c:pt>
                <c:pt idx="53">
                  <c:v>0.99624159999999995</c:v>
                </c:pt>
                <c:pt idx="54">
                  <c:v>0.9936526</c:v>
                </c:pt>
                <c:pt idx="55">
                  <c:v>0.99117449999999996</c:v>
                </c:pt>
                <c:pt idx="56">
                  <c:v>0.9884406</c:v>
                </c:pt>
                <c:pt idx="57">
                  <c:v>0.98535010000000001</c:v>
                </c:pt>
                <c:pt idx="58">
                  <c:v>0.98233159999999997</c:v>
                </c:pt>
                <c:pt idx="59">
                  <c:v>0.97935530000000004</c:v>
                </c:pt>
                <c:pt idx="60">
                  <c:v>0.97600469999999995</c:v>
                </c:pt>
                <c:pt idx="61">
                  <c:v>0.97261629999999999</c:v>
                </c:pt>
                <c:pt idx="62">
                  <c:v>0.96926179999999995</c:v>
                </c:pt>
                <c:pt idx="63">
                  <c:v>0.96584119999999996</c:v>
                </c:pt>
                <c:pt idx="64">
                  <c:v>0.96243809999999996</c:v>
                </c:pt>
                <c:pt idx="65">
                  <c:v>0.9624066</c:v>
                </c:pt>
                <c:pt idx="66">
                  <c:v>0.95904140000000004</c:v>
                </c:pt>
                <c:pt idx="67">
                  <c:v>0.95571200000000001</c:v>
                </c:pt>
                <c:pt idx="68">
                  <c:v>0.95238210000000001</c:v>
                </c:pt>
                <c:pt idx="69">
                  <c:v>0.94907160000000002</c:v>
                </c:pt>
                <c:pt idx="70">
                  <c:v>0.94576099999999996</c:v>
                </c:pt>
                <c:pt idx="71">
                  <c:v>0.94250120000000004</c:v>
                </c:pt>
                <c:pt idx="72">
                  <c:v>0.93927400000000005</c:v>
                </c:pt>
                <c:pt idx="73">
                  <c:v>0.93608769999999997</c:v>
                </c:pt>
                <c:pt idx="74">
                  <c:v>0.93293420000000005</c:v>
                </c:pt>
                <c:pt idx="75">
                  <c:v>0.92983130000000003</c:v>
                </c:pt>
                <c:pt idx="76">
                  <c:v>0.92673689999999997</c:v>
                </c:pt>
                <c:pt idx="77">
                  <c:v>0.92312320000000003</c:v>
                </c:pt>
                <c:pt idx="78">
                  <c:v>0.92004819999999998</c:v>
                </c:pt>
                <c:pt idx="79">
                  <c:v>0.91699450000000005</c:v>
                </c:pt>
                <c:pt idx="80">
                  <c:v>0.91396049999999995</c:v>
                </c:pt>
                <c:pt idx="81">
                  <c:v>0.91094560000000002</c:v>
                </c:pt>
                <c:pt idx="82">
                  <c:v>0.90795170000000003</c:v>
                </c:pt>
                <c:pt idx="83">
                  <c:v>0.90496719999999997</c:v>
                </c:pt>
                <c:pt idx="84">
                  <c:v>0.90201229999999999</c:v>
                </c:pt>
                <c:pt idx="85">
                  <c:v>0.89907700000000002</c:v>
                </c:pt>
                <c:pt idx="86">
                  <c:v>0.89615370000000005</c:v>
                </c:pt>
                <c:pt idx="87">
                  <c:v>0.89327769999999995</c:v>
                </c:pt>
                <c:pt idx="88">
                  <c:v>0.89047149999999997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C1-214F-8E1B-81D78141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79344"/>
        <c:axId val="2105090224"/>
      </c:scatterChart>
      <c:valAx>
        <c:axId val="210507934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0224"/>
        <c:crosses val="autoZero"/>
        <c:crossBetween val="midCat"/>
      </c:valAx>
      <c:valAx>
        <c:axId val="210509022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Conversion</a:t>
            </a:r>
            <a:r>
              <a:rPr lang="id-ID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Hasil!$J$4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Hasil!$H$5:$H$93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Hasil!$J$5:$J$93</c:f>
              <c:numCache>
                <c:formatCode>0.00E+00</c:formatCode>
                <c:ptCount val="89"/>
                <c:pt idx="0">
                  <c:v>0.45779999999999998</c:v>
                </c:pt>
                <c:pt idx="1">
                  <c:v>0.46750000000000003</c:v>
                </c:pt>
                <c:pt idx="2">
                  <c:v>0.46768999999999999</c:v>
                </c:pt>
                <c:pt idx="3">
                  <c:v>0.46812199999999998</c:v>
                </c:pt>
                <c:pt idx="4">
                  <c:v>0.46866799999999997</c:v>
                </c:pt>
                <c:pt idx="5">
                  <c:v>0.46968700000000002</c:v>
                </c:pt>
                <c:pt idx="6">
                  <c:v>0.47053800000000001</c:v>
                </c:pt>
                <c:pt idx="7">
                  <c:v>0.47313899999999998</c:v>
                </c:pt>
                <c:pt idx="8">
                  <c:v>0.476165</c:v>
                </c:pt>
                <c:pt idx="9">
                  <c:v>0.47926999999999997</c:v>
                </c:pt>
                <c:pt idx="10">
                  <c:v>0.481964</c:v>
                </c:pt>
                <c:pt idx="11">
                  <c:v>0.48386400000000002</c:v>
                </c:pt>
                <c:pt idx="12">
                  <c:v>0.48480299999999998</c:v>
                </c:pt>
                <c:pt idx="13">
                  <c:v>0.48515399999999997</c:v>
                </c:pt>
                <c:pt idx="14">
                  <c:v>0.48647699999999999</c:v>
                </c:pt>
                <c:pt idx="15">
                  <c:v>0.49041499999999999</c:v>
                </c:pt>
                <c:pt idx="16">
                  <c:v>0.494755</c:v>
                </c:pt>
                <c:pt idx="17">
                  <c:v>0.49478699999999998</c:v>
                </c:pt>
                <c:pt idx="18">
                  <c:v>0.49871199999999999</c:v>
                </c:pt>
                <c:pt idx="19">
                  <c:v>0.50217500000000004</c:v>
                </c:pt>
                <c:pt idx="20">
                  <c:v>0.50441499999999995</c:v>
                </c:pt>
                <c:pt idx="21">
                  <c:v>0.50558099999999995</c:v>
                </c:pt>
                <c:pt idx="22">
                  <c:v>0.50606300000000004</c:v>
                </c:pt>
                <c:pt idx="23">
                  <c:v>0.50723499999999999</c:v>
                </c:pt>
                <c:pt idx="24">
                  <c:v>0.50968100000000005</c:v>
                </c:pt>
                <c:pt idx="25">
                  <c:v>0.51217699999999999</c:v>
                </c:pt>
                <c:pt idx="26">
                  <c:v>0.51513799999999998</c:v>
                </c:pt>
                <c:pt idx="27">
                  <c:v>0.51829999999999998</c:v>
                </c:pt>
                <c:pt idx="28">
                  <c:v>0.52097400000000005</c:v>
                </c:pt>
                <c:pt idx="29">
                  <c:v>0.52371900000000005</c:v>
                </c:pt>
                <c:pt idx="30">
                  <c:v>0.52587200000000001</c:v>
                </c:pt>
                <c:pt idx="31">
                  <c:v>0.52785099999999996</c:v>
                </c:pt>
                <c:pt idx="32">
                  <c:v>0.52928600000000003</c:v>
                </c:pt>
                <c:pt idx="33">
                  <c:v>0.53100599999999998</c:v>
                </c:pt>
                <c:pt idx="34">
                  <c:v>0.53264400000000001</c:v>
                </c:pt>
                <c:pt idx="35">
                  <c:v>0.53441000000000005</c:v>
                </c:pt>
                <c:pt idx="36">
                  <c:v>0.53593999999999997</c:v>
                </c:pt>
                <c:pt idx="37">
                  <c:v>0.53699799999999998</c:v>
                </c:pt>
                <c:pt idx="38">
                  <c:v>0.53817300000000001</c:v>
                </c:pt>
                <c:pt idx="39">
                  <c:v>0.53965399999999997</c:v>
                </c:pt>
                <c:pt idx="40">
                  <c:v>0.54067100000000001</c:v>
                </c:pt>
                <c:pt idx="41">
                  <c:v>0.54073499999999997</c:v>
                </c:pt>
                <c:pt idx="42">
                  <c:v>0.54238299999999995</c:v>
                </c:pt>
                <c:pt idx="43">
                  <c:v>0.54359900000000005</c:v>
                </c:pt>
                <c:pt idx="44">
                  <c:v>0.54525100000000004</c:v>
                </c:pt>
                <c:pt idx="45">
                  <c:v>0.54680399999999996</c:v>
                </c:pt>
                <c:pt idx="46">
                  <c:v>0.54811500000000002</c:v>
                </c:pt>
                <c:pt idx="47">
                  <c:v>0.54981800000000003</c:v>
                </c:pt>
                <c:pt idx="48">
                  <c:v>0.55155299999999996</c:v>
                </c:pt>
                <c:pt idx="49">
                  <c:v>0.55346099999999998</c:v>
                </c:pt>
                <c:pt idx="50">
                  <c:v>0.55540800000000001</c:v>
                </c:pt>
                <c:pt idx="51">
                  <c:v>0.55720800000000004</c:v>
                </c:pt>
                <c:pt idx="52">
                  <c:v>0.55902200000000002</c:v>
                </c:pt>
                <c:pt idx="53">
                  <c:v>0.56111</c:v>
                </c:pt>
                <c:pt idx="54">
                  <c:v>0.56318699999999999</c:v>
                </c:pt>
                <c:pt idx="55">
                  <c:v>0.56511199999999995</c:v>
                </c:pt>
                <c:pt idx="56">
                  <c:v>0.56748900000000002</c:v>
                </c:pt>
                <c:pt idx="57">
                  <c:v>0.57041500000000001</c:v>
                </c:pt>
                <c:pt idx="58">
                  <c:v>0.573237</c:v>
                </c:pt>
                <c:pt idx="59">
                  <c:v>0.57601400000000003</c:v>
                </c:pt>
                <c:pt idx="60">
                  <c:v>0.57943999999999996</c:v>
                </c:pt>
                <c:pt idx="61">
                  <c:v>0.58291999999999999</c:v>
                </c:pt>
                <c:pt idx="62">
                  <c:v>0.58638599999999996</c:v>
                </c:pt>
                <c:pt idx="63">
                  <c:v>0.58995399999999998</c:v>
                </c:pt>
                <c:pt idx="64">
                  <c:v>0.59353400000000001</c:v>
                </c:pt>
                <c:pt idx="65">
                  <c:v>0.59353800000000001</c:v>
                </c:pt>
                <c:pt idx="66">
                  <c:v>0.59712299999999996</c:v>
                </c:pt>
                <c:pt idx="67">
                  <c:v>0.60065900000000005</c:v>
                </c:pt>
                <c:pt idx="68">
                  <c:v>0.604186</c:v>
                </c:pt>
                <c:pt idx="69">
                  <c:v>0.60772099999999996</c:v>
                </c:pt>
                <c:pt idx="70">
                  <c:v>0.61127299999999996</c:v>
                </c:pt>
                <c:pt idx="71">
                  <c:v>0.61480299999999999</c:v>
                </c:pt>
                <c:pt idx="72">
                  <c:v>0.61830799999999997</c:v>
                </c:pt>
                <c:pt idx="73">
                  <c:v>0.62177899999999997</c:v>
                </c:pt>
                <c:pt idx="74">
                  <c:v>0.62520299999999995</c:v>
                </c:pt>
                <c:pt idx="75">
                  <c:v>0.62856500000000004</c:v>
                </c:pt>
                <c:pt idx="76">
                  <c:v>0.63192899999999996</c:v>
                </c:pt>
                <c:pt idx="77">
                  <c:v>0.63589499999999999</c:v>
                </c:pt>
                <c:pt idx="78">
                  <c:v>0.63929000000000002</c:v>
                </c:pt>
                <c:pt idx="79">
                  <c:v>0.64268800000000004</c:v>
                </c:pt>
                <c:pt idx="80">
                  <c:v>0.64607499999999995</c:v>
                </c:pt>
                <c:pt idx="81">
                  <c:v>0.64944400000000002</c:v>
                </c:pt>
                <c:pt idx="82">
                  <c:v>0.65278599999999998</c:v>
                </c:pt>
                <c:pt idx="83">
                  <c:v>0.65614099999999997</c:v>
                </c:pt>
                <c:pt idx="84">
                  <c:v>0.65951099999999996</c:v>
                </c:pt>
                <c:pt idx="85">
                  <c:v>0.66288999999999998</c:v>
                </c:pt>
                <c:pt idx="86">
                  <c:v>0.66627099999999995</c:v>
                </c:pt>
                <c:pt idx="87">
                  <c:v>0.66962699999999997</c:v>
                </c:pt>
                <c:pt idx="88">
                  <c:v>0.67290399999999995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3AF-FB49-90BB-111FCA7F5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80432"/>
        <c:axId val="2105092400"/>
      </c:scatterChart>
      <c:valAx>
        <c:axId val="210508043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2400"/>
        <c:crosses val="autoZero"/>
        <c:crossBetween val="midCat"/>
      </c:valAx>
      <c:valAx>
        <c:axId val="210509240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Conversion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Hasil!$AF$6</c:f>
              <c:strCache>
                <c:ptCount val="1"/>
                <c:pt idx="0">
                  <c:v>Awal Tahun Ke-0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Hasil!$AE$7:$AE$45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Hasil!$AF$7:$AF$45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0E+00">
                  <c:v>0</c:v>
                </c:pt>
                <c:pt idx="4">
                  <c:v>48.808977537579999</c:v>
                </c:pt>
                <c:pt idx="5">
                  <c:v>63.070434129169996</c:v>
                </c:pt>
                <c:pt idx="6">
                  <c:v>83.507488114569995</c:v>
                </c:pt>
                <c:pt idx="7">
                  <c:v>103.72930377771</c:v>
                </c:pt>
                <c:pt idx="8">
                  <c:v>123.21961806648</c:v>
                </c:pt>
                <c:pt idx="9">
                  <c:v>141.82298108147</c:v>
                </c:pt>
                <c:pt idx="10">
                  <c:v>159.39944105435998</c:v>
                </c:pt>
                <c:pt idx="11">
                  <c:v>175.8130205416</c:v>
                </c:pt>
                <c:pt idx="12">
                  <c:v>190.93280979759999</c:v>
                </c:pt>
                <c:pt idx="13">
                  <c:v>204.63468493260001</c:v>
                </c:pt>
                <c:pt idx="14">
                  <c:v>216.8008046139</c:v>
                </c:pt>
                <c:pt idx="15">
                  <c:v>227.3214844199</c:v>
                </c:pt>
                <c:pt idx="16">
                  <c:v>236.09571749399998</c:v>
                </c:pt>
                <c:pt idx="17">
                  <c:v>243.03238940369999</c:v>
                </c:pt>
                <c:pt idx="18">
                  <c:v>248.05218720490001</c:v>
                </c:pt>
                <c:pt idx="19">
                  <c:v>251.08898785229999</c:v>
                </c:pt>
                <c:pt idx="20">
                  <c:v>252.09072595589998</c:v>
                </c:pt>
                <c:pt idx="21">
                  <c:v>251.02234415310002</c:v>
                </c:pt>
                <c:pt idx="22">
                  <c:v>247.86648731389997</c:v>
                </c:pt>
                <c:pt idx="23">
                  <c:v>242.6245438487</c:v>
                </c:pt>
                <c:pt idx="24">
                  <c:v>235.3189018752</c:v>
                </c:pt>
                <c:pt idx="25">
                  <c:v>225.9920814619</c:v>
                </c:pt>
                <c:pt idx="26">
                  <c:v>214.70812303849999</c:v>
                </c:pt>
                <c:pt idx="27">
                  <c:v>201.55137253679999</c:v>
                </c:pt>
                <c:pt idx="28">
                  <c:v>186.62665494199999</c:v>
                </c:pt>
                <c:pt idx="29">
                  <c:v>170.05757348995999</c:v>
                </c:pt>
                <c:pt idx="30">
                  <c:v>151.98557249018</c:v>
                </c:pt>
                <c:pt idx="31">
                  <c:v>132.56766380376999</c:v>
                </c:pt>
                <c:pt idx="32">
                  <c:v>111.97380621881999</c:v>
                </c:pt>
                <c:pt idx="33">
                  <c:v>90.398151574639996</c:v>
                </c:pt>
                <c:pt idx="34">
                  <c:v>68.434349448009996</c:v>
                </c:pt>
                <c:pt idx="35">
                  <c:v>53.094861601339993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5B-2B4C-BEFF-26F2BF3B6527}"/>
            </c:ext>
          </c:extLst>
        </c:ser>
        <c:ser>
          <c:idx val="1"/>
          <c:order val="1"/>
          <c:tx>
            <c:strRef>
              <c:f>Hasil!$AG$6</c:f>
              <c:strCache>
                <c:ptCount val="1"/>
                <c:pt idx="0">
                  <c:v>Akhir Tahun Ke-1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Hasil!$AE$7:$AE$45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Hasil!$AG$7:$AG$45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15.391436032439998</c:v>
                </c:pt>
                <c:pt idx="5">
                  <c:v>21.11288046072</c:v>
                </c:pt>
                <c:pt idx="6">
                  <c:v>28.661419571539998</c:v>
                </c:pt>
                <c:pt idx="7">
                  <c:v>36.491552123879998</c:v>
                </c:pt>
                <c:pt idx="8">
                  <c:v>44.657045977759999</c:v>
                </c:pt>
                <c:pt idx="9">
                  <c:v>53.284460672819996</c:v>
                </c:pt>
                <c:pt idx="10">
                  <c:v>62.60417875556</c:v>
                </c:pt>
                <c:pt idx="11">
                  <c:v>73.378001922359999</c:v>
                </c:pt>
                <c:pt idx="12">
                  <c:v>121.60352779839999</c:v>
                </c:pt>
                <c:pt idx="13">
                  <c:v>137.60276463919999</c:v>
                </c:pt>
                <c:pt idx="14">
                  <c:v>150.9480763672</c:v>
                </c:pt>
                <c:pt idx="15">
                  <c:v>162.14891268899999</c:v>
                </c:pt>
                <c:pt idx="16">
                  <c:v>171.16252114979997</c:v>
                </c:pt>
                <c:pt idx="17">
                  <c:v>177.88662314959998</c:v>
                </c:pt>
                <c:pt idx="18">
                  <c:v>182.22323578959998</c:v>
                </c:pt>
                <c:pt idx="19">
                  <c:v>184.096877463</c:v>
                </c:pt>
                <c:pt idx="20">
                  <c:v>183.10467276439999</c:v>
                </c:pt>
                <c:pt idx="21">
                  <c:v>180.43366712539998</c:v>
                </c:pt>
                <c:pt idx="22">
                  <c:v>175.7358064702</c:v>
                </c:pt>
                <c:pt idx="23">
                  <c:v>169.0458655228</c:v>
                </c:pt>
                <c:pt idx="24">
                  <c:v>160.4185633342</c:v>
                </c:pt>
                <c:pt idx="25">
                  <c:v>149.91178959199999</c:v>
                </c:pt>
                <c:pt idx="26">
                  <c:v>137.52994227599999</c:v>
                </c:pt>
                <c:pt idx="27">
                  <c:v>122.77625422599999</c:v>
                </c:pt>
                <c:pt idx="28">
                  <c:v>79.114921102820006</c:v>
                </c:pt>
                <c:pt idx="29">
                  <c:v>68.357247726959997</c:v>
                </c:pt>
                <c:pt idx="30">
                  <c:v>58.779797800079997</c:v>
                </c:pt>
                <c:pt idx="31">
                  <c:v>49.693591988999998</c:v>
                </c:pt>
                <c:pt idx="32">
                  <c:v>40.907942071879994</c:v>
                </c:pt>
                <c:pt idx="33">
                  <c:v>32.326787987599999</c:v>
                </c:pt>
                <c:pt idx="34">
                  <c:v>23.93312080498</c:v>
                </c:pt>
                <c:pt idx="35">
                  <c:v>17.593085176039999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5B-2B4C-BEFF-26F2BF3B6527}"/>
            </c:ext>
          </c:extLst>
        </c:ser>
        <c:ser>
          <c:idx val="2"/>
          <c:order val="2"/>
          <c:tx>
            <c:strRef>
              <c:f>Hasil!$AH$6</c:f>
              <c:strCache>
                <c:ptCount val="1"/>
                <c:pt idx="0">
                  <c:v>Akhir Tahun Ke-3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Hasil!$AE$7:$AE$45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Hasil!$AH$7:$AH$45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8.7347013314000002</c:v>
                </c:pt>
                <c:pt idx="5">
                  <c:v>11.91167546888</c:v>
                </c:pt>
                <c:pt idx="6">
                  <c:v>15.699782975800002</c:v>
                </c:pt>
                <c:pt idx="7">
                  <c:v>19.294287089440001</c:v>
                </c:pt>
                <c:pt idx="8">
                  <c:v>22.754376157039999</c:v>
                </c:pt>
                <c:pt idx="9">
                  <c:v>26.336654115640002</c:v>
                </c:pt>
                <c:pt idx="10">
                  <c:v>30.597575714199998</c:v>
                </c:pt>
                <c:pt idx="11">
                  <c:v>36.680199257680002</c:v>
                </c:pt>
                <c:pt idx="12">
                  <c:v>58.358480012800001</c:v>
                </c:pt>
                <c:pt idx="13">
                  <c:v>66.84311190919999</c:v>
                </c:pt>
                <c:pt idx="14">
                  <c:v>72.547407644799989</c:v>
                </c:pt>
                <c:pt idx="15">
                  <c:v>76.414922188000006</c:v>
                </c:pt>
                <c:pt idx="16">
                  <c:v>79.033227886799992</c:v>
                </c:pt>
                <c:pt idx="17">
                  <c:v>80.7739533524</c:v>
                </c:pt>
                <c:pt idx="18">
                  <c:v>81.860259822000003</c:v>
                </c:pt>
                <c:pt idx="19">
                  <c:v>82.416249550799989</c:v>
                </c:pt>
                <c:pt idx="20">
                  <c:v>82.460378026399994</c:v>
                </c:pt>
                <c:pt idx="21">
                  <c:v>82.053097869599995</c:v>
                </c:pt>
                <c:pt idx="22">
                  <c:v>81.101889444399987</c:v>
                </c:pt>
                <c:pt idx="23">
                  <c:v>79.482069220399993</c:v>
                </c:pt>
                <c:pt idx="24">
                  <c:v>76.970766597999997</c:v>
                </c:pt>
                <c:pt idx="25">
                  <c:v>73.196062328400004</c:v>
                </c:pt>
                <c:pt idx="26">
                  <c:v>67.570771580399992</c:v>
                </c:pt>
                <c:pt idx="27">
                  <c:v>59.156813060399998</c:v>
                </c:pt>
                <c:pt idx="28">
                  <c:v>37.733891344599996</c:v>
                </c:pt>
                <c:pt idx="29">
                  <c:v>31.583156879559997</c:v>
                </c:pt>
                <c:pt idx="30">
                  <c:v>27.240319073439998</c:v>
                </c:pt>
                <c:pt idx="31">
                  <c:v>23.564528467040002</c:v>
                </c:pt>
                <c:pt idx="32">
                  <c:v>19.99716506128</c:v>
                </c:pt>
                <c:pt idx="33">
                  <c:v>16.28039939724</c:v>
                </c:pt>
                <c:pt idx="34">
                  <c:v>12.35679179724</c:v>
                </c:pt>
                <c:pt idx="35">
                  <c:v>9.0627633663600005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5B-2B4C-BEFF-26F2BF3B6527}"/>
            </c:ext>
          </c:extLst>
        </c:ser>
        <c:ser>
          <c:idx val="3"/>
          <c:order val="3"/>
          <c:tx>
            <c:strRef>
              <c:f>Hasil!$AI$6</c:f>
              <c:strCache>
                <c:ptCount val="1"/>
                <c:pt idx="0">
                  <c:v>Akhir Tahun Ke-5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Hasil!$AE$7:$AE$45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Hasil!$AI$7:$AI$45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38.197391005956</c:v>
                </c:pt>
                <c:pt idx="5">
                  <c:v>52.622863109855999</c:v>
                </c:pt>
                <c:pt idx="6">
                  <c:v>67.933052811623995</c:v>
                </c:pt>
                <c:pt idx="7">
                  <c:v>80.474566164719988</c:v>
                </c:pt>
                <c:pt idx="8">
                  <c:v>89.629455430320007</c:v>
                </c:pt>
                <c:pt idx="9">
                  <c:v>95.046826906199996</c:v>
                </c:pt>
                <c:pt idx="10">
                  <c:v>96.533877050520005</c:v>
                </c:pt>
                <c:pt idx="11">
                  <c:v>94.111299818639992</c:v>
                </c:pt>
                <c:pt idx="12">
                  <c:v>84.118596825119994</c:v>
                </c:pt>
                <c:pt idx="13">
                  <c:v>78.95407050803999</c:v>
                </c:pt>
                <c:pt idx="14">
                  <c:v>74.540283001079999</c:v>
                </c:pt>
                <c:pt idx="15">
                  <c:v>70.900981346675991</c:v>
                </c:pt>
                <c:pt idx="16">
                  <c:v>68.00521933764</c:v>
                </c:pt>
                <c:pt idx="17">
                  <c:v>65.817059443044002</c:v>
                </c:pt>
                <c:pt idx="18">
                  <c:v>64.307318813867994</c:v>
                </c:pt>
                <c:pt idx="19">
                  <c:v>63.455143189464003</c:v>
                </c:pt>
                <c:pt idx="20">
                  <c:v>63.209577348059995</c:v>
                </c:pt>
                <c:pt idx="21">
                  <c:v>63.676400919923999</c:v>
                </c:pt>
                <c:pt idx="22">
                  <c:v>64.820266589051997</c:v>
                </c:pt>
                <c:pt idx="23">
                  <c:v>66.652140694463995</c:v>
                </c:pt>
                <c:pt idx="24">
                  <c:v>69.191172431471998</c:v>
                </c:pt>
                <c:pt idx="25">
                  <c:v>72.463360403148002</c:v>
                </c:pt>
                <c:pt idx="26">
                  <c:v>76.490615427720002</c:v>
                </c:pt>
                <c:pt idx="27">
                  <c:v>81.242355628199988</c:v>
                </c:pt>
                <c:pt idx="28">
                  <c:v>90.59463899616</c:v>
                </c:pt>
                <c:pt idx="29">
                  <c:v>92.738139294839996</c:v>
                </c:pt>
                <c:pt idx="30">
                  <c:v>91.172758157520008</c:v>
                </c:pt>
                <c:pt idx="31">
                  <c:v>85.88064340439999</c:v>
                </c:pt>
                <c:pt idx="32">
                  <c:v>77.046291848759992</c:v>
                </c:pt>
                <c:pt idx="33">
                  <c:v>65.003342514552003</c:v>
                </c:pt>
                <c:pt idx="34">
                  <c:v>50.338775073599997</c:v>
                </c:pt>
                <c:pt idx="35">
                  <c:v>36.545459586324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5B-2B4C-BEFF-26F2BF3B6527}"/>
            </c:ext>
          </c:extLst>
        </c:ser>
        <c:ser>
          <c:idx val="4"/>
          <c:order val="4"/>
          <c:tx>
            <c:strRef>
              <c:f>Hasil!$AJ$6</c:f>
              <c:strCache>
                <c:ptCount val="1"/>
                <c:pt idx="0">
                  <c:v>Akhir Tahun Ke-7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Hasil!$AE$7:$AE$45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Hasil!$AJ$7:$AJ$45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0E+00">
                  <c:v>0</c:v>
                </c:pt>
                <c:pt idx="4">
                  <c:v>33.997715403930002</c:v>
                </c:pt>
                <c:pt idx="5">
                  <c:v>46.744333635186003</c:v>
                </c:pt>
                <c:pt idx="6">
                  <c:v>60.464875263282003</c:v>
                </c:pt>
                <c:pt idx="7">
                  <c:v>71.924052884580007</c:v>
                </c:pt>
                <c:pt idx="8">
                  <c:v>80.596699309800002</c:v>
                </c:pt>
                <c:pt idx="9">
                  <c:v>86.176882135980009</c:v>
                </c:pt>
                <c:pt idx="10">
                  <c:v>88.479906310620009</c:v>
                </c:pt>
                <c:pt idx="11">
                  <c:v>87.521743558260013</c:v>
                </c:pt>
                <c:pt idx="12">
                  <c:v>79.819924689000004</c:v>
                </c:pt>
                <c:pt idx="13">
                  <c:v>76.31114085162001</c:v>
                </c:pt>
                <c:pt idx="14">
                  <c:v>73.275950308860004</c:v>
                </c:pt>
                <c:pt idx="15">
                  <c:v>70.783868760480004</c:v>
                </c:pt>
                <c:pt idx="16">
                  <c:v>68.822723923020007</c:v>
                </c:pt>
                <c:pt idx="17">
                  <c:v>67.372505406792015</c:v>
                </c:pt>
                <c:pt idx="18">
                  <c:v>66.41650974304801</c:v>
                </c:pt>
                <c:pt idx="19">
                  <c:v>65.943036060462006</c:v>
                </c:pt>
                <c:pt idx="20">
                  <c:v>65.91801603735</c:v>
                </c:pt>
                <c:pt idx="21">
                  <c:v>66.414180826386001</c:v>
                </c:pt>
                <c:pt idx="22">
                  <c:v>67.406383756422002</c:v>
                </c:pt>
                <c:pt idx="23">
                  <c:v>68.901140165310011</c:v>
                </c:pt>
                <c:pt idx="24">
                  <c:v>70.909179956100004</c:v>
                </c:pt>
                <c:pt idx="25">
                  <c:v>73.444603276800009</c:v>
                </c:pt>
                <c:pt idx="26">
                  <c:v>76.514340589380012</c:v>
                </c:pt>
                <c:pt idx="27">
                  <c:v>80.043669552600008</c:v>
                </c:pt>
                <c:pt idx="28">
                  <c:v>87.726631936500013</c:v>
                </c:pt>
                <c:pt idx="29">
                  <c:v>88.685427929040003</c:v>
                </c:pt>
                <c:pt idx="30">
                  <c:v>86.3806447539</c:v>
                </c:pt>
                <c:pt idx="31">
                  <c:v>80.794059165900009</c:v>
                </c:pt>
                <c:pt idx="32">
                  <c:v>72.108466497000009</c:v>
                </c:pt>
                <c:pt idx="33">
                  <c:v>60.628898541906011</c:v>
                </c:pt>
                <c:pt idx="34">
                  <c:v>46.880902434006003</c:v>
                </c:pt>
                <c:pt idx="35">
                  <c:v>34.112754036630008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F5B-2B4C-BEFF-26F2BF3B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84784"/>
        <c:axId val="2105090768"/>
      </c:scatterChart>
      <c:valAx>
        <c:axId val="210508478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Aksial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0768"/>
        <c:crosses val="autoZero"/>
        <c:crossBetween val="midCat"/>
      </c:valAx>
      <c:valAx>
        <c:axId val="21050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Densitas Daya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8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209550</xdr:colOff>
      <xdr:row>12</xdr:row>
      <xdr:rowOff>97366</xdr:rowOff>
    </xdr:from>
    <xdr:to>
      <xdr:col>45</xdr:col>
      <xdr:colOff>240771</xdr:colOff>
      <xdr:row>31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304800</xdr:colOff>
      <xdr:row>13</xdr:row>
      <xdr:rowOff>19049</xdr:rowOff>
    </xdr:from>
    <xdr:to>
      <xdr:col>55</xdr:col>
      <xdr:colOff>456142</xdr:colOff>
      <xdr:row>32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400050</xdr:colOff>
      <xdr:row>33</xdr:row>
      <xdr:rowOff>171344</xdr:rowOff>
    </xdr:from>
    <xdr:to>
      <xdr:col>45</xdr:col>
      <xdr:colOff>361950</xdr:colOff>
      <xdr:row>52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1" workbookViewId="0">
      <selection activeCell="K51" sqref="K51"/>
    </sheetView>
  </sheetViews>
  <sheetFormatPr defaultRowHeight="15" x14ac:dyDescent="0.25"/>
  <cols>
    <col min="1" max="1" width="41.85546875" bestFit="1" customWidth="1"/>
    <col min="2" max="2" width="7" bestFit="1" customWidth="1"/>
    <col min="3" max="3" width="9.5703125" bestFit="1" customWidth="1"/>
    <col min="4" max="4" width="11" bestFit="1" customWidth="1"/>
    <col min="5" max="5" width="7" bestFit="1" customWidth="1"/>
    <col min="6" max="6" width="12" bestFit="1" customWidth="1"/>
    <col min="7" max="7" width="9.5703125" bestFit="1" customWidth="1"/>
    <col min="10" max="10" width="3" bestFit="1" customWidth="1"/>
    <col min="11" max="11" width="36.42578125" bestFit="1" customWidth="1"/>
  </cols>
  <sheetData>
    <row r="1" spans="1:7" x14ac:dyDescent="0.25">
      <c r="A1" s="134" t="s">
        <v>1</v>
      </c>
      <c r="B1" s="135" t="s">
        <v>147</v>
      </c>
      <c r="C1" s="135"/>
      <c r="D1" s="135" t="s">
        <v>148</v>
      </c>
      <c r="E1" s="135"/>
      <c r="F1" s="135" t="s">
        <v>149</v>
      </c>
      <c r="G1" s="135"/>
    </row>
    <row r="2" spans="1:7" x14ac:dyDescent="0.25">
      <c r="A2" s="134"/>
      <c r="B2" s="48" t="s">
        <v>2</v>
      </c>
      <c r="C2" s="48" t="s">
        <v>3</v>
      </c>
      <c r="D2" s="48" t="s">
        <v>2</v>
      </c>
      <c r="E2" s="48" t="s">
        <v>3</v>
      </c>
      <c r="F2" s="15" t="s">
        <v>2</v>
      </c>
      <c r="G2" s="15" t="s">
        <v>3</v>
      </c>
    </row>
    <row r="3" spans="1:7" x14ac:dyDescent="0.25">
      <c r="A3" s="131" t="s">
        <v>150</v>
      </c>
      <c r="B3" s="132"/>
      <c r="C3" s="132"/>
      <c r="D3" s="132"/>
      <c r="E3" s="132"/>
      <c r="F3" s="132"/>
      <c r="G3" s="133"/>
    </row>
    <row r="4" spans="1:7" x14ac:dyDescent="0.25">
      <c r="A4" s="2" t="s">
        <v>151</v>
      </c>
      <c r="B4" s="2">
        <v>59.25</v>
      </c>
      <c r="C4" s="2" t="s">
        <v>152</v>
      </c>
      <c r="D4" s="2">
        <f>B4*2.54</f>
        <v>150.495</v>
      </c>
      <c r="E4" s="2" t="s">
        <v>153</v>
      </c>
      <c r="F4" s="2">
        <v>165</v>
      </c>
      <c r="G4" s="2" t="s">
        <v>153</v>
      </c>
    </row>
    <row r="5" spans="1:7" x14ac:dyDescent="0.25">
      <c r="A5" s="2" t="s">
        <v>154</v>
      </c>
      <c r="B5" s="2">
        <v>78.739999999999995</v>
      </c>
      <c r="C5" s="2" t="s">
        <v>152</v>
      </c>
      <c r="D5" s="2">
        <f>B5*2.54</f>
        <v>199.99959999999999</v>
      </c>
      <c r="E5" s="2" t="s">
        <v>153</v>
      </c>
      <c r="F5" s="2">
        <v>200</v>
      </c>
      <c r="G5" s="2" t="s">
        <v>153</v>
      </c>
    </row>
    <row r="6" spans="1:7" x14ac:dyDescent="0.25">
      <c r="A6" s="2" t="s">
        <v>212</v>
      </c>
      <c r="B6" s="2"/>
      <c r="C6" s="2"/>
      <c r="D6" s="2"/>
      <c r="E6" s="2"/>
      <c r="F6" s="2">
        <f>PI()*(F4/2)^2*F5</f>
        <v>4276492.9996991055</v>
      </c>
      <c r="G6" s="2" t="s">
        <v>213</v>
      </c>
    </row>
    <row r="7" spans="1:7" x14ac:dyDescent="0.25">
      <c r="A7" s="2" t="s">
        <v>10</v>
      </c>
      <c r="B7" s="2"/>
      <c r="C7" s="2"/>
      <c r="D7" s="2"/>
      <c r="E7" s="2"/>
      <c r="F7" s="2">
        <f>0.96*10.96</f>
        <v>10.521600000000001</v>
      </c>
      <c r="G7" s="2" t="s">
        <v>9</v>
      </c>
    </row>
    <row r="8" spans="1:7" x14ac:dyDescent="0.25">
      <c r="A8" s="4" t="s">
        <v>214</v>
      </c>
      <c r="B8" s="2"/>
      <c r="C8" s="2"/>
      <c r="D8" s="2"/>
      <c r="E8" s="2"/>
      <c r="F8" s="2">
        <f>F7*F6</f>
        <v>44995548.745634116</v>
      </c>
      <c r="G8" s="4" t="s">
        <v>215</v>
      </c>
    </row>
    <row r="9" spans="1:7" x14ac:dyDescent="0.25">
      <c r="A9" s="2"/>
      <c r="B9" s="2"/>
      <c r="C9" s="2"/>
      <c r="D9" s="2"/>
      <c r="E9" s="2"/>
      <c r="F9" s="2">
        <f>F8/1000000</f>
        <v>44.995548745634117</v>
      </c>
      <c r="G9" s="4" t="s">
        <v>216</v>
      </c>
    </row>
    <row r="10" spans="1:7" x14ac:dyDescent="0.25">
      <c r="A10" s="131" t="s">
        <v>76</v>
      </c>
      <c r="B10" s="132"/>
      <c r="C10" s="132"/>
      <c r="D10" s="132"/>
      <c r="E10" s="132"/>
      <c r="F10" s="132"/>
      <c r="G10" s="133"/>
    </row>
    <row r="11" spans="1:7" x14ac:dyDescent="0.25">
      <c r="A11" s="2" t="s">
        <v>81</v>
      </c>
      <c r="B11" s="2">
        <v>37</v>
      </c>
      <c r="C11" s="2"/>
      <c r="D11" s="2">
        <v>37</v>
      </c>
      <c r="E11" s="2"/>
      <c r="F11" s="2">
        <v>37</v>
      </c>
      <c r="G11" s="2"/>
    </row>
    <row r="12" spans="1:7" x14ac:dyDescent="0.25">
      <c r="A12" s="2" t="s">
        <v>155</v>
      </c>
      <c r="B12" s="126" t="s">
        <v>156</v>
      </c>
      <c r="C12" s="126"/>
      <c r="D12" s="126" t="s">
        <v>156</v>
      </c>
      <c r="E12" s="126"/>
      <c r="F12" s="126" t="s">
        <v>156</v>
      </c>
      <c r="G12" s="126"/>
    </row>
    <row r="13" spans="1:7" x14ac:dyDescent="0.25">
      <c r="A13" s="2" t="s">
        <v>157</v>
      </c>
      <c r="B13" s="2">
        <v>94</v>
      </c>
      <c r="C13" s="2" t="s">
        <v>152</v>
      </c>
      <c r="D13" s="2">
        <f>B13*2.54</f>
        <v>238.76</v>
      </c>
      <c r="E13" s="2" t="s">
        <v>153</v>
      </c>
      <c r="F13" s="2">
        <v>238.76</v>
      </c>
      <c r="G13" s="2" t="s">
        <v>153</v>
      </c>
    </row>
    <row r="14" spans="1:7" x14ac:dyDescent="0.25">
      <c r="A14" s="2" t="s">
        <v>158</v>
      </c>
      <c r="B14" s="2">
        <v>8.4659999999999993</v>
      </c>
      <c r="C14" s="2" t="s">
        <v>152</v>
      </c>
      <c r="D14" s="2">
        <f>B14*2.54</f>
        <v>21.503639999999997</v>
      </c>
      <c r="E14" s="2" t="s">
        <v>153</v>
      </c>
      <c r="F14" s="2">
        <v>21.503639999999997</v>
      </c>
      <c r="G14" s="2" t="s">
        <v>153</v>
      </c>
    </row>
    <row r="15" spans="1:7" x14ac:dyDescent="0.25">
      <c r="A15" s="2" t="s">
        <v>159</v>
      </c>
      <c r="B15" s="2">
        <v>0.496</v>
      </c>
      <c r="C15" s="2" t="s">
        <v>152</v>
      </c>
      <c r="D15" s="2">
        <f>B15*2.54</f>
        <v>1.2598400000000001</v>
      </c>
      <c r="E15" s="2" t="s">
        <v>153</v>
      </c>
      <c r="F15" s="2">
        <v>1.2598400000000001</v>
      </c>
      <c r="G15" s="2" t="s">
        <v>153</v>
      </c>
    </row>
    <row r="16" spans="1:7" x14ac:dyDescent="0.25">
      <c r="A16" s="2" t="s">
        <v>160</v>
      </c>
      <c r="B16" s="2">
        <v>5</v>
      </c>
      <c r="C16" s="2"/>
      <c r="D16" s="2">
        <v>5</v>
      </c>
      <c r="E16" s="2"/>
      <c r="F16" s="2">
        <v>5</v>
      </c>
      <c r="G16" s="2"/>
    </row>
    <row r="17" spans="1:7" x14ac:dyDescent="0.25">
      <c r="A17" s="2" t="s">
        <v>161</v>
      </c>
      <c r="B17" s="2">
        <v>1.75</v>
      </c>
      <c r="C17" s="2" t="s">
        <v>152</v>
      </c>
      <c r="D17" s="2">
        <f>B17*2.54</f>
        <v>4.4450000000000003</v>
      </c>
      <c r="E17" s="2" t="s">
        <v>153</v>
      </c>
      <c r="F17" s="2">
        <v>4.4450000000000003</v>
      </c>
      <c r="G17" s="2" t="s">
        <v>153</v>
      </c>
    </row>
    <row r="18" spans="1:7" x14ac:dyDescent="0.25">
      <c r="A18" s="2" t="s">
        <v>162</v>
      </c>
      <c r="B18" s="2">
        <v>264</v>
      </c>
      <c r="C18" s="2"/>
      <c r="D18" s="2">
        <v>264</v>
      </c>
      <c r="E18" s="2"/>
      <c r="F18" s="2">
        <v>264</v>
      </c>
      <c r="G18" s="2"/>
    </row>
    <row r="19" spans="1:7" x14ac:dyDescent="0.25">
      <c r="A19" s="2" t="s">
        <v>163</v>
      </c>
      <c r="B19" s="2">
        <v>24</v>
      </c>
      <c r="C19" s="2"/>
      <c r="D19" s="2">
        <v>24</v>
      </c>
      <c r="E19" s="2"/>
      <c r="F19" s="2">
        <v>24</v>
      </c>
      <c r="G19" s="2"/>
    </row>
    <row r="20" spans="1:7" x14ac:dyDescent="0.25">
      <c r="A20" s="2" t="s">
        <v>164</v>
      </c>
      <c r="B20" s="2">
        <v>1</v>
      </c>
      <c r="C20" s="2"/>
      <c r="D20" s="2">
        <v>1</v>
      </c>
      <c r="E20" s="2"/>
      <c r="F20" s="2">
        <v>1</v>
      </c>
      <c r="G20" s="2"/>
    </row>
    <row r="21" spans="1:7" x14ac:dyDescent="0.25">
      <c r="A21" s="4" t="s">
        <v>165</v>
      </c>
      <c r="B21" s="2"/>
      <c r="C21" s="2"/>
      <c r="D21" s="2"/>
      <c r="E21" s="2"/>
      <c r="F21" s="4">
        <v>0.04</v>
      </c>
      <c r="G21" s="2" t="s">
        <v>153</v>
      </c>
    </row>
    <row r="22" spans="1:7" x14ac:dyDescent="0.25">
      <c r="A22" s="131" t="s">
        <v>166</v>
      </c>
      <c r="B22" s="132"/>
      <c r="C22" s="132"/>
      <c r="D22" s="132"/>
      <c r="E22" s="132"/>
      <c r="F22" s="132"/>
      <c r="G22" s="133"/>
    </row>
    <row r="23" spans="1:7" x14ac:dyDescent="0.25">
      <c r="A23" s="2" t="s">
        <v>81</v>
      </c>
      <c r="B23" s="2">
        <v>264</v>
      </c>
      <c r="C23" s="2"/>
      <c r="D23" s="2">
        <v>264</v>
      </c>
      <c r="E23" s="2"/>
      <c r="F23" s="2">
        <v>264</v>
      </c>
      <c r="G23" s="2"/>
    </row>
    <row r="24" spans="1:7" x14ac:dyDescent="0.25">
      <c r="A24" s="2" t="s">
        <v>66</v>
      </c>
      <c r="B24" s="2">
        <v>6.4999999999999997E-3</v>
      </c>
      <c r="C24" s="2" t="s">
        <v>152</v>
      </c>
      <c r="D24" s="2">
        <f>B24*2.54</f>
        <v>1.651E-2</v>
      </c>
      <c r="E24" s="2" t="s">
        <v>153</v>
      </c>
      <c r="F24" s="2">
        <v>1.651E-2</v>
      </c>
      <c r="G24" s="2" t="s">
        <v>153</v>
      </c>
    </row>
    <row r="25" spans="1:7" x14ac:dyDescent="0.25">
      <c r="A25" s="2" t="s">
        <v>167</v>
      </c>
      <c r="B25" s="126" t="s">
        <v>168</v>
      </c>
      <c r="C25" s="126"/>
      <c r="D25" s="126" t="s">
        <v>168</v>
      </c>
      <c r="E25" s="126"/>
      <c r="F25" s="126" t="s">
        <v>169</v>
      </c>
      <c r="G25" s="126"/>
    </row>
    <row r="26" spans="1:7" x14ac:dyDescent="0.25">
      <c r="A26" s="2" t="s">
        <v>170</v>
      </c>
      <c r="B26" s="2">
        <v>0.374</v>
      </c>
      <c r="C26" s="2" t="s">
        <v>152</v>
      </c>
      <c r="D26" s="2">
        <f>B26*2.54</f>
        <v>0.94996000000000003</v>
      </c>
      <c r="E26" s="2" t="s">
        <v>153</v>
      </c>
      <c r="F26" s="2">
        <v>0.94996000000000003</v>
      </c>
      <c r="G26" s="2" t="s">
        <v>153</v>
      </c>
    </row>
    <row r="27" spans="1:7" x14ac:dyDescent="0.25">
      <c r="A27" s="2" t="s">
        <v>171</v>
      </c>
      <c r="B27" s="2">
        <v>0.32600000000000001</v>
      </c>
      <c r="C27" s="2" t="s">
        <v>152</v>
      </c>
      <c r="D27" s="2">
        <f>B27*2.54</f>
        <v>0.82804</v>
      </c>
      <c r="E27" s="2" t="s">
        <v>153</v>
      </c>
      <c r="F27" s="2">
        <v>0.82804</v>
      </c>
      <c r="G27" s="2" t="s">
        <v>153</v>
      </c>
    </row>
    <row r="28" spans="1:7" x14ac:dyDescent="0.25">
      <c r="A28" s="2" t="s">
        <v>172</v>
      </c>
      <c r="B28" s="2">
        <v>2.4E-2</v>
      </c>
      <c r="C28" s="2" t="s">
        <v>152</v>
      </c>
      <c r="D28" s="2">
        <f>B28*2.54</f>
        <v>6.096E-2</v>
      </c>
      <c r="E28" s="2" t="s">
        <v>153</v>
      </c>
      <c r="F28" s="2">
        <v>6.096E-2</v>
      </c>
      <c r="G28" s="2" t="s">
        <v>153</v>
      </c>
    </row>
    <row r="29" spans="1:7" x14ac:dyDescent="0.25">
      <c r="A29" s="2" t="s">
        <v>173</v>
      </c>
      <c r="B29" s="2">
        <v>85</v>
      </c>
      <c r="C29" s="2" t="s">
        <v>152</v>
      </c>
      <c r="D29" s="2">
        <f>B29*2.54</f>
        <v>215.9</v>
      </c>
      <c r="E29" s="2" t="s">
        <v>153</v>
      </c>
      <c r="F29" s="2">
        <v>215.9</v>
      </c>
      <c r="G29" s="2" t="s">
        <v>153</v>
      </c>
    </row>
    <row r="30" spans="1:7" x14ac:dyDescent="0.25">
      <c r="A30" s="2" t="s">
        <v>174</v>
      </c>
      <c r="B30" s="126" t="s">
        <v>175</v>
      </c>
      <c r="C30" s="126"/>
      <c r="D30" s="126" t="s">
        <v>175</v>
      </c>
      <c r="E30" s="126"/>
      <c r="F30" s="126" t="s">
        <v>175</v>
      </c>
      <c r="G30" s="126"/>
    </row>
    <row r="31" spans="1:7" x14ac:dyDescent="0.25">
      <c r="A31" s="131" t="s">
        <v>176</v>
      </c>
      <c r="B31" s="132"/>
      <c r="C31" s="132"/>
      <c r="D31" s="132"/>
      <c r="E31" s="132"/>
      <c r="F31" s="132"/>
      <c r="G31" s="133"/>
    </row>
    <row r="32" spans="1:7" x14ac:dyDescent="0.25">
      <c r="A32" s="2" t="s">
        <v>52</v>
      </c>
      <c r="B32" s="126" t="s">
        <v>177</v>
      </c>
      <c r="C32" s="126"/>
      <c r="D32" s="126" t="s">
        <v>177</v>
      </c>
      <c r="E32" s="126"/>
      <c r="F32" s="126" t="s">
        <v>177</v>
      </c>
      <c r="G32" s="126"/>
    </row>
    <row r="33" spans="1:7" x14ac:dyDescent="0.25">
      <c r="A33" s="2" t="s">
        <v>178</v>
      </c>
      <c r="B33" s="126" t="s">
        <v>179</v>
      </c>
      <c r="C33" s="126"/>
      <c r="D33" s="126" t="s">
        <v>179</v>
      </c>
      <c r="E33" s="126"/>
      <c r="F33" s="126" t="s">
        <v>179</v>
      </c>
      <c r="G33" s="126"/>
    </row>
    <row r="34" spans="1:7" x14ac:dyDescent="0.25">
      <c r="A34" s="2" t="s">
        <v>151</v>
      </c>
      <c r="B34" s="2">
        <v>0.31950000000000001</v>
      </c>
      <c r="C34" s="2" t="s">
        <v>152</v>
      </c>
      <c r="D34" s="2">
        <f>B34*2.54</f>
        <v>0.81152999999999997</v>
      </c>
      <c r="E34" s="2" t="s">
        <v>153</v>
      </c>
      <c r="F34" s="2">
        <v>0.81152999999999997</v>
      </c>
      <c r="G34" s="2" t="s">
        <v>153</v>
      </c>
    </row>
    <row r="35" spans="1:7" x14ac:dyDescent="0.25">
      <c r="A35" s="2" t="s">
        <v>157</v>
      </c>
      <c r="B35" s="2">
        <v>0.4</v>
      </c>
      <c r="C35" s="2" t="s">
        <v>152</v>
      </c>
      <c r="D35" s="2">
        <f>B35*2.54</f>
        <v>1.016</v>
      </c>
      <c r="E35" s="2" t="s">
        <v>153</v>
      </c>
      <c r="F35" s="2">
        <v>1.016</v>
      </c>
      <c r="G35" s="2" t="s">
        <v>153</v>
      </c>
    </row>
    <row r="36" spans="1:7" x14ac:dyDescent="0.25">
      <c r="A36" s="131" t="s">
        <v>180</v>
      </c>
      <c r="B36" s="132"/>
      <c r="C36" s="132"/>
      <c r="D36" s="132"/>
      <c r="E36" s="132"/>
      <c r="F36" s="132"/>
      <c r="G36" s="133"/>
    </row>
    <row r="37" spans="1:7" x14ac:dyDescent="0.25">
      <c r="A37" s="2" t="s">
        <v>81</v>
      </c>
      <c r="B37" s="2">
        <v>16</v>
      </c>
      <c r="C37" s="2"/>
      <c r="D37" s="2">
        <v>16</v>
      </c>
      <c r="E37" s="2"/>
      <c r="F37" s="2">
        <v>16</v>
      </c>
      <c r="G37" s="2"/>
    </row>
    <row r="38" spans="1:7" x14ac:dyDescent="0.25">
      <c r="A38" s="2" t="s">
        <v>181</v>
      </c>
      <c r="B38" s="126" t="s">
        <v>182</v>
      </c>
      <c r="C38" s="126"/>
      <c r="D38" s="126" t="s">
        <v>182</v>
      </c>
      <c r="E38" s="126"/>
      <c r="F38" s="126" t="s">
        <v>182</v>
      </c>
      <c r="G38" s="126"/>
    </row>
    <row r="39" spans="1:7" x14ac:dyDescent="0.25">
      <c r="A39" s="2" t="s">
        <v>183</v>
      </c>
      <c r="B39" s="126" t="s">
        <v>184</v>
      </c>
      <c r="C39" s="126"/>
      <c r="D39" s="126" t="s">
        <v>184</v>
      </c>
      <c r="E39" s="126"/>
      <c r="F39" s="126" t="s">
        <v>184</v>
      </c>
      <c r="G39" s="126"/>
    </row>
    <row r="40" spans="1:7" x14ac:dyDescent="0.25">
      <c r="A40" s="2" t="s">
        <v>38</v>
      </c>
      <c r="B40" s="126" t="s">
        <v>185</v>
      </c>
      <c r="C40" s="126"/>
      <c r="D40" s="126" t="s">
        <v>185</v>
      </c>
      <c r="E40" s="126"/>
      <c r="F40" s="126" t="s">
        <v>185</v>
      </c>
      <c r="G40" s="126"/>
    </row>
    <row r="41" spans="1:7" x14ac:dyDescent="0.25">
      <c r="A41" s="2" t="s">
        <v>174</v>
      </c>
      <c r="B41" s="126" t="s">
        <v>175</v>
      </c>
      <c r="C41" s="126"/>
      <c r="D41" s="126" t="s">
        <v>175</v>
      </c>
      <c r="E41" s="126"/>
      <c r="F41" s="126" t="s">
        <v>175</v>
      </c>
      <c r="G41" s="126"/>
    </row>
    <row r="42" spans="1:7" x14ac:dyDescent="0.25">
      <c r="A42" s="127" t="s">
        <v>186</v>
      </c>
      <c r="B42" s="128"/>
      <c r="C42" s="128"/>
      <c r="D42" s="128"/>
      <c r="E42" s="128"/>
      <c r="F42" s="128"/>
      <c r="G42" s="129"/>
    </row>
    <row r="43" spans="1:7" x14ac:dyDescent="0.25">
      <c r="A43" s="2" t="s">
        <v>187</v>
      </c>
      <c r="B43" s="2">
        <v>0.48199999999999998</v>
      </c>
      <c r="C43" s="2" t="s">
        <v>152</v>
      </c>
      <c r="D43" s="2">
        <f>B43*2.54</f>
        <v>1.22428</v>
      </c>
      <c r="E43" s="2" t="s">
        <v>153</v>
      </c>
      <c r="F43" s="2">
        <v>1.22428</v>
      </c>
      <c r="G43" s="2" t="s">
        <v>153</v>
      </c>
    </row>
    <row r="44" spans="1:7" x14ac:dyDescent="0.25">
      <c r="A44" s="2" t="s">
        <v>188</v>
      </c>
      <c r="B44" s="2">
        <v>0.45</v>
      </c>
      <c r="C44" s="2" t="s">
        <v>152</v>
      </c>
      <c r="D44" s="2">
        <f>B44*2.54</f>
        <v>1.143</v>
      </c>
      <c r="E44" s="2" t="s">
        <v>153</v>
      </c>
      <c r="F44" s="2">
        <v>1.143</v>
      </c>
      <c r="G44" s="2" t="s">
        <v>153</v>
      </c>
    </row>
    <row r="45" spans="1:7" x14ac:dyDescent="0.25">
      <c r="A45" s="2" t="s">
        <v>189</v>
      </c>
      <c r="B45" s="2">
        <v>0.39700000000000002</v>
      </c>
      <c r="C45" s="2" t="s">
        <v>152</v>
      </c>
      <c r="D45" s="2">
        <f>B45*2.54</f>
        <v>1.0083800000000001</v>
      </c>
      <c r="E45" s="2" t="s">
        <v>153</v>
      </c>
      <c r="F45" s="2">
        <v>1.0083800000000001</v>
      </c>
      <c r="G45" s="2" t="s">
        <v>153</v>
      </c>
    </row>
    <row r="46" spans="1:7" x14ac:dyDescent="0.25">
      <c r="A46" s="130" t="s">
        <v>190</v>
      </c>
      <c r="B46" s="130"/>
      <c r="C46" s="130"/>
      <c r="D46" s="130"/>
      <c r="E46" s="130"/>
      <c r="F46" s="130"/>
      <c r="G46" s="130"/>
    </row>
    <row r="47" spans="1:7" x14ac:dyDescent="0.25">
      <c r="A47" s="2" t="s">
        <v>191</v>
      </c>
      <c r="B47" s="2">
        <v>160</v>
      </c>
      <c r="C47" s="2" t="s">
        <v>192</v>
      </c>
      <c r="D47" s="2"/>
      <c r="E47" s="2"/>
      <c r="F47" s="2">
        <v>160</v>
      </c>
      <c r="G47" s="2" t="s">
        <v>192</v>
      </c>
    </row>
    <row r="48" spans="1:7" x14ac:dyDescent="0.25">
      <c r="A48" s="2" t="s">
        <v>193</v>
      </c>
      <c r="B48" s="2">
        <v>24</v>
      </c>
      <c r="C48" s="2" t="s">
        <v>194</v>
      </c>
      <c r="D48" s="2"/>
      <c r="E48" s="2"/>
      <c r="F48" s="2">
        <v>24</v>
      </c>
      <c r="G48" s="2" t="s">
        <v>194</v>
      </c>
    </row>
    <row r="49" spans="1:11" x14ac:dyDescent="0.25">
      <c r="A49" s="2" t="s">
        <v>195</v>
      </c>
      <c r="B49" s="2">
        <f>50*1000</f>
        <v>50000</v>
      </c>
      <c r="C49" s="2" t="s">
        <v>196</v>
      </c>
      <c r="D49" s="2"/>
      <c r="E49" s="2"/>
      <c r="F49" s="2">
        <v>60000</v>
      </c>
      <c r="G49" s="2" t="s">
        <v>196</v>
      </c>
    </row>
    <row r="50" spans="1:11" x14ac:dyDescent="0.25">
      <c r="A50" s="2" t="s">
        <v>197</v>
      </c>
      <c r="B50" s="2">
        <v>5</v>
      </c>
      <c r="C50" s="2" t="s">
        <v>198</v>
      </c>
      <c r="D50" s="2"/>
      <c r="E50" s="2"/>
      <c r="F50" s="2">
        <v>1.6404200000000001E-4</v>
      </c>
      <c r="G50" s="2" t="s">
        <v>199</v>
      </c>
    </row>
    <row r="51" spans="1:11" x14ac:dyDescent="0.25">
      <c r="A51" s="2" t="s">
        <v>200</v>
      </c>
      <c r="B51" s="2"/>
      <c r="C51" s="2"/>
      <c r="D51" s="2"/>
      <c r="E51" s="2"/>
      <c r="F51" s="2">
        <f>F50*72</f>
        <v>1.1811024000000002E-2</v>
      </c>
      <c r="G51" s="2" t="s">
        <v>199</v>
      </c>
    </row>
    <row r="52" spans="1:11" x14ac:dyDescent="0.25">
      <c r="A52" s="2" t="s">
        <v>201</v>
      </c>
      <c r="B52" s="2">
        <v>1850</v>
      </c>
      <c r="C52" s="2" t="s">
        <v>18</v>
      </c>
      <c r="D52" s="2"/>
      <c r="E52" s="2"/>
      <c r="F52" s="2">
        <v>1850</v>
      </c>
      <c r="G52" s="2" t="s">
        <v>18</v>
      </c>
    </row>
    <row r="53" spans="1:11" x14ac:dyDescent="0.25">
      <c r="A53" s="4" t="s">
        <v>202</v>
      </c>
      <c r="B53" s="2">
        <v>930</v>
      </c>
      <c r="C53" s="2" t="s">
        <v>203</v>
      </c>
      <c r="D53" s="2"/>
      <c r="E53" s="2"/>
      <c r="F53" s="49">
        <f>(B53+459.67)*5/9</f>
        <v>772.03888888888889</v>
      </c>
      <c r="G53" s="2" t="s">
        <v>12</v>
      </c>
      <c r="I53" t="s">
        <v>208</v>
      </c>
    </row>
    <row r="54" spans="1:11" x14ac:dyDescent="0.25">
      <c r="A54" s="2" t="s">
        <v>204</v>
      </c>
      <c r="B54" s="2">
        <v>543</v>
      </c>
      <c r="C54" s="2" t="s">
        <v>203</v>
      </c>
      <c r="D54" s="2"/>
      <c r="E54" s="2"/>
      <c r="F54" s="49">
        <f>(B54+459.67)*5/9</f>
        <v>557.03888888888889</v>
      </c>
      <c r="G54" s="2" t="s">
        <v>12</v>
      </c>
      <c r="I54" s="125" t="s">
        <v>209</v>
      </c>
      <c r="J54" s="125"/>
      <c r="K54" s="125"/>
    </row>
    <row r="55" spans="1:11" x14ac:dyDescent="0.25">
      <c r="A55" s="4" t="s">
        <v>205</v>
      </c>
      <c r="B55" s="4"/>
      <c r="C55" s="4"/>
      <c r="D55" s="4"/>
      <c r="E55" s="4"/>
      <c r="F55" s="70">
        <v>771.31946716807272</v>
      </c>
      <c r="G55" s="4" t="s">
        <v>12</v>
      </c>
      <c r="I55" s="50"/>
      <c r="J55" t="s">
        <v>210</v>
      </c>
      <c r="K55" t="s">
        <v>211</v>
      </c>
    </row>
    <row r="56" spans="1:11" x14ac:dyDescent="0.25">
      <c r="A56" s="4" t="s">
        <v>206</v>
      </c>
      <c r="B56" s="4"/>
      <c r="C56" s="4"/>
      <c r="D56" s="4"/>
      <c r="E56" s="4"/>
      <c r="F56" s="70">
        <v>711.77061276948893</v>
      </c>
      <c r="G56" s="4" t="s">
        <v>12</v>
      </c>
    </row>
  </sheetData>
  <mergeCells count="39">
    <mergeCell ref="A10:G10"/>
    <mergeCell ref="A1:A2"/>
    <mergeCell ref="B1:C1"/>
    <mergeCell ref="D1:E1"/>
    <mergeCell ref="F1:G1"/>
    <mergeCell ref="A3:G3"/>
    <mergeCell ref="B12:C12"/>
    <mergeCell ref="D12:E12"/>
    <mergeCell ref="F12:G12"/>
    <mergeCell ref="A22:G22"/>
    <mergeCell ref="B25:C25"/>
    <mergeCell ref="D25:E25"/>
    <mergeCell ref="F25:G25"/>
    <mergeCell ref="B30:C30"/>
    <mergeCell ref="D30:E30"/>
    <mergeCell ref="F30:G30"/>
    <mergeCell ref="A31:G31"/>
    <mergeCell ref="B32:C32"/>
    <mergeCell ref="D32:E32"/>
    <mergeCell ref="F32:G32"/>
    <mergeCell ref="B33:C33"/>
    <mergeCell ref="D33:E33"/>
    <mergeCell ref="F33:G33"/>
    <mergeCell ref="A36:G36"/>
    <mergeCell ref="B38:C38"/>
    <mergeCell ref="D38:E38"/>
    <mergeCell ref="F38:G38"/>
    <mergeCell ref="I54:K54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A42:G42"/>
    <mergeCell ref="A46:G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F1" zoomScale="103" workbookViewId="0">
      <selection activeCell="F6" sqref="F6"/>
    </sheetView>
  </sheetViews>
  <sheetFormatPr defaultRowHeight="15" x14ac:dyDescent="0.25"/>
  <cols>
    <col min="2" max="2" width="18.85546875" bestFit="1" customWidth="1"/>
    <col min="5" max="5" width="23.5703125" bestFit="1" customWidth="1"/>
    <col min="6" max="6" width="12.28515625" bestFit="1" customWidth="1"/>
    <col min="8" max="8" width="17.5703125" bestFit="1" customWidth="1"/>
    <col min="9" max="9" width="18.42578125" bestFit="1" customWidth="1"/>
    <col min="11" max="11" width="18.42578125" bestFit="1" customWidth="1"/>
  </cols>
  <sheetData>
    <row r="2" spans="2:8" x14ac:dyDescent="0.25">
      <c r="B2" s="126" t="s">
        <v>141</v>
      </c>
      <c r="C2" s="126"/>
      <c r="E2" s="126" t="s">
        <v>71</v>
      </c>
      <c r="F2" s="126"/>
    </row>
    <row r="3" spans="2:8" x14ac:dyDescent="0.25">
      <c r="B3" s="1" t="s">
        <v>39</v>
      </c>
      <c r="C3" s="1" t="s">
        <v>59</v>
      </c>
      <c r="E3" s="31" t="s">
        <v>39</v>
      </c>
      <c r="F3" s="31" t="s">
        <v>68</v>
      </c>
    </row>
    <row r="4" spans="2:8" x14ac:dyDescent="0.25">
      <c r="B4" s="2" t="s">
        <v>56</v>
      </c>
      <c r="C4" s="2">
        <v>0.94996000000000003</v>
      </c>
      <c r="E4" s="32" t="s">
        <v>72</v>
      </c>
      <c r="F4" s="2">
        <f>165/2</f>
        <v>82.5</v>
      </c>
      <c r="G4">
        <f>F4*2</f>
        <v>165</v>
      </c>
    </row>
    <row r="5" spans="2:8" x14ac:dyDescent="0.25">
      <c r="B5" s="2" t="s">
        <v>57</v>
      </c>
      <c r="C5" s="2">
        <v>0.82804</v>
      </c>
      <c r="E5" s="2" t="s">
        <v>73</v>
      </c>
      <c r="F5" s="2">
        <v>200</v>
      </c>
      <c r="H5">
        <f>F5/G4</f>
        <v>1.2121212121212122</v>
      </c>
    </row>
    <row r="6" spans="2:8" x14ac:dyDescent="0.25">
      <c r="B6" s="2" t="s">
        <v>60</v>
      </c>
      <c r="C6" s="2">
        <f>($C$4-$C$5)/2</f>
        <v>6.0960000000000014E-2</v>
      </c>
      <c r="E6" s="2" t="s">
        <v>74</v>
      </c>
      <c r="F6" s="39">
        <f>(PI()/F5)^2+(2.405/F4)^2</f>
        <v>1.0965509456562514E-3</v>
      </c>
    </row>
    <row r="7" spans="2:8" x14ac:dyDescent="0.25">
      <c r="B7" s="2" t="s">
        <v>66</v>
      </c>
      <c r="C7" s="2">
        <v>1.651E-2</v>
      </c>
      <c r="E7" s="126" t="s">
        <v>76</v>
      </c>
      <c r="F7" s="126"/>
    </row>
    <row r="8" spans="2:8" x14ac:dyDescent="0.25">
      <c r="B8" s="2" t="s">
        <v>58</v>
      </c>
      <c r="C8" s="2">
        <v>0.81152999999999997</v>
      </c>
      <c r="E8" s="31" t="s">
        <v>39</v>
      </c>
      <c r="F8" s="31" t="s">
        <v>68</v>
      </c>
    </row>
    <row r="9" spans="2:8" x14ac:dyDescent="0.25">
      <c r="B9" s="2" t="s">
        <v>61</v>
      </c>
      <c r="C9" s="2">
        <v>1.2598400000000001</v>
      </c>
      <c r="E9" s="32" t="s">
        <v>77</v>
      </c>
      <c r="F9" s="2">
        <v>21.417300000000001</v>
      </c>
    </row>
    <row r="10" spans="2:8" x14ac:dyDescent="0.25">
      <c r="B10" s="126" t="s">
        <v>67</v>
      </c>
      <c r="C10" s="126"/>
      <c r="E10" s="2" t="s">
        <v>78</v>
      </c>
      <c r="F10" s="2">
        <v>21.497299999999999</v>
      </c>
    </row>
    <row r="11" spans="2:8" x14ac:dyDescent="0.25">
      <c r="B11" s="27" t="s">
        <v>39</v>
      </c>
      <c r="C11" s="27" t="s">
        <v>68</v>
      </c>
      <c r="E11" s="2" t="s">
        <v>79</v>
      </c>
      <c r="F11" s="2">
        <f>(F10-F9)/2</f>
        <v>3.9999999999999147E-2</v>
      </c>
    </row>
    <row r="12" spans="2:8" x14ac:dyDescent="0.25">
      <c r="B12" s="28" t="s">
        <v>62</v>
      </c>
      <c r="C12" s="28">
        <f>$C$9/SQRT(PI())</f>
        <v>0.7107886049368054</v>
      </c>
      <c r="E12" s="2" t="s">
        <v>134</v>
      </c>
      <c r="F12" s="2">
        <v>200</v>
      </c>
    </row>
    <row r="13" spans="2:8" x14ac:dyDescent="0.25">
      <c r="B13" s="28" t="s">
        <v>63</v>
      </c>
      <c r="C13" s="28">
        <f>$C$4/2</f>
        <v>0.47498000000000001</v>
      </c>
      <c r="E13" s="47" t="s">
        <v>69</v>
      </c>
      <c r="F13" s="47">
        <f>2*F11</f>
        <v>7.9999999999998295E-2</v>
      </c>
    </row>
    <row r="14" spans="2:8" x14ac:dyDescent="0.25">
      <c r="B14" s="28" t="s">
        <v>64</v>
      </c>
      <c r="C14" s="28">
        <f>$C$13-$C$6</f>
        <v>0.41402</v>
      </c>
      <c r="E14" s="126" t="s">
        <v>328</v>
      </c>
      <c r="F14" s="126"/>
    </row>
    <row r="15" spans="2:8" x14ac:dyDescent="0.25">
      <c r="B15" s="28" t="s">
        <v>65</v>
      </c>
      <c r="C15" s="28">
        <f>$C$14-($C$7/2)</f>
        <v>0.40576499999999999</v>
      </c>
      <c r="E15" s="31" t="s">
        <v>39</v>
      </c>
      <c r="F15" s="31" t="s">
        <v>68</v>
      </c>
    </row>
    <row r="16" spans="2:8" x14ac:dyDescent="0.25">
      <c r="B16" s="126" t="s">
        <v>69</v>
      </c>
      <c r="C16" s="126"/>
      <c r="E16" s="32" t="s">
        <v>137</v>
      </c>
      <c r="F16" s="2">
        <f>F17+28</f>
        <v>193</v>
      </c>
    </row>
    <row r="17" spans="2:9" x14ac:dyDescent="0.25">
      <c r="B17" s="29" t="s">
        <v>39</v>
      </c>
      <c r="C17" s="29" t="s">
        <v>68</v>
      </c>
      <c r="E17" s="2" t="s">
        <v>138</v>
      </c>
      <c r="F17" s="2">
        <v>165</v>
      </c>
    </row>
    <row r="18" spans="2:9" x14ac:dyDescent="0.25">
      <c r="B18" s="30" t="s">
        <v>21</v>
      </c>
      <c r="C18" s="30">
        <v>0.81152999999999997</v>
      </c>
      <c r="E18" s="2" t="s">
        <v>142</v>
      </c>
      <c r="F18" s="2">
        <v>14</v>
      </c>
    </row>
    <row r="19" spans="2:9" x14ac:dyDescent="0.25">
      <c r="B19" s="30" t="s">
        <v>70</v>
      </c>
      <c r="C19" s="30">
        <v>1.651E-2</v>
      </c>
      <c r="E19" s="47" t="s">
        <v>69</v>
      </c>
      <c r="F19" s="47">
        <f>2*(F16/2)*(1-(((F17/2)/(F16/2))^2))</f>
        <v>51.937823834196891</v>
      </c>
    </row>
    <row r="20" spans="2:9" x14ac:dyDescent="0.25">
      <c r="B20" s="30" t="s">
        <v>27</v>
      </c>
      <c r="C20" s="30">
        <f>($C$4-$C$5)</f>
        <v>0.12192000000000003</v>
      </c>
      <c r="E20" s="126" t="s">
        <v>207</v>
      </c>
      <c r="F20" s="126"/>
      <c r="H20" s="8"/>
      <c r="I20" s="8"/>
    </row>
    <row r="21" spans="2:9" x14ac:dyDescent="0.25">
      <c r="B21" s="30" t="s">
        <v>23</v>
      </c>
      <c r="C21" s="30">
        <f>4*((C9^2)-(PI()/4*C4^2))/((4*C9)+(PI()*C4))</f>
        <v>0.43791741341351054</v>
      </c>
      <c r="E21" s="48" t="s">
        <v>75</v>
      </c>
      <c r="F21" s="48">
        <v>81</v>
      </c>
    </row>
    <row r="22" spans="2:9" x14ac:dyDescent="0.25">
      <c r="B22" s="136" t="s">
        <v>140</v>
      </c>
      <c r="C22" s="136"/>
      <c r="E22" s="2" t="s">
        <v>143</v>
      </c>
      <c r="F22" s="2">
        <f>F21-F23-F24</f>
        <v>72</v>
      </c>
    </row>
    <row r="23" spans="2:9" x14ac:dyDescent="0.25">
      <c r="B23" s="96">
        <v>1</v>
      </c>
      <c r="C23" s="96">
        <v>0</v>
      </c>
      <c r="E23" s="2" t="s">
        <v>144</v>
      </c>
      <c r="F23" s="2">
        <v>8</v>
      </c>
    </row>
    <row r="24" spans="2:9" x14ac:dyDescent="0.25">
      <c r="B24" s="96">
        <v>2</v>
      </c>
      <c r="C24" s="96">
        <f>$C$32/9</f>
        <v>4.5085E-2</v>
      </c>
      <c r="E24" s="2" t="s">
        <v>145</v>
      </c>
      <c r="F24" s="2">
        <v>1</v>
      </c>
    </row>
    <row r="25" spans="2:9" x14ac:dyDescent="0.25">
      <c r="B25" s="96">
        <v>3</v>
      </c>
      <c r="C25" s="96">
        <f>$C$24*(B25-1)</f>
        <v>9.017E-2</v>
      </c>
      <c r="E25">
        <f>C6/3</f>
        <v>2.0320000000000005E-2</v>
      </c>
    </row>
    <row r="26" spans="2:9" x14ac:dyDescent="0.25">
      <c r="B26" s="96">
        <v>4</v>
      </c>
      <c r="C26" s="96">
        <f t="shared" ref="C26:C30" si="0">$C$24*(B26-1)</f>
        <v>0.13525500000000001</v>
      </c>
    </row>
    <row r="27" spans="2:9" x14ac:dyDescent="0.25">
      <c r="B27" s="96">
        <v>5</v>
      </c>
      <c r="C27" s="96">
        <f t="shared" si="0"/>
        <v>0.18034</v>
      </c>
    </row>
    <row r="28" spans="2:9" x14ac:dyDescent="0.25">
      <c r="B28" s="96">
        <v>6</v>
      </c>
      <c r="C28" s="96">
        <f t="shared" si="0"/>
        <v>0.22542499999999999</v>
      </c>
    </row>
    <row r="29" spans="2:9" x14ac:dyDescent="0.25">
      <c r="B29" s="96">
        <v>7</v>
      </c>
      <c r="C29" s="96">
        <f t="shared" si="0"/>
        <v>0.27051000000000003</v>
      </c>
    </row>
    <row r="30" spans="2:9" x14ac:dyDescent="0.25">
      <c r="B30" s="96">
        <v>8</v>
      </c>
      <c r="C30" s="96">
        <f t="shared" si="0"/>
        <v>0.31559500000000001</v>
      </c>
    </row>
    <row r="31" spans="2:9" x14ac:dyDescent="0.25">
      <c r="B31" s="96">
        <v>9</v>
      </c>
      <c r="C31" s="96">
        <f>$C$24*(B31-1)</f>
        <v>0.36068</v>
      </c>
    </row>
    <row r="32" spans="2:9" x14ac:dyDescent="0.25">
      <c r="B32" s="96">
        <v>10</v>
      </c>
      <c r="C32" s="96">
        <f>C15</f>
        <v>0.40576499999999999</v>
      </c>
    </row>
    <row r="33" spans="2:3" x14ac:dyDescent="0.25">
      <c r="B33" s="97">
        <v>11</v>
      </c>
      <c r="C33" s="97">
        <f>C14</f>
        <v>0.41402</v>
      </c>
    </row>
    <row r="34" spans="2:3" x14ac:dyDescent="0.25">
      <c r="B34" s="34">
        <v>12</v>
      </c>
      <c r="C34" s="34">
        <f>C33+$E$25</f>
        <v>0.43434</v>
      </c>
    </row>
    <row r="35" spans="2:3" x14ac:dyDescent="0.25">
      <c r="B35" s="34">
        <v>13</v>
      </c>
      <c r="C35" s="34">
        <f>C34+$E$25</f>
        <v>0.45466000000000001</v>
      </c>
    </row>
    <row r="36" spans="2:3" x14ac:dyDescent="0.25">
      <c r="B36" s="34">
        <v>14</v>
      </c>
      <c r="C36" s="34">
        <f>C13</f>
        <v>0.47498000000000001</v>
      </c>
    </row>
    <row r="37" spans="2:3" x14ac:dyDescent="0.25">
      <c r="B37" s="94" t="s">
        <v>75</v>
      </c>
      <c r="C37" s="94">
        <v>81</v>
      </c>
    </row>
  </sheetData>
  <mergeCells count="8">
    <mergeCell ref="E7:F7"/>
    <mergeCell ref="B22:C22"/>
    <mergeCell ref="B16:C16"/>
    <mergeCell ref="E2:F2"/>
    <mergeCell ref="B2:C2"/>
    <mergeCell ref="B10:C10"/>
    <mergeCell ref="E14:F14"/>
    <mergeCell ref="E20:F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workbookViewId="0">
      <selection activeCell="S69" sqref="S69:S80"/>
    </sheetView>
  </sheetViews>
  <sheetFormatPr defaultRowHeight="15" x14ac:dyDescent="0.25"/>
  <cols>
    <col min="1" max="1" width="28.7109375" bestFit="1" customWidth="1"/>
    <col min="4" max="5" width="11" bestFit="1" customWidth="1"/>
    <col min="7" max="7" width="12" bestFit="1" customWidth="1"/>
    <col min="18" max="18" width="30" bestFit="1" customWidth="1"/>
    <col min="19" max="19" width="27.42578125" bestFit="1" customWidth="1"/>
    <col min="20" max="20" width="12" bestFit="1" customWidth="1"/>
  </cols>
  <sheetData>
    <row r="1" spans="1:21" x14ac:dyDescent="0.25">
      <c r="A1" t="s">
        <v>11</v>
      </c>
      <c r="B1">
        <v>772.03899999999999</v>
      </c>
      <c r="C1" t="s">
        <v>12</v>
      </c>
      <c r="D1" t="s">
        <v>246</v>
      </c>
      <c r="F1" t="s">
        <v>247</v>
      </c>
      <c r="G1">
        <f>2*B6*B7</f>
        <v>5.2027287617569842</v>
      </c>
      <c r="R1" s="68"/>
      <c r="S1" t="s">
        <v>204</v>
      </c>
      <c r="T1">
        <v>531.48299999999995</v>
      </c>
      <c r="U1" t="s">
        <v>12</v>
      </c>
    </row>
    <row r="2" spans="1:21" x14ac:dyDescent="0.25">
      <c r="A2" t="s">
        <v>248</v>
      </c>
      <c r="B2">
        <v>557.03899999999999</v>
      </c>
      <c r="C2" t="s">
        <v>12</v>
      </c>
      <c r="D2" t="s">
        <v>249</v>
      </c>
      <c r="F2" t="s">
        <v>250</v>
      </c>
      <c r="G2">
        <f>B12*0.00001/B8</f>
        <v>2.591863517060367E-3</v>
      </c>
      <c r="R2" s="68"/>
      <c r="S2" t="s">
        <v>248</v>
      </c>
      <c r="T2">
        <v>557.03899999999999</v>
      </c>
      <c r="U2" t="s">
        <v>12</v>
      </c>
    </row>
    <row r="3" spans="1:21" x14ac:dyDescent="0.25">
      <c r="A3" t="s">
        <v>251</v>
      </c>
      <c r="B3">
        <v>658.15</v>
      </c>
      <c r="C3" t="s">
        <v>12</v>
      </c>
      <c r="F3" t="s">
        <v>252</v>
      </c>
      <c r="G3">
        <f>B9/((B10^-1)+(B11^-1)-1)</f>
        <v>1.0154290645247896E-12</v>
      </c>
      <c r="R3" s="68"/>
      <c r="S3" t="s">
        <v>253</v>
      </c>
      <c r="T3">
        <f>(2*T2)-T1</f>
        <v>582.59500000000003</v>
      </c>
      <c r="U3" t="s">
        <v>12</v>
      </c>
    </row>
    <row r="4" spans="1:21" x14ac:dyDescent="0.25">
      <c r="A4" t="s">
        <v>254</v>
      </c>
      <c r="B4">
        <v>664.53899999999999</v>
      </c>
      <c r="C4" t="s">
        <v>12</v>
      </c>
      <c r="R4" s="68"/>
      <c r="S4" t="s">
        <v>58</v>
      </c>
      <c r="T4" s="69">
        <f>0.94996/100</f>
        <v>9.4996000000000004E-3</v>
      </c>
      <c r="U4" t="s">
        <v>255</v>
      </c>
    </row>
    <row r="5" spans="1:21" x14ac:dyDescent="0.25">
      <c r="A5" s="2" t="s">
        <v>256</v>
      </c>
      <c r="B5" s="2">
        <f>0.000164042*1000000</f>
        <v>164.042</v>
      </c>
      <c r="C5" s="2" t="s">
        <v>257</v>
      </c>
      <c r="D5" t="s">
        <v>258</v>
      </c>
      <c r="R5" s="68"/>
      <c r="S5" t="s">
        <v>259</v>
      </c>
      <c r="T5">
        <f>B6*T4*2</f>
        <v>5.9687747144083203E-2</v>
      </c>
      <c r="U5" t="s">
        <v>260</v>
      </c>
    </row>
    <row r="6" spans="1:21" x14ac:dyDescent="0.25">
      <c r="A6" s="46" t="s">
        <v>261</v>
      </c>
      <c r="B6">
        <f>PI()</f>
        <v>3.1415926535897931</v>
      </c>
      <c r="R6" s="68"/>
      <c r="S6" t="s">
        <v>262</v>
      </c>
      <c r="T6">
        <v>587.15012339999998</v>
      </c>
      <c r="U6" t="s">
        <v>263</v>
      </c>
    </row>
    <row r="7" spans="1:21" x14ac:dyDescent="0.25">
      <c r="A7" s="46" t="s">
        <v>264</v>
      </c>
      <c r="B7" s="2">
        <v>0.82804</v>
      </c>
      <c r="C7" s="2" t="s">
        <v>153</v>
      </c>
      <c r="D7" t="s">
        <v>265</v>
      </c>
      <c r="R7" s="68"/>
      <c r="S7" t="s">
        <v>266</v>
      </c>
      <c r="T7">
        <v>0.82296000000000002</v>
      </c>
      <c r="U7" t="s">
        <v>267</v>
      </c>
    </row>
    <row r="8" spans="1:21" x14ac:dyDescent="0.25">
      <c r="A8" s="46" t="s">
        <v>268</v>
      </c>
      <c r="B8" s="2">
        <v>6.0960000000000014E-2</v>
      </c>
      <c r="C8" s="2" t="s">
        <v>153</v>
      </c>
      <c r="D8" t="s">
        <v>269</v>
      </c>
      <c r="R8" s="68"/>
      <c r="S8" t="s">
        <v>270</v>
      </c>
    </row>
    <row r="9" spans="1:21" x14ac:dyDescent="0.25">
      <c r="A9" s="46" t="s">
        <v>271</v>
      </c>
      <c r="B9" s="57">
        <f>0.00000005670367/10000</f>
        <v>5.6703669999999993E-12</v>
      </c>
      <c r="C9" s="46" t="s">
        <v>334</v>
      </c>
      <c r="D9" t="s">
        <v>272</v>
      </c>
      <c r="R9" s="68"/>
      <c r="S9" t="s">
        <v>248</v>
      </c>
      <c r="T9">
        <v>557.03899999999999</v>
      </c>
      <c r="U9" t="s">
        <v>12</v>
      </c>
    </row>
    <row r="10" spans="1:21" x14ac:dyDescent="0.25">
      <c r="A10" s="46" t="s">
        <v>273</v>
      </c>
      <c r="B10" s="46">
        <v>0.87</v>
      </c>
      <c r="D10" t="s">
        <v>274</v>
      </c>
      <c r="E10" t="s">
        <v>275</v>
      </c>
      <c r="R10" s="68"/>
      <c r="S10" t="s">
        <v>276</v>
      </c>
      <c r="T10">
        <v>1850</v>
      </c>
      <c r="U10" t="s">
        <v>18</v>
      </c>
    </row>
    <row r="11" spans="1:21" x14ac:dyDescent="0.25">
      <c r="A11" s="46" t="s">
        <v>277</v>
      </c>
      <c r="B11" s="46">
        <v>0.184</v>
      </c>
      <c r="D11" t="s">
        <v>278</v>
      </c>
      <c r="E11" t="s">
        <v>279</v>
      </c>
      <c r="R11" s="68"/>
      <c r="S11" t="s">
        <v>52</v>
      </c>
      <c r="T11">
        <v>753.20399999999995</v>
      </c>
      <c r="U11" t="s">
        <v>280</v>
      </c>
    </row>
    <row r="12" spans="1:21" x14ac:dyDescent="0.25">
      <c r="A12" s="46" t="s">
        <v>281</v>
      </c>
      <c r="B12" s="46">
        <v>15.8</v>
      </c>
      <c r="R12" s="68"/>
      <c r="S12" t="s">
        <v>282</v>
      </c>
      <c r="T12" s="57">
        <v>9.3751000000000004E-5</v>
      </c>
      <c r="U12" t="s">
        <v>283</v>
      </c>
    </row>
    <row r="13" spans="1:21" x14ac:dyDescent="0.25">
      <c r="R13" s="68"/>
      <c r="S13" t="s">
        <v>284</v>
      </c>
      <c r="T13">
        <v>5.2000599999999997</v>
      </c>
      <c r="U13" t="s">
        <v>285</v>
      </c>
    </row>
    <row r="14" spans="1:21" x14ac:dyDescent="0.25">
      <c r="A14" s="137" t="s">
        <v>286</v>
      </c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68"/>
      <c r="S14" t="s">
        <v>287</v>
      </c>
      <c r="T14">
        <v>4.6342128000000002</v>
      </c>
      <c r="U14" t="s">
        <v>288</v>
      </c>
    </row>
    <row r="15" spans="1:21" x14ac:dyDescent="0.25">
      <c r="A15" s="137" t="s">
        <v>289</v>
      </c>
      <c r="B15" s="137" t="s">
        <v>290</v>
      </c>
      <c r="C15" s="137"/>
      <c r="D15" s="137"/>
      <c r="E15" s="137"/>
      <c r="F15" s="137"/>
      <c r="G15" s="137" t="s">
        <v>291</v>
      </c>
      <c r="H15" s="137"/>
      <c r="I15" s="137"/>
      <c r="J15" s="137"/>
      <c r="K15" s="137"/>
      <c r="L15" s="137" t="s">
        <v>292</v>
      </c>
      <c r="M15" s="137"/>
      <c r="N15" s="137"/>
      <c r="O15" s="137"/>
      <c r="P15" s="137"/>
      <c r="Q15" s="86" t="s">
        <v>293</v>
      </c>
      <c r="R15" s="68"/>
    </row>
    <row r="16" spans="1:21" x14ac:dyDescent="0.25">
      <c r="A16" s="137"/>
      <c r="B16" t="s">
        <v>294</v>
      </c>
      <c r="C16" t="s">
        <v>305</v>
      </c>
      <c r="D16" t="s">
        <v>333</v>
      </c>
      <c r="E16" t="s">
        <v>295</v>
      </c>
      <c r="F16" t="s">
        <v>296</v>
      </c>
      <c r="G16" t="s">
        <v>294</v>
      </c>
      <c r="H16" t="s">
        <v>305</v>
      </c>
      <c r="I16" t="s">
        <v>281</v>
      </c>
      <c r="J16" t="s">
        <v>295</v>
      </c>
      <c r="K16" t="s">
        <v>296</v>
      </c>
      <c r="L16" t="s">
        <v>294</v>
      </c>
      <c r="M16" t="s">
        <v>305</v>
      </c>
      <c r="N16" t="s">
        <v>281</v>
      </c>
      <c r="O16" t="s">
        <v>295</v>
      </c>
      <c r="P16" t="s">
        <v>296</v>
      </c>
      <c r="R16" s="68"/>
      <c r="S16" t="s">
        <v>297</v>
      </c>
    </row>
    <row r="17" spans="1:21" x14ac:dyDescent="0.25">
      <c r="A17">
        <v>1</v>
      </c>
      <c r="B17">
        <v>600</v>
      </c>
      <c r="C17">
        <f>($B$1+B17)/2</f>
        <v>686.01949999999999</v>
      </c>
      <c r="D17">
        <f>$G$2*C17^0.79</f>
        <v>0.45114685326705301</v>
      </c>
      <c r="E17">
        <f t="shared" ref="E17:E48" si="0">($B$1^4-B17^4)/($B$1-B17)</f>
        <v>1311729952.1632953</v>
      </c>
      <c r="F17">
        <f t="shared" ref="F17:F48" si="1">$B$1-($B$5/($G$1*(D17+($G$3*E17))))-B17</f>
        <v>102.35619675839087</v>
      </c>
      <c r="G17">
        <f t="shared" ref="G17:G48" si="2">(B17+L17)/2</f>
        <v>700</v>
      </c>
      <c r="H17">
        <f>($B$1+G17)/2</f>
        <v>736.01949999999999</v>
      </c>
      <c r="I17">
        <f>$G$2*H17^0.79</f>
        <v>0.47693005545662226</v>
      </c>
      <c r="J17">
        <f t="shared" ref="J17:J48" si="3">($B$1^4-G17^4)/($B$1-G17)</f>
        <v>1598699443.9153953</v>
      </c>
      <c r="K17">
        <f t="shared" ref="K17:K48" si="4">$B$1-($B$5/($G$1*(I17+($G$3*J17))))-G17</f>
        <v>6.1529540173405621</v>
      </c>
      <c r="L17">
        <v>800</v>
      </c>
      <c r="M17">
        <f>($B$1+L17)/2</f>
        <v>786.01949999999999</v>
      </c>
      <c r="N17">
        <f>$G$2*M17^0.79</f>
        <v>0.50234773880358363</v>
      </c>
      <c r="O17">
        <f t="shared" ref="O17:O48" si="5">($B$1^4-L17^4)/($B$1-L17)</f>
        <v>1943109715.6674957</v>
      </c>
      <c r="P17">
        <f t="shared" ref="P17:P48" si="6">$B$1-($B$5/($G$1*(N17+($G$3*O17))))-L17</f>
        <v>-90.480711496233084</v>
      </c>
      <c r="R17" s="68"/>
      <c r="T17" t="s">
        <v>298</v>
      </c>
      <c r="U17" s="57">
        <f>T11*T7*T4/T12</f>
        <v>62808.837385995495</v>
      </c>
    </row>
    <row r="18" spans="1:21" x14ac:dyDescent="0.25">
      <c r="A18">
        <v>2</v>
      </c>
      <c r="B18">
        <f t="shared" ref="B18:B49" si="7">IF(F17*K17&gt;0,G17,B17)</f>
        <v>700</v>
      </c>
      <c r="C18">
        <f t="shared" ref="C18:C66" si="8">($B$1+B18)/2</f>
        <v>736.01949999999999</v>
      </c>
      <c r="D18">
        <f t="shared" ref="D18:D66" si="9">$G$2*C18^0.79</f>
        <v>0.47693005545662226</v>
      </c>
      <c r="E18">
        <f t="shared" si="0"/>
        <v>1598699443.9153953</v>
      </c>
      <c r="F18">
        <f t="shared" si="1"/>
        <v>6.1529540173405621</v>
      </c>
      <c r="G18">
        <f t="shared" si="2"/>
        <v>750</v>
      </c>
      <c r="H18">
        <f t="shared" ref="H18:H66" si="10">($B$1+G18)/2</f>
        <v>761.01949999999999</v>
      </c>
      <c r="I18">
        <f t="shared" ref="I18:I66" si="11">$G$2*H18^0.79</f>
        <v>0.48968274253804794</v>
      </c>
      <c r="J18">
        <f t="shared" si="3"/>
        <v>1763349482.2914448</v>
      </c>
      <c r="K18">
        <f t="shared" si="4"/>
        <v>-42.115029927897353</v>
      </c>
      <c r="L18">
        <f t="shared" ref="L18:L49" si="12">IF(K17*P17&lt;0,L17,G17)</f>
        <v>800</v>
      </c>
      <c r="M18">
        <f t="shared" ref="M18:M66" si="13">($B$1+L18)/2</f>
        <v>786.01949999999999</v>
      </c>
      <c r="N18">
        <f t="shared" ref="N18:N66" si="14">$G$2*M18^0.79</f>
        <v>0.50234773880358363</v>
      </c>
      <c r="O18">
        <f t="shared" si="5"/>
        <v>1943109715.6674957</v>
      </c>
      <c r="P18">
        <f t="shared" si="6"/>
        <v>-90.480711496233084</v>
      </c>
      <c r="Q18">
        <f>G18-G17</f>
        <v>50</v>
      </c>
      <c r="R18" s="68"/>
      <c r="T18" t="s">
        <v>299</v>
      </c>
      <c r="U18" s="57">
        <f>T13*T12/T14</f>
        <v>1.0519819570219131E-4</v>
      </c>
    </row>
    <row r="19" spans="1:21" x14ac:dyDescent="0.25">
      <c r="A19">
        <v>3</v>
      </c>
      <c r="B19">
        <f t="shared" si="7"/>
        <v>700</v>
      </c>
      <c r="C19">
        <f t="shared" si="8"/>
        <v>736.01949999999999</v>
      </c>
      <c r="D19">
        <f t="shared" si="9"/>
        <v>0.47693005545662226</v>
      </c>
      <c r="E19">
        <f t="shared" si="0"/>
        <v>1598699443.9153953</v>
      </c>
      <c r="F19">
        <f t="shared" si="1"/>
        <v>6.1529540173405621</v>
      </c>
      <c r="G19">
        <f t="shared" si="2"/>
        <v>725</v>
      </c>
      <c r="H19">
        <f t="shared" si="10"/>
        <v>748.51949999999999</v>
      </c>
      <c r="I19">
        <f t="shared" si="11"/>
        <v>0.48331758023202565</v>
      </c>
      <c r="J19">
        <f t="shared" si="3"/>
        <v>1679182563.72842</v>
      </c>
      <c r="K19">
        <f t="shared" si="4"/>
        <v>-17.968255552851588</v>
      </c>
      <c r="L19">
        <f t="shared" si="12"/>
        <v>750</v>
      </c>
      <c r="M19">
        <f t="shared" si="13"/>
        <v>761.01949999999999</v>
      </c>
      <c r="N19">
        <f t="shared" si="14"/>
        <v>0.48968274253804794</v>
      </c>
      <c r="O19">
        <f t="shared" si="5"/>
        <v>1763349482.2914448</v>
      </c>
      <c r="P19">
        <f t="shared" si="6"/>
        <v>-42.115029927897353</v>
      </c>
      <c r="Q19">
        <f t="shared" ref="Q19:Q66" si="15">G19-G18</f>
        <v>-25</v>
      </c>
      <c r="R19" s="68"/>
      <c r="T19" t="s">
        <v>300</v>
      </c>
      <c r="U19" s="57">
        <f>0.0023*U17^0.8*U18^0.4</f>
        <v>0.40639443858002228</v>
      </c>
    </row>
    <row r="20" spans="1:21" x14ac:dyDescent="0.25">
      <c r="A20">
        <v>4</v>
      </c>
      <c r="B20">
        <f t="shared" si="7"/>
        <v>700</v>
      </c>
      <c r="C20">
        <f t="shared" si="8"/>
        <v>736.01949999999999</v>
      </c>
      <c r="D20">
        <f t="shared" si="9"/>
        <v>0.47693005545662226</v>
      </c>
      <c r="E20">
        <f t="shared" si="0"/>
        <v>1598699443.9153953</v>
      </c>
      <c r="F20">
        <f t="shared" si="1"/>
        <v>6.1529540173405621</v>
      </c>
      <c r="G20">
        <f t="shared" si="2"/>
        <v>712.5</v>
      </c>
      <c r="H20">
        <f t="shared" si="10"/>
        <v>742.26949999999999</v>
      </c>
      <c r="I20">
        <f t="shared" si="11"/>
        <v>0.48012664152681128</v>
      </c>
      <c r="J20">
        <f t="shared" si="3"/>
        <v>1638486388.3531575</v>
      </c>
      <c r="K20">
        <f t="shared" si="4"/>
        <v>-5.9043799116145692</v>
      </c>
      <c r="L20">
        <f t="shared" si="12"/>
        <v>725</v>
      </c>
      <c r="M20">
        <f t="shared" si="13"/>
        <v>748.51949999999999</v>
      </c>
      <c r="N20">
        <f t="shared" si="14"/>
        <v>0.48331758023202565</v>
      </c>
      <c r="O20">
        <f t="shared" si="5"/>
        <v>1679182563.72842</v>
      </c>
      <c r="P20">
        <f t="shared" si="6"/>
        <v>-17.968255552851588</v>
      </c>
      <c r="Q20">
        <f t="shared" si="15"/>
        <v>-12.5</v>
      </c>
      <c r="R20" s="68"/>
    </row>
    <row r="21" spans="1:21" x14ac:dyDescent="0.25">
      <c r="A21">
        <v>5</v>
      </c>
      <c r="B21">
        <f t="shared" si="7"/>
        <v>700</v>
      </c>
      <c r="C21">
        <f t="shared" si="8"/>
        <v>736.01949999999999</v>
      </c>
      <c r="D21">
        <f t="shared" si="9"/>
        <v>0.47693005545662226</v>
      </c>
      <c r="E21">
        <f t="shared" si="0"/>
        <v>1598699443.9153953</v>
      </c>
      <c r="F21">
        <f t="shared" si="1"/>
        <v>6.1529540173405621</v>
      </c>
      <c r="G21">
        <f t="shared" si="2"/>
        <v>706.25</v>
      </c>
      <c r="H21">
        <f t="shared" si="10"/>
        <v>739.14449999999999</v>
      </c>
      <c r="I21">
        <f t="shared" si="11"/>
        <v>0.47852905801684231</v>
      </c>
      <c r="J21">
        <f t="shared" si="3"/>
        <v>1618479994.6889639</v>
      </c>
      <c r="K21">
        <f t="shared" si="4"/>
        <v>0.12511443773564679</v>
      </c>
      <c r="L21">
        <f t="shared" si="12"/>
        <v>712.5</v>
      </c>
      <c r="M21">
        <f t="shared" si="13"/>
        <v>742.26949999999999</v>
      </c>
      <c r="N21">
        <f t="shared" si="14"/>
        <v>0.48012664152681128</v>
      </c>
      <c r="O21">
        <f t="shared" si="5"/>
        <v>1638486388.3531575</v>
      </c>
      <c r="P21">
        <f t="shared" si="6"/>
        <v>-5.9043799116145692</v>
      </c>
      <c r="Q21">
        <f t="shared" si="15"/>
        <v>-6.25</v>
      </c>
      <c r="R21" s="68"/>
      <c r="T21" t="s">
        <v>301</v>
      </c>
      <c r="U21" s="58">
        <f>U19*T14/T4</f>
        <v>198.25238000719537</v>
      </c>
    </row>
    <row r="22" spans="1:21" x14ac:dyDescent="0.25">
      <c r="A22">
        <v>6</v>
      </c>
      <c r="B22">
        <f t="shared" si="7"/>
        <v>706.25</v>
      </c>
      <c r="C22">
        <f t="shared" si="8"/>
        <v>739.14449999999999</v>
      </c>
      <c r="D22">
        <f t="shared" si="9"/>
        <v>0.47852905801684231</v>
      </c>
      <c r="E22">
        <f t="shared" si="0"/>
        <v>1618479994.6889639</v>
      </c>
      <c r="F22">
        <f t="shared" si="1"/>
        <v>0.12511443773564679</v>
      </c>
      <c r="G22">
        <f t="shared" si="2"/>
        <v>709.375</v>
      </c>
      <c r="H22">
        <f t="shared" si="10"/>
        <v>740.70699999999999</v>
      </c>
      <c r="I22">
        <f t="shared" si="11"/>
        <v>0.47932802669992081</v>
      </c>
      <c r="J22">
        <f t="shared" si="3"/>
        <v>1628454869.6069982</v>
      </c>
      <c r="K22">
        <f t="shared" si="4"/>
        <v>-2.889427111666464</v>
      </c>
      <c r="L22">
        <f t="shared" si="12"/>
        <v>712.5</v>
      </c>
      <c r="M22">
        <f t="shared" si="13"/>
        <v>742.26949999999999</v>
      </c>
      <c r="N22">
        <f t="shared" si="14"/>
        <v>0.48012664152681128</v>
      </c>
      <c r="O22">
        <f t="shared" si="5"/>
        <v>1638486388.3531575</v>
      </c>
      <c r="P22">
        <f t="shared" si="6"/>
        <v>-5.9043799116145692</v>
      </c>
      <c r="Q22">
        <f t="shared" si="15"/>
        <v>3.125</v>
      </c>
      <c r="R22" s="68"/>
    </row>
    <row r="23" spans="1:21" x14ac:dyDescent="0.25">
      <c r="A23">
        <v>7</v>
      </c>
      <c r="B23">
        <f t="shared" si="7"/>
        <v>706.25</v>
      </c>
      <c r="C23">
        <f t="shared" si="8"/>
        <v>739.14449999999999</v>
      </c>
      <c r="D23">
        <f t="shared" si="9"/>
        <v>0.47852905801684231</v>
      </c>
      <c r="E23">
        <f t="shared" si="0"/>
        <v>1618479994.6889639</v>
      </c>
      <c r="F23">
        <f t="shared" si="1"/>
        <v>0.12511443773564679</v>
      </c>
      <c r="G23">
        <f t="shared" si="2"/>
        <v>707.8125</v>
      </c>
      <c r="H23">
        <f t="shared" si="10"/>
        <v>739.92574999999999</v>
      </c>
      <c r="I23">
        <f t="shared" si="11"/>
        <v>0.4789285866468882</v>
      </c>
      <c r="J23">
        <f t="shared" si="3"/>
        <v>1623460363.1135576</v>
      </c>
      <c r="K23">
        <f t="shared" si="4"/>
        <v>-1.3821047787930638</v>
      </c>
      <c r="L23">
        <f t="shared" si="12"/>
        <v>709.375</v>
      </c>
      <c r="M23">
        <f t="shared" si="13"/>
        <v>740.70699999999999</v>
      </c>
      <c r="N23">
        <f t="shared" si="14"/>
        <v>0.47932802669992081</v>
      </c>
      <c r="O23">
        <f t="shared" si="5"/>
        <v>1628454869.6069982</v>
      </c>
      <c r="P23">
        <f t="shared" si="6"/>
        <v>-2.889427111666464</v>
      </c>
      <c r="Q23">
        <f t="shared" si="15"/>
        <v>-1.5625</v>
      </c>
      <c r="R23" s="68"/>
      <c r="S23" t="s">
        <v>302</v>
      </c>
    </row>
    <row r="24" spans="1:21" x14ac:dyDescent="0.25">
      <c r="A24">
        <v>8</v>
      </c>
      <c r="B24">
        <f t="shared" si="7"/>
        <v>706.25</v>
      </c>
      <c r="C24">
        <f t="shared" si="8"/>
        <v>739.14449999999999</v>
      </c>
      <c r="D24">
        <f t="shared" si="9"/>
        <v>0.47852905801684231</v>
      </c>
      <c r="E24">
        <f t="shared" si="0"/>
        <v>1618479994.6889639</v>
      </c>
      <c r="F24">
        <f t="shared" si="1"/>
        <v>0.12511443773564679</v>
      </c>
      <c r="G24">
        <f t="shared" si="2"/>
        <v>707.03125</v>
      </c>
      <c r="H24">
        <f t="shared" si="10"/>
        <v>739.53512499999999</v>
      </c>
      <c r="I24">
        <f t="shared" si="11"/>
        <v>0.47872883341106642</v>
      </c>
      <c r="J24">
        <f t="shared" si="3"/>
        <v>1620968413.0731661</v>
      </c>
      <c r="K24">
        <f t="shared" si="4"/>
        <v>-0.62848226193739265</v>
      </c>
      <c r="L24">
        <f t="shared" si="12"/>
        <v>707.8125</v>
      </c>
      <c r="M24">
        <f t="shared" si="13"/>
        <v>739.92574999999999</v>
      </c>
      <c r="N24">
        <f t="shared" si="14"/>
        <v>0.4789285866468882</v>
      </c>
      <c r="O24">
        <f t="shared" si="5"/>
        <v>1623460363.1135576</v>
      </c>
      <c r="P24">
        <f t="shared" si="6"/>
        <v>-1.3821047787930638</v>
      </c>
      <c r="Q24">
        <f t="shared" si="15"/>
        <v>-0.78125</v>
      </c>
      <c r="R24" s="68"/>
      <c r="T24" t="s">
        <v>303</v>
      </c>
      <c r="U24">
        <f>(B5/(2*B6*T4/2*U21))+B2</f>
        <v>584.76463198510032</v>
      </c>
    </row>
    <row r="25" spans="1:21" x14ac:dyDescent="0.25">
      <c r="A25">
        <v>9</v>
      </c>
      <c r="B25">
        <f t="shared" si="7"/>
        <v>706.25</v>
      </c>
      <c r="C25">
        <f t="shared" si="8"/>
        <v>739.14449999999999</v>
      </c>
      <c r="D25">
        <f t="shared" si="9"/>
        <v>0.47852905801684231</v>
      </c>
      <c r="E25">
        <f t="shared" si="0"/>
        <v>1618479994.6889639</v>
      </c>
      <c r="F25">
        <f t="shared" si="1"/>
        <v>0.12511443773564679</v>
      </c>
      <c r="G25">
        <f t="shared" si="2"/>
        <v>706.640625</v>
      </c>
      <c r="H25">
        <f t="shared" si="10"/>
        <v>739.33981249999999</v>
      </c>
      <c r="I25">
        <f t="shared" si="11"/>
        <v>0.47862894848464027</v>
      </c>
      <c r="J25">
        <f t="shared" si="3"/>
        <v>1619723762.6028552</v>
      </c>
      <c r="K25">
        <f t="shared" si="4"/>
        <v>-0.25168068256778042</v>
      </c>
      <c r="L25">
        <f t="shared" si="12"/>
        <v>707.03125</v>
      </c>
      <c r="M25">
        <f t="shared" si="13"/>
        <v>739.53512499999999</v>
      </c>
      <c r="N25">
        <f t="shared" si="14"/>
        <v>0.47872883341106642</v>
      </c>
      <c r="O25">
        <f t="shared" si="5"/>
        <v>1620968413.0731661</v>
      </c>
      <c r="P25">
        <f t="shared" si="6"/>
        <v>-0.62848226193739265</v>
      </c>
      <c r="Q25">
        <f t="shared" si="15"/>
        <v>-0.390625</v>
      </c>
      <c r="R25" s="68"/>
    </row>
    <row r="26" spans="1:21" x14ac:dyDescent="0.25">
      <c r="A26">
        <v>10</v>
      </c>
      <c r="B26">
        <f t="shared" si="7"/>
        <v>706.25</v>
      </c>
      <c r="C26">
        <f t="shared" si="8"/>
        <v>739.14449999999999</v>
      </c>
      <c r="D26">
        <f t="shared" si="9"/>
        <v>0.47852905801684231</v>
      </c>
      <c r="E26">
        <f t="shared" si="0"/>
        <v>1618479994.6889639</v>
      </c>
      <c r="F26">
        <f t="shared" si="1"/>
        <v>0.12511443773564679</v>
      </c>
      <c r="G26">
        <f t="shared" si="2"/>
        <v>706.4453125</v>
      </c>
      <c r="H26">
        <f t="shared" si="10"/>
        <v>739.24215624999999</v>
      </c>
      <c r="I26">
        <f t="shared" si="11"/>
        <v>0.47857900394352332</v>
      </c>
      <c r="J26">
        <f t="shared" si="3"/>
        <v>1619101768.3487089</v>
      </c>
      <c r="K26">
        <f t="shared" si="4"/>
        <v>-6.328231473435153E-2</v>
      </c>
      <c r="L26">
        <f t="shared" si="12"/>
        <v>706.640625</v>
      </c>
      <c r="M26">
        <f t="shared" si="13"/>
        <v>739.33981249999999</v>
      </c>
      <c r="N26">
        <f t="shared" si="14"/>
        <v>0.47862894848464027</v>
      </c>
      <c r="O26">
        <f t="shared" si="5"/>
        <v>1619723762.6028552</v>
      </c>
      <c r="P26">
        <f t="shared" si="6"/>
        <v>-0.25168068256778042</v>
      </c>
      <c r="Q26">
        <f t="shared" si="15"/>
        <v>-0.1953125</v>
      </c>
      <c r="R26" s="68"/>
      <c r="S26" t="s">
        <v>304</v>
      </c>
      <c r="T26">
        <f>(G66+U24)/2</f>
        <v>645.57216968162379</v>
      </c>
    </row>
    <row r="27" spans="1:21" x14ac:dyDescent="0.25">
      <c r="A27">
        <v>11</v>
      </c>
      <c r="B27">
        <f t="shared" si="7"/>
        <v>706.25</v>
      </c>
      <c r="C27">
        <f t="shared" si="8"/>
        <v>739.14449999999999</v>
      </c>
      <c r="D27">
        <f t="shared" si="9"/>
        <v>0.47852905801684231</v>
      </c>
      <c r="E27">
        <f t="shared" si="0"/>
        <v>1618479994.6889639</v>
      </c>
      <c r="F27">
        <f t="shared" si="1"/>
        <v>0.12511443773564679</v>
      </c>
      <c r="G27">
        <f t="shared" si="2"/>
        <v>706.34765625</v>
      </c>
      <c r="H27">
        <f t="shared" si="10"/>
        <v>739.19332812499999</v>
      </c>
      <c r="I27">
        <f t="shared" si="11"/>
        <v>0.47855403115339246</v>
      </c>
      <c r="J27">
        <f t="shared" si="3"/>
        <v>1618790853.9473302</v>
      </c>
      <c r="K27">
        <f t="shared" si="4"/>
        <v>3.0916263458379944E-2</v>
      </c>
      <c r="L27">
        <f t="shared" si="12"/>
        <v>706.4453125</v>
      </c>
      <c r="M27">
        <f t="shared" si="13"/>
        <v>739.24215624999999</v>
      </c>
      <c r="N27">
        <f t="shared" si="14"/>
        <v>0.47857900394352332</v>
      </c>
      <c r="O27">
        <f t="shared" si="5"/>
        <v>1619101768.3487089</v>
      </c>
      <c r="P27">
        <f t="shared" si="6"/>
        <v>-6.328231473435153E-2</v>
      </c>
      <c r="Q27">
        <f t="shared" si="15"/>
        <v>-9.765625E-2</v>
      </c>
      <c r="R27" s="68"/>
    </row>
    <row r="28" spans="1:21" x14ac:dyDescent="0.25">
      <c r="A28">
        <v>12</v>
      </c>
      <c r="B28">
        <f t="shared" si="7"/>
        <v>706.34765625</v>
      </c>
      <c r="C28">
        <f t="shared" si="8"/>
        <v>739.19332812499999</v>
      </c>
      <c r="D28">
        <f t="shared" si="9"/>
        <v>0.47855403115339246</v>
      </c>
      <c r="E28">
        <f t="shared" si="0"/>
        <v>1618790853.9473302</v>
      </c>
      <c r="F28">
        <f t="shared" si="1"/>
        <v>3.0916263458379944E-2</v>
      </c>
      <c r="G28">
        <f t="shared" si="2"/>
        <v>706.396484375</v>
      </c>
      <c r="H28">
        <f t="shared" si="10"/>
        <v>739.21774218749999</v>
      </c>
      <c r="I28">
        <f t="shared" si="11"/>
        <v>0.47856651759175822</v>
      </c>
      <c r="J28">
        <f t="shared" si="3"/>
        <v>1618946304.2547936</v>
      </c>
      <c r="K28">
        <f t="shared" si="4"/>
        <v>-1.6182975153242296E-2</v>
      </c>
      <c r="L28">
        <f t="shared" si="12"/>
        <v>706.4453125</v>
      </c>
      <c r="M28">
        <f t="shared" si="13"/>
        <v>739.24215624999999</v>
      </c>
      <c r="N28">
        <f t="shared" si="14"/>
        <v>0.47857900394352332</v>
      </c>
      <c r="O28">
        <f t="shared" si="5"/>
        <v>1619101768.3487089</v>
      </c>
      <c r="P28">
        <f t="shared" si="6"/>
        <v>-6.328231473435153E-2</v>
      </c>
      <c r="Q28">
        <f t="shared" si="15"/>
        <v>4.8828125E-2</v>
      </c>
      <c r="R28" s="68"/>
    </row>
    <row r="29" spans="1:21" x14ac:dyDescent="0.25">
      <c r="A29">
        <v>13</v>
      </c>
      <c r="B29">
        <f t="shared" si="7"/>
        <v>706.34765625</v>
      </c>
      <c r="C29">
        <f t="shared" si="8"/>
        <v>739.19332812499999</v>
      </c>
      <c r="D29">
        <f t="shared" si="9"/>
        <v>0.47855403115339246</v>
      </c>
      <c r="E29">
        <f t="shared" si="0"/>
        <v>1618790853.9473302</v>
      </c>
      <c r="F29">
        <f t="shared" si="1"/>
        <v>3.0916263458379944E-2</v>
      </c>
      <c r="G29">
        <f t="shared" si="2"/>
        <v>706.3720703125</v>
      </c>
      <c r="H29">
        <f t="shared" si="10"/>
        <v>739.20553515624999</v>
      </c>
      <c r="I29">
        <f t="shared" si="11"/>
        <v>0.4785602743834006</v>
      </c>
      <c r="J29">
        <f t="shared" si="3"/>
        <v>1618868577.377799</v>
      </c>
      <c r="K29">
        <f t="shared" si="4"/>
        <v>7.3666567743657652E-3</v>
      </c>
      <c r="L29">
        <f t="shared" si="12"/>
        <v>706.396484375</v>
      </c>
      <c r="M29">
        <f t="shared" si="13"/>
        <v>739.21774218749999</v>
      </c>
      <c r="N29">
        <f t="shared" si="14"/>
        <v>0.47856651759175822</v>
      </c>
      <c r="O29">
        <f t="shared" si="5"/>
        <v>1618946304.2547936</v>
      </c>
      <c r="P29">
        <f t="shared" si="6"/>
        <v>-1.6182975153242296E-2</v>
      </c>
      <c r="Q29">
        <f t="shared" si="15"/>
        <v>-2.44140625E-2</v>
      </c>
      <c r="R29" s="68"/>
    </row>
    <row r="30" spans="1:21" x14ac:dyDescent="0.25">
      <c r="A30">
        <v>14</v>
      </c>
      <c r="B30">
        <f t="shared" si="7"/>
        <v>706.3720703125</v>
      </c>
      <c r="C30">
        <f t="shared" si="8"/>
        <v>739.20553515624999</v>
      </c>
      <c r="D30">
        <f t="shared" si="9"/>
        <v>0.4785602743834006</v>
      </c>
      <c r="E30">
        <f t="shared" si="0"/>
        <v>1618868577.377799</v>
      </c>
      <c r="F30">
        <f t="shared" si="1"/>
        <v>7.3666567743657652E-3</v>
      </c>
      <c r="G30">
        <f t="shared" si="2"/>
        <v>706.38427734375</v>
      </c>
      <c r="H30">
        <f t="shared" si="10"/>
        <v>739.21163867187499</v>
      </c>
      <c r="I30">
        <f t="shared" si="11"/>
        <v>0.4785633959902858</v>
      </c>
      <c r="J30">
        <f t="shared" si="3"/>
        <v>1618907440.3854754</v>
      </c>
      <c r="K30">
        <f t="shared" si="4"/>
        <v>-4.4081560340600845E-3</v>
      </c>
      <c r="L30">
        <f t="shared" si="12"/>
        <v>706.396484375</v>
      </c>
      <c r="M30">
        <f t="shared" si="13"/>
        <v>739.21774218749999</v>
      </c>
      <c r="N30">
        <f t="shared" si="14"/>
        <v>0.47856651759175822</v>
      </c>
      <c r="O30">
        <f t="shared" si="5"/>
        <v>1618946304.2547936</v>
      </c>
      <c r="P30">
        <f t="shared" si="6"/>
        <v>-1.6182975153242296E-2</v>
      </c>
      <c r="Q30">
        <f t="shared" si="15"/>
        <v>1.220703125E-2</v>
      </c>
      <c r="R30" s="68"/>
    </row>
    <row r="31" spans="1:21" x14ac:dyDescent="0.25">
      <c r="A31">
        <v>15</v>
      </c>
      <c r="B31">
        <f t="shared" si="7"/>
        <v>706.3720703125</v>
      </c>
      <c r="C31">
        <f t="shared" si="8"/>
        <v>739.20553515624999</v>
      </c>
      <c r="D31">
        <f t="shared" si="9"/>
        <v>0.4785602743834006</v>
      </c>
      <c r="E31">
        <f t="shared" si="0"/>
        <v>1618868577.377799</v>
      </c>
      <c r="F31">
        <f t="shared" si="1"/>
        <v>7.3666567743657652E-3</v>
      </c>
      <c r="G31">
        <f t="shared" si="2"/>
        <v>706.378173828125</v>
      </c>
      <c r="H31">
        <f t="shared" si="10"/>
        <v>739.20858691406249</v>
      </c>
      <c r="I31">
        <f t="shared" si="11"/>
        <v>0.47856183518751977</v>
      </c>
      <c r="J31">
        <f t="shared" si="3"/>
        <v>1618888008.7739325</v>
      </c>
      <c r="K31">
        <f t="shared" si="4"/>
        <v>1.4792511590258073E-3</v>
      </c>
      <c r="L31">
        <f t="shared" si="12"/>
        <v>706.38427734375</v>
      </c>
      <c r="M31">
        <f t="shared" si="13"/>
        <v>739.21163867187499</v>
      </c>
      <c r="N31">
        <f t="shared" si="14"/>
        <v>0.4785633959902858</v>
      </c>
      <c r="O31">
        <f t="shared" si="5"/>
        <v>1618907440.3854754</v>
      </c>
      <c r="P31">
        <f t="shared" si="6"/>
        <v>-4.4081560340600845E-3</v>
      </c>
      <c r="Q31">
        <f t="shared" si="15"/>
        <v>-6.103515625E-3</v>
      </c>
      <c r="R31" s="68"/>
    </row>
    <row r="32" spans="1:21" x14ac:dyDescent="0.25">
      <c r="A32">
        <v>16</v>
      </c>
      <c r="B32">
        <f t="shared" si="7"/>
        <v>706.378173828125</v>
      </c>
      <c r="C32">
        <f t="shared" si="8"/>
        <v>739.20858691406249</v>
      </c>
      <c r="D32">
        <f t="shared" si="9"/>
        <v>0.47856183518751977</v>
      </c>
      <c r="E32">
        <f t="shared" si="0"/>
        <v>1618888008.7739325</v>
      </c>
      <c r="F32">
        <f t="shared" si="1"/>
        <v>1.4792511590258073E-3</v>
      </c>
      <c r="G32">
        <f t="shared" si="2"/>
        <v>706.3812255859375</v>
      </c>
      <c r="H32">
        <f t="shared" si="10"/>
        <v>739.21011279296874</v>
      </c>
      <c r="I32">
        <f t="shared" si="11"/>
        <v>0.47856261558907176</v>
      </c>
      <c r="J32">
        <f t="shared" si="3"/>
        <v>1618897724.5527775</v>
      </c>
      <c r="K32">
        <f t="shared" si="4"/>
        <v>-1.464452240384162E-3</v>
      </c>
      <c r="L32">
        <f t="shared" si="12"/>
        <v>706.38427734375</v>
      </c>
      <c r="M32">
        <f t="shared" si="13"/>
        <v>739.21163867187499</v>
      </c>
      <c r="N32">
        <f t="shared" si="14"/>
        <v>0.4785633959902858</v>
      </c>
      <c r="O32">
        <f t="shared" si="5"/>
        <v>1618907440.3854754</v>
      </c>
      <c r="P32">
        <f t="shared" si="6"/>
        <v>-4.4081560340600845E-3</v>
      </c>
      <c r="Q32">
        <f t="shared" si="15"/>
        <v>3.0517578125E-3</v>
      </c>
      <c r="R32" s="68"/>
    </row>
    <row r="33" spans="1:18" x14ac:dyDescent="0.25">
      <c r="A33">
        <v>17</v>
      </c>
      <c r="B33">
        <f t="shared" si="7"/>
        <v>706.378173828125</v>
      </c>
      <c r="C33">
        <f t="shared" si="8"/>
        <v>739.20858691406249</v>
      </c>
      <c r="D33">
        <f t="shared" si="9"/>
        <v>0.47856183518751977</v>
      </c>
      <c r="E33">
        <f t="shared" si="0"/>
        <v>1618888008.7739325</v>
      </c>
      <c r="F33">
        <f t="shared" si="1"/>
        <v>1.4792511590258073E-3</v>
      </c>
      <c r="G33">
        <f t="shared" si="2"/>
        <v>706.37969970703125</v>
      </c>
      <c r="H33">
        <f t="shared" si="10"/>
        <v>739.20934985351562</v>
      </c>
      <c r="I33">
        <f t="shared" si="11"/>
        <v>0.47856222538833793</v>
      </c>
      <c r="J33">
        <f t="shared" si="3"/>
        <v>1618892866.6566236</v>
      </c>
      <c r="K33">
        <f t="shared" si="4"/>
        <v>7.3995086040667957E-6</v>
      </c>
      <c r="L33">
        <f t="shared" si="12"/>
        <v>706.3812255859375</v>
      </c>
      <c r="M33">
        <f t="shared" si="13"/>
        <v>739.21011279296874</v>
      </c>
      <c r="N33">
        <f t="shared" si="14"/>
        <v>0.47856261558907176</v>
      </c>
      <c r="O33">
        <f t="shared" si="5"/>
        <v>1618897724.5527775</v>
      </c>
      <c r="P33">
        <f t="shared" si="6"/>
        <v>-1.464452240384162E-3</v>
      </c>
      <c r="Q33">
        <f t="shared" si="15"/>
        <v>-1.52587890625E-3</v>
      </c>
      <c r="R33" s="68"/>
    </row>
    <row r="34" spans="1:18" x14ac:dyDescent="0.25">
      <c r="A34">
        <v>18</v>
      </c>
      <c r="B34">
        <f t="shared" si="7"/>
        <v>706.37969970703125</v>
      </c>
      <c r="C34">
        <f t="shared" si="8"/>
        <v>739.20934985351562</v>
      </c>
      <c r="D34">
        <f t="shared" si="9"/>
        <v>0.47856222538833793</v>
      </c>
      <c r="E34">
        <f t="shared" si="0"/>
        <v>1618892866.6566236</v>
      </c>
      <c r="F34">
        <f t="shared" si="1"/>
        <v>7.3995086040667957E-6</v>
      </c>
      <c r="G34">
        <f t="shared" si="2"/>
        <v>706.38046264648437</v>
      </c>
      <c r="H34">
        <f t="shared" si="10"/>
        <v>739.20973132324218</v>
      </c>
      <c r="I34">
        <f t="shared" si="11"/>
        <v>0.47856242048871545</v>
      </c>
      <c r="J34">
        <f t="shared" si="3"/>
        <v>1618895295.6030176</v>
      </c>
      <c r="K34">
        <f t="shared" si="4"/>
        <v>-7.2852635355502571E-4</v>
      </c>
      <c r="L34">
        <f t="shared" si="12"/>
        <v>706.3812255859375</v>
      </c>
      <c r="M34">
        <f t="shared" si="13"/>
        <v>739.21011279296874</v>
      </c>
      <c r="N34">
        <f t="shared" si="14"/>
        <v>0.47856261558907176</v>
      </c>
      <c r="O34">
        <f t="shared" si="5"/>
        <v>1618897724.5527775</v>
      </c>
      <c r="P34">
        <f t="shared" si="6"/>
        <v>-1.464452240384162E-3</v>
      </c>
      <c r="Q34">
        <f t="shared" si="15"/>
        <v>7.62939453125E-4</v>
      </c>
      <c r="R34" s="68"/>
    </row>
    <row r="35" spans="1:18" x14ac:dyDescent="0.25">
      <c r="A35">
        <v>19</v>
      </c>
      <c r="B35">
        <f t="shared" si="7"/>
        <v>706.37969970703125</v>
      </c>
      <c r="C35">
        <f t="shared" si="8"/>
        <v>739.20934985351562</v>
      </c>
      <c r="D35">
        <f t="shared" si="9"/>
        <v>0.47856222538833793</v>
      </c>
      <c r="E35">
        <f t="shared" si="0"/>
        <v>1618892866.6566236</v>
      </c>
      <c r="F35">
        <f t="shared" si="1"/>
        <v>7.3995086040667957E-6</v>
      </c>
      <c r="G35">
        <f t="shared" si="2"/>
        <v>706.38008117675781</v>
      </c>
      <c r="H35">
        <f t="shared" si="10"/>
        <v>739.2095405883789</v>
      </c>
      <c r="I35">
        <f t="shared" si="11"/>
        <v>0.47856232293852929</v>
      </c>
      <c r="J35">
        <f t="shared" si="3"/>
        <v>1618894081.1294003</v>
      </c>
      <c r="K35">
        <f t="shared" si="4"/>
        <v>-3.6056341946277826E-4</v>
      </c>
      <c r="L35">
        <f t="shared" si="12"/>
        <v>706.38046264648437</v>
      </c>
      <c r="M35">
        <f t="shared" si="13"/>
        <v>739.20973132324218</v>
      </c>
      <c r="N35">
        <f t="shared" si="14"/>
        <v>0.47856242048871545</v>
      </c>
      <c r="O35">
        <f t="shared" si="5"/>
        <v>1618895295.6030176</v>
      </c>
      <c r="P35">
        <f t="shared" si="6"/>
        <v>-7.2852635355502571E-4</v>
      </c>
      <c r="Q35">
        <f t="shared" si="15"/>
        <v>-3.814697265625E-4</v>
      </c>
      <c r="R35" s="68"/>
    </row>
    <row r="36" spans="1:18" x14ac:dyDescent="0.25">
      <c r="A36">
        <v>20</v>
      </c>
      <c r="B36">
        <f t="shared" si="7"/>
        <v>706.37969970703125</v>
      </c>
      <c r="C36">
        <f t="shared" si="8"/>
        <v>739.20934985351562</v>
      </c>
      <c r="D36">
        <f t="shared" si="9"/>
        <v>0.47856222538833793</v>
      </c>
      <c r="E36">
        <f t="shared" si="0"/>
        <v>1618892866.6566236</v>
      </c>
      <c r="F36">
        <f t="shared" si="1"/>
        <v>7.3995086040667957E-6</v>
      </c>
      <c r="G36">
        <f t="shared" si="2"/>
        <v>706.37989044189453</v>
      </c>
      <c r="H36">
        <f t="shared" si="10"/>
        <v>739.20944522094726</v>
      </c>
      <c r="I36">
        <f t="shared" si="11"/>
        <v>0.47856227416343455</v>
      </c>
      <c r="J36">
        <f t="shared" si="3"/>
        <v>1618893473.8929067</v>
      </c>
      <c r="K36">
        <f t="shared" si="4"/>
        <v>-1.7658195463354787E-4</v>
      </c>
      <c r="L36">
        <f t="shared" si="12"/>
        <v>706.38008117675781</v>
      </c>
      <c r="M36">
        <f t="shared" si="13"/>
        <v>739.2095405883789</v>
      </c>
      <c r="N36">
        <f t="shared" si="14"/>
        <v>0.47856232293852929</v>
      </c>
      <c r="O36">
        <f t="shared" si="5"/>
        <v>1618894081.1294003</v>
      </c>
      <c r="P36">
        <f t="shared" si="6"/>
        <v>-3.6056341946277826E-4</v>
      </c>
      <c r="Q36">
        <f t="shared" si="15"/>
        <v>-1.9073486328125E-4</v>
      </c>
      <c r="R36" s="68"/>
    </row>
    <row r="37" spans="1:18" x14ac:dyDescent="0.25">
      <c r="A37">
        <v>21</v>
      </c>
      <c r="B37">
        <f t="shared" si="7"/>
        <v>706.37969970703125</v>
      </c>
      <c r="C37">
        <f t="shared" si="8"/>
        <v>739.20934985351562</v>
      </c>
      <c r="D37">
        <f t="shared" si="9"/>
        <v>0.47856222538833793</v>
      </c>
      <c r="E37">
        <f t="shared" si="0"/>
        <v>1618892866.6566236</v>
      </c>
      <c r="F37">
        <f t="shared" si="1"/>
        <v>7.3995086040667957E-6</v>
      </c>
      <c r="G37">
        <f t="shared" si="2"/>
        <v>706.37979507446289</v>
      </c>
      <c r="H37">
        <f t="shared" si="10"/>
        <v>739.20939753723144</v>
      </c>
      <c r="I37">
        <f t="shared" si="11"/>
        <v>0.47856224977588646</v>
      </c>
      <c r="J37">
        <f t="shared" si="3"/>
        <v>1618893170.2747393</v>
      </c>
      <c r="K37">
        <f t="shared" si="4"/>
        <v>-8.4591222844210279E-5</v>
      </c>
      <c r="L37">
        <f t="shared" si="12"/>
        <v>706.37989044189453</v>
      </c>
      <c r="M37">
        <f t="shared" si="13"/>
        <v>739.20944522094726</v>
      </c>
      <c r="N37">
        <f t="shared" si="14"/>
        <v>0.47856227416343455</v>
      </c>
      <c r="O37">
        <f t="shared" si="5"/>
        <v>1618893473.8929067</v>
      </c>
      <c r="P37">
        <f t="shared" si="6"/>
        <v>-1.7658195463354787E-4</v>
      </c>
      <c r="Q37">
        <f t="shared" si="15"/>
        <v>-9.5367431640625E-5</v>
      </c>
      <c r="R37" s="68"/>
    </row>
    <row r="38" spans="1:18" x14ac:dyDescent="0.25">
      <c r="A38">
        <v>22</v>
      </c>
      <c r="B38">
        <f t="shared" si="7"/>
        <v>706.37969970703125</v>
      </c>
      <c r="C38">
        <f t="shared" si="8"/>
        <v>739.20934985351562</v>
      </c>
      <c r="D38">
        <f t="shared" si="9"/>
        <v>0.47856222538833793</v>
      </c>
      <c r="E38">
        <f t="shared" si="0"/>
        <v>1618892866.6566236</v>
      </c>
      <c r="F38">
        <f t="shared" si="1"/>
        <v>7.3995086040667957E-6</v>
      </c>
      <c r="G38">
        <f t="shared" si="2"/>
        <v>706.37974739074707</v>
      </c>
      <c r="H38">
        <f t="shared" si="10"/>
        <v>739.20937369537353</v>
      </c>
      <c r="I38">
        <f t="shared" si="11"/>
        <v>0.4785622375821123</v>
      </c>
      <c r="J38">
        <f t="shared" si="3"/>
        <v>1618893018.4656746</v>
      </c>
      <c r="K38">
        <f t="shared" si="4"/>
        <v>-3.8595857063228323E-5</v>
      </c>
      <c r="L38">
        <f t="shared" si="12"/>
        <v>706.37979507446289</v>
      </c>
      <c r="M38">
        <f t="shared" si="13"/>
        <v>739.20939753723144</v>
      </c>
      <c r="N38">
        <f t="shared" si="14"/>
        <v>0.47856224977588646</v>
      </c>
      <c r="O38">
        <f t="shared" si="5"/>
        <v>1618893170.2747393</v>
      </c>
      <c r="P38">
        <f t="shared" si="6"/>
        <v>-8.4591222844210279E-5</v>
      </c>
      <c r="Q38">
        <f t="shared" si="15"/>
        <v>-4.76837158203125E-5</v>
      </c>
      <c r="R38" s="68"/>
    </row>
    <row r="39" spans="1:18" x14ac:dyDescent="0.25">
      <c r="A39">
        <v>23</v>
      </c>
      <c r="B39">
        <f t="shared" si="7"/>
        <v>706.37969970703125</v>
      </c>
      <c r="C39">
        <f t="shared" si="8"/>
        <v>739.20934985351562</v>
      </c>
      <c r="D39">
        <f t="shared" si="9"/>
        <v>0.47856222538833793</v>
      </c>
      <c r="E39">
        <f t="shared" si="0"/>
        <v>1618892866.6566236</v>
      </c>
      <c r="F39">
        <f t="shared" si="1"/>
        <v>7.3995086040667957E-6</v>
      </c>
      <c r="G39">
        <f t="shared" si="2"/>
        <v>706.37972354888916</v>
      </c>
      <c r="H39">
        <f t="shared" si="10"/>
        <v>739.20936177444457</v>
      </c>
      <c r="I39">
        <f t="shared" si="11"/>
        <v>0.47856223148522553</v>
      </c>
      <c r="J39">
        <f t="shared" si="3"/>
        <v>1618892942.5611475</v>
      </c>
      <c r="K39">
        <f t="shared" si="4"/>
        <v>-1.5598174172737345E-5</v>
      </c>
      <c r="L39">
        <f t="shared" si="12"/>
        <v>706.37974739074707</v>
      </c>
      <c r="M39">
        <f t="shared" si="13"/>
        <v>739.20937369537353</v>
      </c>
      <c r="N39">
        <f t="shared" si="14"/>
        <v>0.4785622375821123</v>
      </c>
      <c r="O39">
        <f t="shared" si="5"/>
        <v>1618893018.4656746</v>
      </c>
      <c r="P39">
        <f t="shared" si="6"/>
        <v>-3.8595857063228323E-5</v>
      </c>
      <c r="Q39">
        <f t="shared" si="15"/>
        <v>-2.384185791015625E-5</v>
      </c>
      <c r="R39" s="68"/>
    </row>
    <row r="40" spans="1:18" x14ac:dyDescent="0.25">
      <c r="A40">
        <v>24</v>
      </c>
      <c r="B40">
        <f t="shared" si="7"/>
        <v>706.37969970703125</v>
      </c>
      <c r="C40">
        <f t="shared" si="8"/>
        <v>739.20934985351562</v>
      </c>
      <c r="D40">
        <f t="shared" si="9"/>
        <v>0.47856222538833793</v>
      </c>
      <c r="E40">
        <f t="shared" si="0"/>
        <v>1618892866.6566236</v>
      </c>
      <c r="F40">
        <f t="shared" si="1"/>
        <v>7.3995086040667957E-6</v>
      </c>
      <c r="G40">
        <f t="shared" si="2"/>
        <v>706.37971162796021</v>
      </c>
      <c r="H40">
        <f t="shared" si="10"/>
        <v>739.2093558139801</v>
      </c>
      <c r="I40">
        <f t="shared" si="11"/>
        <v>0.4785622284367817</v>
      </c>
      <c r="J40">
        <f t="shared" si="3"/>
        <v>1618892904.6088855</v>
      </c>
      <c r="K40">
        <f t="shared" si="4"/>
        <v>-4.0993328411786933E-6</v>
      </c>
      <c r="L40">
        <f t="shared" si="12"/>
        <v>706.37972354888916</v>
      </c>
      <c r="M40">
        <f t="shared" si="13"/>
        <v>739.20936177444457</v>
      </c>
      <c r="N40">
        <f t="shared" si="14"/>
        <v>0.47856223148522553</v>
      </c>
      <c r="O40">
        <f t="shared" si="5"/>
        <v>1618892942.5611475</v>
      </c>
      <c r="P40">
        <f t="shared" si="6"/>
        <v>-1.5598174172737345E-5</v>
      </c>
      <c r="Q40">
        <f t="shared" si="15"/>
        <v>-1.1920928955078125E-5</v>
      </c>
      <c r="R40" s="68"/>
    </row>
    <row r="41" spans="1:18" x14ac:dyDescent="0.25">
      <c r="A41">
        <v>25</v>
      </c>
      <c r="B41">
        <f t="shared" si="7"/>
        <v>706.37969970703125</v>
      </c>
      <c r="C41">
        <f t="shared" si="8"/>
        <v>739.20934985351562</v>
      </c>
      <c r="D41">
        <f t="shared" si="9"/>
        <v>0.47856222538833793</v>
      </c>
      <c r="E41">
        <f t="shared" si="0"/>
        <v>1618892866.6566236</v>
      </c>
      <c r="F41">
        <f t="shared" si="1"/>
        <v>7.3995086040667957E-6</v>
      </c>
      <c r="G41">
        <f t="shared" si="2"/>
        <v>706.37970566749573</v>
      </c>
      <c r="H41">
        <f t="shared" si="10"/>
        <v>739.20935283374786</v>
      </c>
      <c r="I41">
        <f t="shared" si="11"/>
        <v>0.47856222691255984</v>
      </c>
      <c r="J41">
        <f t="shared" si="3"/>
        <v>1618892885.6327543</v>
      </c>
      <c r="K41">
        <f t="shared" si="4"/>
        <v>1.65008793828747E-6</v>
      </c>
      <c r="L41">
        <f t="shared" si="12"/>
        <v>706.37971162796021</v>
      </c>
      <c r="M41">
        <f t="shared" si="13"/>
        <v>739.2093558139801</v>
      </c>
      <c r="N41">
        <f t="shared" si="14"/>
        <v>0.4785622284367817</v>
      </c>
      <c r="O41">
        <f t="shared" si="5"/>
        <v>1618892904.6088855</v>
      </c>
      <c r="P41">
        <f t="shared" si="6"/>
        <v>-4.0993328411786933E-6</v>
      </c>
      <c r="Q41">
        <f t="shared" si="15"/>
        <v>-5.9604644775390625E-6</v>
      </c>
      <c r="R41" s="68"/>
    </row>
    <row r="42" spans="1:18" x14ac:dyDescent="0.25">
      <c r="A42">
        <v>26</v>
      </c>
      <c r="B42">
        <f t="shared" si="7"/>
        <v>706.37970566749573</v>
      </c>
      <c r="C42">
        <f t="shared" si="8"/>
        <v>739.20935283374786</v>
      </c>
      <c r="D42">
        <f t="shared" si="9"/>
        <v>0.47856222691255984</v>
      </c>
      <c r="E42">
        <f t="shared" si="0"/>
        <v>1618892885.6327543</v>
      </c>
      <c r="F42">
        <f t="shared" si="1"/>
        <v>1.65008793828747E-6</v>
      </c>
      <c r="G42">
        <f t="shared" si="2"/>
        <v>706.37970864772797</v>
      </c>
      <c r="H42">
        <f t="shared" si="10"/>
        <v>739.20935432386398</v>
      </c>
      <c r="I42">
        <f t="shared" si="11"/>
        <v>0.47856222767467077</v>
      </c>
      <c r="J42">
        <f t="shared" si="3"/>
        <v>1618892895.1208198</v>
      </c>
      <c r="K42">
        <f t="shared" si="4"/>
        <v>-1.2246224514456117E-6</v>
      </c>
      <c r="L42">
        <f t="shared" si="12"/>
        <v>706.37971162796021</v>
      </c>
      <c r="M42">
        <f t="shared" si="13"/>
        <v>739.2093558139801</v>
      </c>
      <c r="N42">
        <f t="shared" si="14"/>
        <v>0.4785622284367817</v>
      </c>
      <c r="O42">
        <f t="shared" si="5"/>
        <v>1618892904.6088855</v>
      </c>
      <c r="P42">
        <f t="shared" si="6"/>
        <v>-4.0993328411786933E-6</v>
      </c>
      <c r="Q42">
        <f t="shared" si="15"/>
        <v>2.9802322387695313E-6</v>
      </c>
      <c r="R42" s="68"/>
    </row>
    <row r="43" spans="1:18" x14ac:dyDescent="0.25">
      <c r="A43">
        <v>27</v>
      </c>
      <c r="B43">
        <f t="shared" si="7"/>
        <v>706.37970566749573</v>
      </c>
      <c r="C43">
        <f t="shared" si="8"/>
        <v>739.20935283374786</v>
      </c>
      <c r="D43">
        <f t="shared" si="9"/>
        <v>0.47856222691255984</v>
      </c>
      <c r="E43">
        <f t="shared" si="0"/>
        <v>1618892885.6327543</v>
      </c>
      <c r="F43">
        <f t="shared" si="1"/>
        <v>1.65008793828747E-6</v>
      </c>
      <c r="G43">
        <f t="shared" si="2"/>
        <v>706.37970715761185</v>
      </c>
      <c r="H43">
        <f t="shared" si="10"/>
        <v>739.20935357880592</v>
      </c>
      <c r="I43">
        <f t="shared" si="11"/>
        <v>0.47856222729361514</v>
      </c>
      <c r="J43">
        <f t="shared" si="3"/>
        <v>1618892890.3767872</v>
      </c>
      <c r="K43">
        <f t="shared" si="4"/>
        <v>2.1273274342092918E-7</v>
      </c>
      <c r="L43">
        <f t="shared" si="12"/>
        <v>706.37970864772797</v>
      </c>
      <c r="M43">
        <f t="shared" si="13"/>
        <v>739.20935432386398</v>
      </c>
      <c r="N43">
        <f t="shared" si="14"/>
        <v>0.47856222767467077</v>
      </c>
      <c r="O43">
        <f t="shared" si="5"/>
        <v>1618892895.1208198</v>
      </c>
      <c r="P43">
        <f t="shared" si="6"/>
        <v>-1.2246224514456117E-6</v>
      </c>
      <c r="Q43">
        <f t="shared" si="15"/>
        <v>-1.4901161193847656E-6</v>
      </c>
      <c r="R43" s="68"/>
    </row>
    <row r="44" spans="1:18" x14ac:dyDescent="0.25">
      <c r="A44">
        <v>28</v>
      </c>
      <c r="B44">
        <f t="shared" si="7"/>
        <v>706.37970715761185</v>
      </c>
      <c r="C44">
        <f t="shared" si="8"/>
        <v>739.20935357880592</v>
      </c>
      <c r="D44">
        <f t="shared" si="9"/>
        <v>0.47856222729361514</v>
      </c>
      <c r="E44">
        <f t="shared" si="0"/>
        <v>1618892890.3767872</v>
      </c>
      <c r="F44">
        <f t="shared" si="1"/>
        <v>2.1273274342092918E-7</v>
      </c>
      <c r="G44">
        <f t="shared" si="2"/>
        <v>706.37970790266991</v>
      </c>
      <c r="H44">
        <f t="shared" si="10"/>
        <v>739.20935395133495</v>
      </c>
      <c r="I44">
        <f t="shared" si="11"/>
        <v>0.47856222748414312</v>
      </c>
      <c r="J44">
        <f t="shared" si="3"/>
        <v>1618892892.7488029</v>
      </c>
      <c r="K44">
        <f t="shared" si="4"/>
        <v>-5.0594485401234124E-7</v>
      </c>
      <c r="L44">
        <f t="shared" si="12"/>
        <v>706.37970864772797</v>
      </c>
      <c r="M44">
        <f t="shared" si="13"/>
        <v>739.20935432386398</v>
      </c>
      <c r="N44">
        <f t="shared" si="14"/>
        <v>0.47856222767467077</v>
      </c>
      <c r="O44">
        <f t="shared" si="5"/>
        <v>1618892895.1208198</v>
      </c>
      <c r="P44">
        <f t="shared" si="6"/>
        <v>-1.2246224514456117E-6</v>
      </c>
      <c r="Q44">
        <f t="shared" si="15"/>
        <v>7.4505805969238281E-7</v>
      </c>
      <c r="R44" s="68"/>
    </row>
    <row r="45" spans="1:18" x14ac:dyDescent="0.25">
      <c r="A45">
        <v>29</v>
      </c>
      <c r="B45">
        <f t="shared" si="7"/>
        <v>706.37970715761185</v>
      </c>
      <c r="C45">
        <f t="shared" si="8"/>
        <v>739.20935357880592</v>
      </c>
      <c r="D45">
        <f t="shared" si="9"/>
        <v>0.47856222729361514</v>
      </c>
      <c r="E45">
        <f t="shared" si="0"/>
        <v>1618892890.3767872</v>
      </c>
      <c r="F45">
        <f t="shared" si="1"/>
        <v>2.1273274342092918E-7</v>
      </c>
      <c r="G45">
        <f t="shared" si="2"/>
        <v>706.37970753014088</v>
      </c>
      <c r="H45">
        <f t="shared" si="10"/>
        <v>739.20935376507043</v>
      </c>
      <c r="I45">
        <f t="shared" si="11"/>
        <v>0.4785622273888791</v>
      </c>
      <c r="J45">
        <f t="shared" si="3"/>
        <v>1618892891.5627954</v>
      </c>
      <c r="K45">
        <f t="shared" si="4"/>
        <v>-1.4660611213912489E-7</v>
      </c>
      <c r="L45">
        <f t="shared" si="12"/>
        <v>706.37970790266991</v>
      </c>
      <c r="M45">
        <f t="shared" si="13"/>
        <v>739.20935395133495</v>
      </c>
      <c r="N45">
        <f t="shared" si="14"/>
        <v>0.47856222748414312</v>
      </c>
      <c r="O45">
        <f t="shared" si="5"/>
        <v>1618892892.7488029</v>
      </c>
      <c r="P45">
        <f t="shared" si="6"/>
        <v>-5.0594485401234124E-7</v>
      </c>
      <c r="Q45">
        <f t="shared" si="15"/>
        <v>-3.7252902984619141E-7</v>
      </c>
      <c r="R45" s="68"/>
    </row>
    <row r="46" spans="1:18" x14ac:dyDescent="0.25">
      <c r="A46">
        <v>30</v>
      </c>
      <c r="B46">
        <f t="shared" si="7"/>
        <v>706.37970715761185</v>
      </c>
      <c r="C46">
        <f t="shared" si="8"/>
        <v>739.20935357880592</v>
      </c>
      <c r="D46">
        <f t="shared" si="9"/>
        <v>0.47856222729361514</v>
      </c>
      <c r="E46">
        <f t="shared" si="0"/>
        <v>1618892890.3767872</v>
      </c>
      <c r="F46">
        <f t="shared" si="1"/>
        <v>2.1273274342092918E-7</v>
      </c>
      <c r="G46">
        <f t="shared" si="2"/>
        <v>706.37970734387636</v>
      </c>
      <c r="H46">
        <f t="shared" si="10"/>
        <v>739.20935367193817</v>
      </c>
      <c r="I46">
        <f t="shared" si="11"/>
        <v>0.47856222734124731</v>
      </c>
      <c r="J46">
        <f t="shared" si="3"/>
        <v>1618892890.9697909</v>
      </c>
      <c r="K46">
        <f t="shared" si="4"/>
        <v>3.3063315640902147E-8</v>
      </c>
      <c r="L46">
        <f t="shared" si="12"/>
        <v>706.37970753014088</v>
      </c>
      <c r="M46">
        <f t="shared" si="13"/>
        <v>739.20935376507043</v>
      </c>
      <c r="N46">
        <f t="shared" si="14"/>
        <v>0.4785622273888791</v>
      </c>
      <c r="O46">
        <f t="shared" si="5"/>
        <v>1618892891.5627954</v>
      </c>
      <c r="P46">
        <f t="shared" si="6"/>
        <v>-1.4660611213912489E-7</v>
      </c>
      <c r="Q46">
        <f t="shared" si="15"/>
        <v>-1.862645149230957E-7</v>
      </c>
      <c r="R46" s="68"/>
    </row>
    <row r="47" spans="1:18" x14ac:dyDescent="0.25">
      <c r="A47">
        <v>31</v>
      </c>
      <c r="B47">
        <f t="shared" si="7"/>
        <v>706.37970734387636</v>
      </c>
      <c r="C47">
        <f t="shared" si="8"/>
        <v>739.20935367193817</v>
      </c>
      <c r="D47">
        <f t="shared" si="9"/>
        <v>0.47856222734124731</v>
      </c>
      <c r="E47">
        <f t="shared" si="0"/>
        <v>1618892890.9697909</v>
      </c>
      <c r="F47">
        <f t="shared" si="1"/>
        <v>3.3063315640902147E-8</v>
      </c>
      <c r="G47">
        <f t="shared" si="2"/>
        <v>706.37970743700862</v>
      </c>
      <c r="H47">
        <f t="shared" si="10"/>
        <v>739.2093537185043</v>
      </c>
      <c r="I47">
        <f t="shared" si="11"/>
        <v>0.47856222736506321</v>
      </c>
      <c r="J47">
        <f t="shared" si="3"/>
        <v>1618892891.2662935</v>
      </c>
      <c r="K47">
        <f t="shared" si="4"/>
        <v>-5.677134140569251E-8</v>
      </c>
      <c r="L47">
        <f t="shared" si="12"/>
        <v>706.37970753014088</v>
      </c>
      <c r="M47">
        <f t="shared" si="13"/>
        <v>739.20935376507043</v>
      </c>
      <c r="N47">
        <f t="shared" si="14"/>
        <v>0.4785622273888791</v>
      </c>
      <c r="O47">
        <f t="shared" si="5"/>
        <v>1618892891.5627954</v>
      </c>
      <c r="P47">
        <f t="shared" si="6"/>
        <v>-1.4660611213912489E-7</v>
      </c>
      <c r="Q47">
        <f t="shared" si="15"/>
        <v>9.3132257461547852E-8</v>
      </c>
      <c r="R47" s="68"/>
    </row>
    <row r="48" spans="1:18" x14ac:dyDescent="0.25">
      <c r="A48">
        <v>32</v>
      </c>
      <c r="B48">
        <f t="shared" si="7"/>
        <v>706.37970734387636</v>
      </c>
      <c r="C48">
        <f t="shared" si="8"/>
        <v>739.20935367193817</v>
      </c>
      <c r="D48">
        <f t="shared" si="9"/>
        <v>0.47856222734124731</v>
      </c>
      <c r="E48">
        <f t="shared" si="0"/>
        <v>1618892890.9697909</v>
      </c>
      <c r="F48">
        <f t="shared" si="1"/>
        <v>3.3063315640902147E-8</v>
      </c>
      <c r="G48">
        <f t="shared" si="2"/>
        <v>706.37970739044249</v>
      </c>
      <c r="H48">
        <f t="shared" si="10"/>
        <v>739.20935369522124</v>
      </c>
      <c r="I48">
        <f t="shared" si="11"/>
        <v>0.47856222735315546</v>
      </c>
      <c r="J48">
        <f t="shared" si="3"/>
        <v>1618892891.118042</v>
      </c>
      <c r="K48">
        <f t="shared" si="4"/>
        <v>-1.1854012882395182E-8</v>
      </c>
      <c r="L48">
        <f t="shared" si="12"/>
        <v>706.37970743700862</v>
      </c>
      <c r="M48">
        <f t="shared" si="13"/>
        <v>739.2093537185043</v>
      </c>
      <c r="N48">
        <f t="shared" si="14"/>
        <v>0.47856222736506321</v>
      </c>
      <c r="O48">
        <f t="shared" si="5"/>
        <v>1618892891.2662935</v>
      </c>
      <c r="P48">
        <f t="shared" si="6"/>
        <v>-5.677134140569251E-8</v>
      </c>
      <c r="Q48">
        <f t="shared" si="15"/>
        <v>-4.6566128730773926E-8</v>
      </c>
      <c r="R48" s="68"/>
    </row>
    <row r="49" spans="1:18" x14ac:dyDescent="0.25">
      <c r="A49">
        <v>33</v>
      </c>
      <c r="B49">
        <f t="shared" si="7"/>
        <v>706.37970734387636</v>
      </c>
      <c r="C49">
        <f t="shared" si="8"/>
        <v>739.20935367193817</v>
      </c>
      <c r="D49">
        <f t="shared" si="9"/>
        <v>0.47856222734124731</v>
      </c>
      <c r="E49">
        <f t="shared" ref="E49:E66" si="16">($B$1^4-B49^4)/($B$1-B49)</f>
        <v>1618892890.9697909</v>
      </c>
      <c r="F49">
        <f t="shared" ref="F49:F66" si="17">$B$1-($B$5/($G$1*(D49+($G$3*E49))))-B49</f>
        <v>3.3063315640902147E-8</v>
      </c>
      <c r="G49">
        <f t="shared" ref="G49:G66" si="18">(B49+L49)/2</f>
        <v>706.37970736715943</v>
      </c>
      <c r="H49">
        <f t="shared" si="10"/>
        <v>739.20935368357971</v>
      </c>
      <c r="I49">
        <f t="shared" si="11"/>
        <v>0.47856222734720094</v>
      </c>
      <c r="J49">
        <f t="shared" ref="J49:J66" si="19">($B$1^4-G49^4)/($B$1-G49)</f>
        <v>1618892891.0439167</v>
      </c>
      <c r="K49">
        <f t="shared" ref="K49:K66" si="20">$B$1-($B$5/($G$1*(I49+($G$3*J49))))-G49</f>
        <v>1.0604594535834622E-8</v>
      </c>
      <c r="L49">
        <f t="shared" si="12"/>
        <v>706.37970739044249</v>
      </c>
      <c r="M49">
        <f t="shared" si="13"/>
        <v>739.20935369522124</v>
      </c>
      <c r="N49">
        <f t="shared" si="14"/>
        <v>0.47856222735315546</v>
      </c>
      <c r="O49">
        <f t="shared" ref="O49:O66" si="21">($B$1^4-L49^4)/($B$1-L49)</f>
        <v>1618892891.118042</v>
      </c>
      <c r="P49">
        <f t="shared" ref="P49:P66" si="22">$B$1-($B$5/($G$1*(N49+($G$3*O49))))-L49</f>
        <v>-1.1854012882395182E-8</v>
      </c>
      <c r="Q49">
        <f t="shared" si="15"/>
        <v>-2.3283064365386963E-8</v>
      </c>
      <c r="R49" s="68"/>
    </row>
    <row r="50" spans="1:18" x14ac:dyDescent="0.25">
      <c r="A50">
        <v>34</v>
      </c>
      <c r="B50">
        <f t="shared" ref="B50:B66" si="23">IF(F49*K49&gt;0,G49,B49)</f>
        <v>706.37970736715943</v>
      </c>
      <c r="C50">
        <f t="shared" si="8"/>
        <v>739.20935368357971</v>
      </c>
      <c r="D50">
        <f t="shared" si="9"/>
        <v>0.47856222734720094</v>
      </c>
      <c r="E50">
        <f t="shared" si="16"/>
        <v>1618892891.0439167</v>
      </c>
      <c r="F50">
        <f t="shared" si="17"/>
        <v>1.0604594535834622E-8</v>
      </c>
      <c r="G50">
        <f t="shared" si="18"/>
        <v>706.37970737880096</v>
      </c>
      <c r="H50">
        <f t="shared" si="10"/>
        <v>739.20935368940047</v>
      </c>
      <c r="I50">
        <f t="shared" si="11"/>
        <v>0.478562227350178</v>
      </c>
      <c r="J50">
        <f t="shared" si="19"/>
        <v>1618892891.0809791</v>
      </c>
      <c r="K50">
        <f t="shared" si="20"/>
        <v>-6.2470917328028008E-10</v>
      </c>
      <c r="L50">
        <f t="shared" ref="L50:L66" si="24">IF(K49*P49&lt;0,L49,G49)</f>
        <v>706.37970739044249</v>
      </c>
      <c r="M50">
        <f t="shared" si="13"/>
        <v>739.20935369522124</v>
      </c>
      <c r="N50">
        <f t="shared" si="14"/>
        <v>0.47856222735315546</v>
      </c>
      <c r="O50">
        <f t="shared" si="21"/>
        <v>1618892891.118042</v>
      </c>
      <c r="P50">
        <f t="shared" si="22"/>
        <v>-1.1854012882395182E-8</v>
      </c>
      <c r="Q50">
        <f t="shared" si="15"/>
        <v>1.1641532182693481E-8</v>
      </c>
      <c r="R50" s="68"/>
    </row>
    <row r="51" spans="1:18" x14ac:dyDescent="0.25">
      <c r="A51">
        <v>35</v>
      </c>
      <c r="B51">
        <f t="shared" si="23"/>
        <v>706.37970736715943</v>
      </c>
      <c r="C51">
        <f t="shared" si="8"/>
        <v>739.20935368357971</v>
      </c>
      <c r="D51">
        <f t="shared" si="9"/>
        <v>0.47856222734720094</v>
      </c>
      <c r="E51">
        <f t="shared" si="16"/>
        <v>1618892891.0439167</v>
      </c>
      <c r="F51">
        <f t="shared" si="17"/>
        <v>1.0604594535834622E-8</v>
      </c>
      <c r="G51">
        <f t="shared" si="18"/>
        <v>706.37970737298019</v>
      </c>
      <c r="H51">
        <f t="shared" si="10"/>
        <v>739.20935368649009</v>
      </c>
      <c r="I51">
        <f t="shared" si="11"/>
        <v>0.47856222734868953</v>
      </c>
      <c r="J51">
        <f t="shared" si="19"/>
        <v>1618892891.062448</v>
      </c>
      <c r="K51">
        <f t="shared" si="20"/>
        <v>4.9899426812771708E-9</v>
      </c>
      <c r="L51">
        <f t="shared" si="24"/>
        <v>706.37970737880096</v>
      </c>
      <c r="M51">
        <f t="shared" si="13"/>
        <v>739.20935368940047</v>
      </c>
      <c r="N51">
        <f t="shared" si="14"/>
        <v>0.478562227350178</v>
      </c>
      <c r="O51">
        <f t="shared" si="21"/>
        <v>1618892891.0809791</v>
      </c>
      <c r="P51">
        <f t="shared" si="22"/>
        <v>-6.2470917328028008E-10</v>
      </c>
      <c r="Q51">
        <f t="shared" si="15"/>
        <v>-5.8207660913467407E-9</v>
      </c>
      <c r="R51" s="68"/>
    </row>
    <row r="52" spans="1:18" x14ac:dyDescent="0.25">
      <c r="A52">
        <v>36</v>
      </c>
      <c r="B52">
        <f t="shared" si="23"/>
        <v>706.37970737298019</v>
      </c>
      <c r="C52">
        <f t="shared" si="8"/>
        <v>739.20935368649009</v>
      </c>
      <c r="D52">
        <f t="shared" si="9"/>
        <v>0.47856222734868953</v>
      </c>
      <c r="E52">
        <f t="shared" si="16"/>
        <v>1618892891.062448</v>
      </c>
      <c r="F52">
        <f t="shared" si="17"/>
        <v>4.9899426812771708E-9</v>
      </c>
      <c r="G52">
        <f t="shared" si="18"/>
        <v>706.37970737589058</v>
      </c>
      <c r="H52">
        <f t="shared" si="10"/>
        <v>739.20935368794528</v>
      </c>
      <c r="I52">
        <f t="shared" si="11"/>
        <v>0.47856222734943421</v>
      </c>
      <c r="J52">
        <f t="shared" si="19"/>
        <v>1618892891.0717134</v>
      </c>
      <c r="K52">
        <f t="shared" si="20"/>
        <v>2.1826735974173062E-9</v>
      </c>
      <c r="L52">
        <f t="shared" si="24"/>
        <v>706.37970737880096</v>
      </c>
      <c r="M52">
        <f t="shared" si="13"/>
        <v>739.20935368940047</v>
      </c>
      <c r="N52">
        <f t="shared" si="14"/>
        <v>0.478562227350178</v>
      </c>
      <c r="O52">
        <f t="shared" si="21"/>
        <v>1618892891.0809791</v>
      </c>
      <c r="P52">
        <f t="shared" si="22"/>
        <v>-6.2470917328028008E-10</v>
      </c>
      <c r="Q52">
        <f t="shared" si="15"/>
        <v>2.9103830456733704E-9</v>
      </c>
      <c r="R52" s="68"/>
    </row>
    <row r="53" spans="1:18" x14ac:dyDescent="0.25">
      <c r="A53">
        <v>37</v>
      </c>
      <c r="B53">
        <f t="shared" si="23"/>
        <v>706.37970737589058</v>
      </c>
      <c r="C53">
        <f t="shared" si="8"/>
        <v>739.20935368794528</v>
      </c>
      <c r="D53">
        <f t="shared" si="9"/>
        <v>0.47856222734943421</v>
      </c>
      <c r="E53">
        <f t="shared" si="16"/>
        <v>1618892891.0717134</v>
      </c>
      <c r="F53">
        <f t="shared" si="17"/>
        <v>2.1826735974173062E-9</v>
      </c>
      <c r="G53">
        <f t="shared" si="18"/>
        <v>706.37970737734577</v>
      </c>
      <c r="H53">
        <f t="shared" si="10"/>
        <v>739.20935368867288</v>
      </c>
      <c r="I53">
        <f t="shared" si="11"/>
        <v>0.47856222734980614</v>
      </c>
      <c r="J53">
        <f t="shared" si="19"/>
        <v>1618892891.0763462</v>
      </c>
      <c r="K53">
        <f t="shared" si="20"/>
        <v>7.7898221206851304E-10</v>
      </c>
      <c r="L53">
        <f t="shared" si="24"/>
        <v>706.37970737880096</v>
      </c>
      <c r="M53">
        <f t="shared" si="13"/>
        <v>739.20935368940047</v>
      </c>
      <c r="N53">
        <f t="shared" si="14"/>
        <v>0.478562227350178</v>
      </c>
      <c r="O53">
        <f t="shared" si="21"/>
        <v>1618892891.0809791</v>
      </c>
      <c r="P53">
        <f t="shared" si="22"/>
        <v>-6.2470917328028008E-10</v>
      </c>
      <c r="Q53">
        <f t="shared" si="15"/>
        <v>1.4551915228366852E-9</v>
      </c>
      <c r="R53" s="68"/>
    </row>
    <row r="54" spans="1:18" x14ac:dyDescent="0.25">
      <c r="A54">
        <v>38</v>
      </c>
      <c r="B54">
        <f t="shared" si="23"/>
        <v>706.37970737734577</v>
      </c>
      <c r="C54">
        <f t="shared" si="8"/>
        <v>739.20935368867288</v>
      </c>
      <c r="D54">
        <f t="shared" si="9"/>
        <v>0.47856222734980614</v>
      </c>
      <c r="E54">
        <f t="shared" si="16"/>
        <v>1618892891.0763462</v>
      </c>
      <c r="F54">
        <f t="shared" si="17"/>
        <v>7.7898221206851304E-10</v>
      </c>
      <c r="G54">
        <f t="shared" si="18"/>
        <v>706.37970737807336</v>
      </c>
      <c r="H54">
        <f t="shared" si="10"/>
        <v>739.20935368903667</v>
      </c>
      <c r="I54">
        <f t="shared" si="11"/>
        <v>0.47856222734999226</v>
      </c>
      <c r="J54">
        <f t="shared" si="19"/>
        <v>1618892891.0786633</v>
      </c>
      <c r="K54">
        <f t="shared" si="20"/>
        <v>7.7193362812977284E-11</v>
      </c>
      <c r="L54">
        <f t="shared" si="24"/>
        <v>706.37970737880096</v>
      </c>
      <c r="M54">
        <f t="shared" si="13"/>
        <v>739.20935368940047</v>
      </c>
      <c r="N54">
        <f t="shared" si="14"/>
        <v>0.478562227350178</v>
      </c>
      <c r="O54">
        <f t="shared" si="21"/>
        <v>1618892891.0809791</v>
      </c>
      <c r="P54">
        <f t="shared" si="22"/>
        <v>-6.2470917328028008E-10</v>
      </c>
      <c r="Q54">
        <f t="shared" si="15"/>
        <v>7.2759576141834259E-10</v>
      </c>
      <c r="R54" s="68"/>
    </row>
    <row r="55" spans="1:18" x14ac:dyDescent="0.25">
      <c r="A55">
        <v>39</v>
      </c>
      <c r="B55">
        <f t="shared" si="23"/>
        <v>706.37970737807336</v>
      </c>
      <c r="C55">
        <f t="shared" si="8"/>
        <v>739.20935368903667</v>
      </c>
      <c r="D55">
        <f t="shared" si="9"/>
        <v>0.47856222734999226</v>
      </c>
      <c r="E55">
        <f t="shared" si="16"/>
        <v>1618892891.0786633</v>
      </c>
      <c r="F55">
        <f t="shared" si="17"/>
        <v>7.7193362812977284E-11</v>
      </c>
      <c r="G55">
        <f t="shared" si="18"/>
        <v>706.37970737843716</v>
      </c>
      <c r="H55">
        <f t="shared" si="10"/>
        <v>739.20935368921857</v>
      </c>
      <c r="I55">
        <f t="shared" si="11"/>
        <v>0.47856222735008541</v>
      </c>
      <c r="J55">
        <f t="shared" si="19"/>
        <v>1618892891.0798211</v>
      </c>
      <c r="K55">
        <f t="shared" si="20"/>
        <v>-2.737579052336514E-10</v>
      </c>
      <c r="L55">
        <f t="shared" si="24"/>
        <v>706.37970737880096</v>
      </c>
      <c r="M55">
        <f t="shared" si="13"/>
        <v>739.20935368940047</v>
      </c>
      <c r="N55">
        <f t="shared" si="14"/>
        <v>0.478562227350178</v>
      </c>
      <c r="O55">
        <f t="shared" si="21"/>
        <v>1618892891.0809791</v>
      </c>
      <c r="P55">
        <f t="shared" si="22"/>
        <v>-6.2470917328028008E-10</v>
      </c>
      <c r="Q55">
        <f t="shared" si="15"/>
        <v>3.637978807091713E-10</v>
      </c>
      <c r="R55" s="68"/>
    </row>
    <row r="56" spans="1:18" x14ac:dyDescent="0.25">
      <c r="A56">
        <v>40</v>
      </c>
      <c r="B56">
        <f t="shared" si="23"/>
        <v>706.37970737807336</v>
      </c>
      <c r="C56">
        <f t="shared" si="8"/>
        <v>739.20935368903667</v>
      </c>
      <c r="D56">
        <f t="shared" si="9"/>
        <v>0.47856222734999226</v>
      </c>
      <c r="E56">
        <f t="shared" si="16"/>
        <v>1618892891.0786633</v>
      </c>
      <c r="F56">
        <f t="shared" si="17"/>
        <v>7.7193362812977284E-11</v>
      </c>
      <c r="G56">
        <f t="shared" si="18"/>
        <v>706.37970737825526</v>
      </c>
      <c r="H56">
        <f t="shared" si="10"/>
        <v>739.20935368912762</v>
      </c>
      <c r="I56">
        <f t="shared" si="11"/>
        <v>0.47856222735003906</v>
      </c>
      <c r="J56">
        <f t="shared" si="19"/>
        <v>1618892891.0792422</v>
      </c>
      <c r="K56">
        <f t="shared" si="20"/>
        <v>-9.822542779147625E-11</v>
      </c>
      <c r="L56">
        <f t="shared" si="24"/>
        <v>706.37970737843716</v>
      </c>
      <c r="M56">
        <f t="shared" si="13"/>
        <v>739.20935368921857</v>
      </c>
      <c r="N56">
        <f t="shared" si="14"/>
        <v>0.47856222735008541</v>
      </c>
      <c r="O56">
        <f t="shared" si="21"/>
        <v>1618892891.0798211</v>
      </c>
      <c r="P56">
        <f t="shared" si="22"/>
        <v>-2.737579052336514E-10</v>
      </c>
      <c r="Q56">
        <f t="shared" si="15"/>
        <v>-1.8189894035458565E-10</v>
      </c>
      <c r="R56" s="68"/>
    </row>
    <row r="57" spans="1:18" x14ac:dyDescent="0.25">
      <c r="A57">
        <v>41</v>
      </c>
      <c r="B57">
        <f t="shared" si="23"/>
        <v>706.37970737807336</v>
      </c>
      <c r="C57">
        <f t="shared" si="8"/>
        <v>739.20935368903667</v>
      </c>
      <c r="D57">
        <f t="shared" si="9"/>
        <v>0.47856222734999226</v>
      </c>
      <c r="E57">
        <f t="shared" si="16"/>
        <v>1618892891.0786633</v>
      </c>
      <c r="F57">
        <f t="shared" si="17"/>
        <v>7.7193362812977284E-11</v>
      </c>
      <c r="G57">
        <f t="shared" si="18"/>
        <v>706.37970737816431</v>
      </c>
      <c r="H57">
        <f t="shared" si="10"/>
        <v>739.20935368908215</v>
      </c>
      <c r="I57">
        <f t="shared" si="11"/>
        <v>0.47856222735001525</v>
      </c>
      <c r="J57">
        <f t="shared" si="19"/>
        <v>1618892891.0789523</v>
      </c>
      <c r="K57">
        <f t="shared" si="20"/>
        <v>-1.0572875908110291E-11</v>
      </c>
      <c r="L57">
        <f t="shared" si="24"/>
        <v>706.37970737825526</v>
      </c>
      <c r="M57">
        <f t="shared" si="13"/>
        <v>739.20935368912762</v>
      </c>
      <c r="N57">
        <f t="shared" si="14"/>
        <v>0.47856222735003906</v>
      </c>
      <c r="O57">
        <f t="shared" si="21"/>
        <v>1618892891.0792422</v>
      </c>
      <c r="P57">
        <f t="shared" si="22"/>
        <v>-9.822542779147625E-11</v>
      </c>
      <c r="Q57">
        <f t="shared" si="15"/>
        <v>-9.0949470177292824E-11</v>
      </c>
      <c r="R57" s="68"/>
    </row>
    <row r="58" spans="1:18" x14ac:dyDescent="0.25">
      <c r="A58">
        <v>42</v>
      </c>
      <c r="B58">
        <f t="shared" si="23"/>
        <v>706.37970737807336</v>
      </c>
      <c r="C58">
        <f t="shared" si="8"/>
        <v>739.20935368903667</v>
      </c>
      <c r="D58">
        <f t="shared" si="9"/>
        <v>0.47856222734999226</v>
      </c>
      <c r="E58">
        <f t="shared" si="16"/>
        <v>1618892891.0786633</v>
      </c>
      <c r="F58">
        <f t="shared" si="17"/>
        <v>7.7193362812977284E-11</v>
      </c>
      <c r="G58">
        <f t="shared" si="18"/>
        <v>706.37970737811884</v>
      </c>
      <c r="H58">
        <f t="shared" si="10"/>
        <v>739.20935368905941</v>
      </c>
      <c r="I58">
        <f t="shared" si="11"/>
        <v>0.47856222735000375</v>
      </c>
      <c r="J58">
        <f t="shared" si="19"/>
        <v>1618892891.0788076</v>
      </c>
      <c r="K58">
        <f t="shared" si="20"/>
        <v>3.3310243452433497E-11</v>
      </c>
      <c r="L58">
        <f t="shared" si="24"/>
        <v>706.37970737816431</v>
      </c>
      <c r="M58">
        <f t="shared" si="13"/>
        <v>739.20935368908215</v>
      </c>
      <c r="N58">
        <f t="shared" si="14"/>
        <v>0.47856222735001525</v>
      </c>
      <c r="O58">
        <f t="shared" si="21"/>
        <v>1618892891.0789523</v>
      </c>
      <c r="P58">
        <f t="shared" si="22"/>
        <v>-1.0572875908110291E-11</v>
      </c>
      <c r="Q58">
        <f t="shared" si="15"/>
        <v>-4.5474735088646412E-11</v>
      </c>
      <c r="R58" s="68"/>
    </row>
    <row r="59" spans="1:18" x14ac:dyDescent="0.25">
      <c r="A59">
        <v>43</v>
      </c>
      <c r="B59">
        <f t="shared" si="23"/>
        <v>706.37970737811884</v>
      </c>
      <c r="C59">
        <f t="shared" si="8"/>
        <v>739.20935368905941</v>
      </c>
      <c r="D59">
        <f t="shared" si="9"/>
        <v>0.47856222735000375</v>
      </c>
      <c r="E59">
        <f t="shared" si="16"/>
        <v>1618892891.0788076</v>
      </c>
      <c r="F59">
        <f t="shared" si="17"/>
        <v>3.3310243452433497E-11</v>
      </c>
      <c r="G59">
        <f t="shared" si="18"/>
        <v>706.37970737814157</v>
      </c>
      <c r="H59">
        <f t="shared" si="10"/>
        <v>739.20935368907078</v>
      </c>
      <c r="I59">
        <f t="shared" si="11"/>
        <v>0.47856222735000964</v>
      </c>
      <c r="J59">
        <f t="shared" si="19"/>
        <v>1618892891.0788803</v>
      </c>
      <c r="K59">
        <f t="shared" si="20"/>
        <v>1.1368683772161603E-11</v>
      </c>
      <c r="L59">
        <f t="shared" si="24"/>
        <v>706.37970737816431</v>
      </c>
      <c r="M59">
        <f t="shared" si="13"/>
        <v>739.20935368908215</v>
      </c>
      <c r="N59">
        <f t="shared" si="14"/>
        <v>0.47856222735001525</v>
      </c>
      <c r="O59">
        <f t="shared" si="21"/>
        <v>1618892891.0789523</v>
      </c>
      <c r="P59">
        <f t="shared" si="22"/>
        <v>-1.0572875908110291E-11</v>
      </c>
      <c r="Q59">
        <f t="shared" si="15"/>
        <v>2.2737367544323206E-11</v>
      </c>
      <c r="R59" s="68"/>
    </row>
    <row r="60" spans="1:18" x14ac:dyDescent="0.25">
      <c r="A60">
        <v>44</v>
      </c>
      <c r="B60">
        <f t="shared" si="23"/>
        <v>706.37970737814157</v>
      </c>
      <c r="C60">
        <f t="shared" si="8"/>
        <v>739.20935368907078</v>
      </c>
      <c r="D60">
        <f t="shared" si="9"/>
        <v>0.47856222735000964</v>
      </c>
      <c r="E60">
        <f t="shared" si="16"/>
        <v>1618892891.0788803</v>
      </c>
      <c r="F60">
        <f t="shared" si="17"/>
        <v>1.1368683772161603E-11</v>
      </c>
      <c r="G60">
        <f t="shared" si="18"/>
        <v>706.37970737815294</v>
      </c>
      <c r="H60">
        <f t="shared" si="10"/>
        <v>739.20935368907647</v>
      </c>
      <c r="I60">
        <f t="shared" si="11"/>
        <v>0.47856222735001269</v>
      </c>
      <c r="J60">
        <f t="shared" si="19"/>
        <v>1618892891.0789161</v>
      </c>
      <c r="K60">
        <f t="shared" si="20"/>
        <v>0</v>
      </c>
      <c r="L60">
        <f t="shared" si="24"/>
        <v>706.37970737816431</v>
      </c>
      <c r="M60">
        <f t="shared" si="13"/>
        <v>739.20935368908215</v>
      </c>
      <c r="N60">
        <f t="shared" si="14"/>
        <v>0.47856222735001525</v>
      </c>
      <c r="O60">
        <f t="shared" si="21"/>
        <v>1618892891.0789523</v>
      </c>
      <c r="P60">
        <f t="shared" si="22"/>
        <v>-1.0572875908110291E-11</v>
      </c>
      <c r="Q60">
        <f t="shared" si="15"/>
        <v>1.1368683772161603E-11</v>
      </c>
      <c r="R60" s="68"/>
    </row>
    <row r="61" spans="1:18" x14ac:dyDescent="0.25">
      <c r="A61">
        <v>45</v>
      </c>
      <c r="B61">
        <f t="shared" si="23"/>
        <v>706.37970737814157</v>
      </c>
      <c r="C61">
        <f t="shared" si="8"/>
        <v>739.20935368907078</v>
      </c>
      <c r="D61">
        <f t="shared" si="9"/>
        <v>0.47856222735000964</v>
      </c>
      <c r="E61">
        <f t="shared" si="16"/>
        <v>1618892891.0788803</v>
      </c>
      <c r="F61">
        <f t="shared" si="17"/>
        <v>1.1368683772161603E-11</v>
      </c>
      <c r="G61">
        <f t="shared" si="18"/>
        <v>706.37970737814726</v>
      </c>
      <c r="H61">
        <f t="shared" si="10"/>
        <v>739.20935368907362</v>
      </c>
      <c r="I61">
        <f t="shared" si="11"/>
        <v>0.47856222735001097</v>
      </c>
      <c r="J61">
        <f t="shared" si="19"/>
        <v>1618892891.0788982</v>
      </c>
      <c r="K61">
        <f t="shared" si="20"/>
        <v>5.9117155615240335E-12</v>
      </c>
      <c r="L61">
        <f t="shared" si="24"/>
        <v>706.37970737815294</v>
      </c>
      <c r="M61">
        <f t="shared" si="13"/>
        <v>739.20935368907647</v>
      </c>
      <c r="N61">
        <f t="shared" si="14"/>
        <v>0.47856222735001269</v>
      </c>
      <c r="O61">
        <f t="shared" si="21"/>
        <v>1618892891.0789161</v>
      </c>
      <c r="P61">
        <f t="shared" si="22"/>
        <v>0</v>
      </c>
      <c r="Q61">
        <f t="shared" si="15"/>
        <v>-5.6843418860808015E-12</v>
      </c>
      <c r="R61" s="68"/>
    </row>
    <row r="62" spans="1:18" x14ac:dyDescent="0.25">
      <c r="A62">
        <v>46</v>
      </c>
      <c r="B62">
        <f t="shared" si="23"/>
        <v>706.37970737814726</v>
      </c>
      <c r="C62">
        <f t="shared" si="8"/>
        <v>739.20935368907362</v>
      </c>
      <c r="D62">
        <f t="shared" si="9"/>
        <v>0.47856222735001097</v>
      </c>
      <c r="E62">
        <f t="shared" si="16"/>
        <v>1618892891.0788982</v>
      </c>
      <c r="F62">
        <f t="shared" si="17"/>
        <v>5.9117155615240335E-12</v>
      </c>
      <c r="G62">
        <f t="shared" si="18"/>
        <v>706.37970737814726</v>
      </c>
      <c r="H62">
        <f t="shared" si="10"/>
        <v>739.20935368907362</v>
      </c>
      <c r="I62">
        <f t="shared" si="11"/>
        <v>0.47856222735001097</v>
      </c>
      <c r="J62">
        <f t="shared" si="19"/>
        <v>1618892891.0788982</v>
      </c>
      <c r="K62">
        <f t="shared" si="20"/>
        <v>5.9117155615240335E-12</v>
      </c>
      <c r="L62">
        <f t="shared" si="24"/>
        <v>706.37970737814726</v>
      </c>
      <c r="M62">
        <f t="shared" si="13"/>
        <v>739.20935368907362</v>
      </c>
      <c r="N62">
        <f t="shared" si="14"/>
        <v>0.47856222735001097</v>
      </c>
      <c r="O62">
        <f t="shared" si="21"/>
        <v>1618892891.0788982</v>
      </c>
      <c r="P62">
        <f t="shared" si="22"/>
        <v>5.9117155615240335E-12</v>
      </c>
      <c r="Q62">
        <f t="shared" si="15"/>
        <v>0</v>
      </c>
      <c r="R62" s="68"/>
    </row>
    <row r="63" spans="1:18" x14ac:dyDescent="0.25">
      <c r="A63">
        <v>47</v>
      </c>
      <c r="B63">
        <f t="shared" si="23"/>
        <v>706.37970737814726</v>
      </c>
      <c r="C63">
        <f t="shared" si="8"/>
        <v>739.20935368907362</v>
      </c>
      <c r="D63">
        <f t="shared" si="9"/>
        <v>0.47856222735001097</v>
      </c>
      <c r="E63">
        <f t="shared" si="16"/>
        <v>1618892891.0788982</v>
      </c>
      <c r="F63">
        <f t="shared" si="17"/>
        <v>5.9117155615240335E-12</v>
      </c>
      <c r="G63">
        <f t="shared" si="18"/>
        <v>706.37970737814726</v>
      </c>
      <c r="H63">
        <f t="shared" si="10"/>
        <v>739.20935368907362</v>
      </c>
      <c r="I63">
        <f t="shared" si="11"/>
        <v>0.47856222735001097</v>
      </c>
      <c r="J63">
        <f t="shared" si="19"/>
        <v>1618892891.0788982</v>
      </c>
      <c r="K63">
        <f t="shared" si="20"/>
        <v>5.9117155615240335E-12</v>
      </c>
      <c r="L63">
        <f t="shared" si="24"/>
        <v>706.37970737814726</v>
      </c>
      <c r="M63">
        <f t="shared" si="13"/>
        <v>739.20935368907362</v>
      </c>
      <c r="N63">
        <f t="shared" si="14"/>
        <v>0.47856222735001097</v>
      </c>
      <c r="O63">
        <f t="shared" si="21"/>
        <v>1618892891.0788982</v>
      </c>
      <c r="P63">
        <f t="shared" si="22"/>
        <v>5.9117155615240335E-12</v>
      </c>
      <c r="Q63">
        <f t="shared" si="15"/>
        <v>0</v>
      </c>
      <c r="R63" s="68"/>
    </row>
    <row r="64" spans="1:18" x14ac:dyDescent="0.25">
      <c r="A64">
        <v>48</v>
      </c>
      <c r="B64">
        <f t="shared" si="23"/>
        <v>706.37970737814726</v>
      </c>
      <c r="C64">
        <f t="shared" si="8"/>
        <v>739.20935368907362</v>
      </c>
      <c r="D64">
        <f t="shared" si="9"/>
        <v>0.47856222735001097</v>
      </c>
      <c r="E64">
        <f t="shared" si="16"/>
        <v>1618892891.0788982</v>
      </c>
      <c r="F64">
        <f t="shared" si="17"/>
        <v>5.9117155615240335E-12</v>
      </c>
      <c r="G64">
        <f t="shared" si="18"/>
        <v>706.37970737814726</v>
      </c>
      <c r="H64">
        <f t="shared" si="10"/>
        <v>739.20935368907362</v>
      </c>
      <c r="I64">
        <f t="shared" si="11"/>
        <v>0.47856222735001097</v>
      </c>
      <c r="J64">
        <f t="shared" si="19"/>
        <v>1618892891.0788982</v>
      </c>
      <c r="K64">
        <f t="shared" si="20"/>
        <v>5.9117155615240335E-12</v>
      </c>
      <c r="L64">
        <f t="shared" si="24"/>
        <v>706.37970737814726</v>
      </c>
      <c r="M64">
        <f t="shared" si="13"/>
        <v>739.20935368907362</v>
      </c>
      <c r="N64">
        <f t="shared" si="14"/>
        <v>0.47856222735001097</v>
      </c>
      <c r="O64">
        <f t="shared" si="21"/>
        <v>1618892891.0788982</v>
      </c>
      <c r="P64">
        <f t="shared" si="22"/>
        <v>5.9117155615240335E-12</v>
      </c>
      <c r="Q64">
        <f t="shared" si="15"/>
        <v>0</v>
      </c>
      <c r="R64" s="68"/>
    </row>
    <row r="65" spans="1:18" x14ac:dyDescent="0.25">
      <c r="A65">
        <v>49</v>
      </c>
      <c r="B65">
        <f t="shared" si="23"/>
        <v>706.37970737814726</v>
      </c>
      <c r="C65">
        <f t="shared" si="8"/>
        <v>739.20935368907362</v>
      </c>
      <c r="D65">
        <f t="shared" si="9"/>
        <v>0.47856222735001097</v>
      </c>
      <c r="E65">
        <f t="shared" si="16"/>
        <v>1618892891.0788982</v>
      </c>
      <c r="F65">
        <f t="shared" si="17"/>
        <v>5.9117155615240335E-12</v>
      </c>
      <c r="G65">
        <f t="shared" si="18"/>
        <v>706.37970737814726</v>
      </c>
      <c r="H65">
        <f t="shared" si="10"/>
        <v>739.20935368907362</v>
      </c>
      <c r="I65">
        <f t="shared" si="11"/>
        <v>0.47856222735001097</v>
      </c>
      <c r="J65">
        <f t="shared" si="19"/>
        <v>1618892891.0788982</v>
      </c>
      <c r="K65">
        <f t="shared" si="20"/>
        <v>5.9117155615240335E-12</v>
      </c>
      <c r="L65">
        <f t="shared" si="24"/>
        <v>706.37970737814726</v>
      </c>
      <c r="M65">
        <f t="shared" si="13"/>
        <v>739.20935368907362</v>
      </c>
      <c r="N65">
        <f t="shared" si="14"/>
        <v>0.47856222735001097</v>
      </c>
      <c r="O65">
        <f t="shared" si="21"/>
        <v>1618892891.0788982</v>
      </c>
      <c r="P65">
        <f t="shared" si="22"/>
        <v>5.9117155615240335E-12</v>
      </c>
      <c r="Q65">
        <f t="shared" si="15"/>
        <v>0</v>
      </c>
      <c r="R65" s="68"/>
    </row>
    <row r="66" spans="1:18" x14ac:dyDescent="0.25">
      <c r="A66">
        <v>50</v>
      </c>
      <c r="B66">
        <f t="shared" si="23"/>
        <v>706.37970737814726</v>
      </c>
      <c r="C66">
        <f t="shared" si="8"/>
        <v>739.20935368907362</v>
      </c>
      <c r="D66">
        <f t="shared" si="9"/>
        <v>0.47856222735001097</v>
      </c>
      <c r="E66">
        <f t="shared" si="16"/>
        <v>1618892891.0788982</v>
      </c>
      <c r="F66">
        <f t="shared" si="17"/>
        <v>5.9117155615240335E-12</v>
      </c>
      <c r="G66">
        <f t="shared" si="18"/>
        <v>706.37970737814726</v>
      </c>
      <c r="H66">
        <f t="shared" si="10"/>
        <v>739.20935368907362</v>
      </c>
      <c r="I66">
        <f t="shared" si="11"/>
        <v>0.47856222735001097</v>
      </c>
      <c r="J66">
        <f t="shared" si="19"/>
        <v>1618892891.0788982</v>
      </c>
      <c r="K66">
        <f t="shared" si="20"/>
        <v>5.9117155615240335E-12</v>
      </c>
      <c r="L66">
        <f t="shared" si="24"/>
        <v>706.37970737814726</v>
      </c>
      <c r="M66">
        <f t="shared" si="13"/>
        <v>739.20935368907362</v>
      </c>
      <c r="N66">
        <f t="shared" si="14"/>
        <v>0.47856222735001097</v>
      </c>
      <c r="O66">
        <f t="shared" si="21"/>
        <v>1618892891.0788982</v>
      </c>
      <c r="P66">
        <f t="shared" si="22"/>
        <v>5.9117155615240335E-12</v>
      </c>
      <c r="Q66">
        <f t="shared" si="15"/>
        <v>0</v>
      </c>
      <c r="R66" s="68"/>
    </row>
    <row r="67" spans="1:18" x14ac:dyDescent="0.25">
      <c r="R67" s="68"/>
    </row>
    <row r="68" spans="1:18" x14ac:dyDescent="0.25">
      <c r="B68" t="s">
        <v>305</v>
      </c>
      <c r="C68">
        <f>(B1+G66)/2</f>
        <v>739.20935368907362</v>
      </c>
      <c r="R68" s="68"/>
    </row>
    <row r="69" spans="1:18" x14ac:dyDescent="0.25">
      <c r="R69" s="68"/>
    </row>
  </sheetData>
  <mergeCells count="5">
    <mergeCell ref="A15:A16"/>
    <mergeCell ref="A14:Q14"/>
    <mergeCell ref="L15:P15"/>
    <mergeCell ref="G15:K15"/>
    <mergeCell ref="B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O8" sqref="O8:O12"/>
    </sheetView>
  </sheetViews>
  <sheetFormatPr defaultRowHeight="15" x14ac:dyDescent="0.25"/>
  <cols>
    <col min="15" max="15" width="11.5703125" bestFit="1" customWidth="1"/>
  </cols>
  <sheetData>
    <row r="1" spans="1:16" ht="15.75" x14ac:dyDescent="0.25">
      <c r="A1" s="142" t="s">
        <v>323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6" ht="15.75" x14ac:dyDescent="0.25">
      <c r="A2" s="143" t="s">
        <v>306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5"/>
    </row>
    <row r="3" spans="1:16" ht="75" x14ac:dyDescent="0.25">
      <c r="A3" s="65" t="s">
        <v>307</v>
      </c>
      <c r="B3" s="65" t="s">
        <v>308</v>
      </c>
      <c r="C3" s="65" t="s">
        <v>309</v>
      </c>
      <c r="D3" s="65" t="s">
        <v>310</v>
      </c>
      <c r="E3" s="65" t="s">
        <v>311</v>
      </c>
      <c r="F3" s="65" t="s">
        <v>312</v>
      </c>
      <c r="G3" s="65" t="s">
        <v>324</v>
      </c>
      <c r="H3" s="65" t="s">
        <v>313</v>
      </c>
      <c r="I3" s="65" t="s">
        <v>314</v>
      </c>
      <c r="J3" s="65" t="s">
        <v>315</v>
      </c>
      <c r="K3" s="65" t="s">
        <v>316</v>
      </c>
      <c r="L3" s="65" t="s">
        <v>317</v>
      </c>
      <c r="M3" s="65" t="s">
        <v>318</v>
      </c>
      <c r="N3" s="65" t="s">
        <v>319</v>
      </c>
      <c r="O3" s="72" t="s">
        <v>320</v>
      </c>
    </row>
    <row r="4" spans="1:16" x14ac:dyDescent="0.25">
      <c r="A4" s="141" t="s">
        <v>35</v>
      </c>
      <c r="B4" s="67" t="s">
        <v>83</v>
      </c>
      <c r="C4" s="67">
        <v>4.0500000000000001E-2</v>
      </c>
      <c r="D4" s="67">
        <v>235.0439231</v>
      </c>
      <c r="E4" s="141">
        <f>(C4*D4)+(C5*D5)</f>
        <v>237.92900479024999</v>
      </c>
      <c r="F4" s="138">
        <f>E4+E6</f>
        <v>269.92781464696657</v>
      </c>
      <c r="G4" s="138">
        <v>1</v>
      </c>
      <c r="H4" s="146">
        <f>F4</f>
        <v>269.92781464696657</v>
      </c>
      <c r="I4" s="141">
        <v>10.96</v>
      </c>
      <c r="J4" s="146">
        <v>100</v>
      </c>
      <c r="K4" s="138">
        <f>J4</f>
        <v>100</v>
      </c>
      <c r="L4" s="138">
        <f>K4/I4</f>
        <v>9.1240875912408743</v>
      </c>
      <c r="M4" s="138">
        <f>L4</f>
        <v>9.1240875912408743</v>
      </c>
      <c r="N4" s="138">
        <f>L4/M4</f>
        <v>1</v>
      </c>
      <c r="O4" s="149">
        <f>N4*I4</f>
        <v>10.96</v>
      </c>
      <c r="P4">
        <f>0.96*O4</f>
        <v>10.521600000000001</v>
      </c>
    </row>
    <row r="5" spans="1:16" x14ac:dyDescent="0.25">
      <c r="A5" s="141"/>
      <c r="B5" s="67" t="s">
        <v>84</v>
      </c>
      <c r="C5" s="67">
        <f>1-C4</f>
        <v>0.95950000000000002</v>
      </c>
      <c r="D5" s="67">
        <v>238.05078259999999</v>
      </c>
      <c r="E5" s="141"/>
      <c r="F5" s="139"/>
      <c r="G5" s="139"/>
      <c r="H5" s="147"/>
      <c r="I5" s="141"/>
      <c r="J5" s="147"/>
      <c r="K5" s="139"/>
      <c r="L5" s="139"/>
      <c r="M5" s="139"/>
      <c r="N5" s="139"/>
      <c r="O5" s="150"/>
    </row>
    <row r="6" spans="1:16" x14ac:dyDescent="0.25">
      <c r="A6" s="141"/>
      <c r="B6" s="67" t="s">
        <v>85</v>
      </c>
      <c r="C6" s="67">
        <v>1</v>
      </c>
      <c r="D6" s="73">
        <v>15.999404928358301</v>
      </c>
      <c r="E6" s="73">
        <f>(2*D6)</f>
        <v>31.998809856716601</v>
      </c>
      <c r="F6" s="140"/>
      <c r="G6" s="140"/>
      <c r="H6" s="148"/>
      <c r="I6" s="141"/>
      <c r="J6" s="148"/>
      <c r="K6" s="140"/>
      <c r="L6" s="140"/>
      <c r="M6" s="140"/>
      <c r="N6" s="140"/>
      <c r="O6" s="151"/>
    </row>
    <row r="7" spans="1:16" ht="15.75" x14ac:dyDescent="0.25">
      <c r="A7" s="143" t="s">
        <v>321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</row>
    <row r="8" spans="1:16" x14ac:dyDescent="0.25">
      <c r="A8" s="141" t="s">
        <v>35</v>
      </c>
      <c r="B8" s="67" t="s">
        <v>83</v>
      </c>
      <c r="C8" s="67">
        <v>4.5499999999999999E-2</v>
      </c>
      <c r="D8" s="67">
        <v>235.0439231</v>
      </c>
      <c r="E8" s="141">
        <f>(C8*D8)+(C9*D9)</f>
        <v>237.91397049275</v>
      </c>
      <c r="F8" s="138">
        <f>E8+E10</f>
        <v>269.91278034946657</v>
      </c>
      <c r="G8" s="138">
        <v>0.99209999999999998</v>
      </c>
      <c r="H8" s="138">
        <f>(G8*F8)+(G11*F11)</f>
        <v>270.64423842525321</v>
      </c>
      <c r="I8" s="141">
        <v>10.96</v>
      </c>
      <c r="J8" s="138">
        <v>100</v>
      </c>
      <c r="K8" s="141">
        <f>J8*G8</f>
        <v>99.21</v>
      </c>
      <c r="L8" s="141">
        <f>K8/I8</f>
        <v>9.0520072992700715</v>
      </c>
      <c r="M8" s="138">
        <f>L8+L11</f>
        <v>9.1586199848301248</v>
      </c>
      <c r="N8" s="141">
        <f>L8/M8</f>
        <v>0.98835930678020911</v>
      </c>
      <c r="O8" s="138">
        <f>(N8*I8)+(N11*I11)</f>
        <v>10.918675539069744</v>
      </c>
      <c r="P8">
        <f>0.96*O8</f>
        <v>10.481928517506955</v>
      </c>
    </row>
    <row r="9" spans="1:16" x14ac:dyDescent="0.25">
      <c r="A9" s="141"/>
      <c r="B9" s="67" t="s">
        <v>84</v>
      </c>
      <c r="C9" s="67">
        <f>1-C8</f>
        <v>0.95450000000000002</v>
      </c>
      <c r="D9" s="67">
        <v>238.05078259999999</v>
      </c>
      <c r="E9" s="141"/>
      <c r="F9" s="139"/>
      <c r="G9" s="139"/>
      <c r="H9" s="139"/>
      <c r="I9" s="141"/>
      <c r="J9" s="139"/>
      <c r="K9" s="141"/>
      <c r="L9" s="141"/>
      <c r="M9" s="139"/>
      <c r="N9" s="141"/>
      <c r="O9" s="139"/>
    </row>
    <row r="10" spans="1:16" x14ac:dyDescent="0.25">
      <c r="A10" s="141"/>
      <c r="B10" s="67" t="s">
        <v>85</v>
      </c>
      <c r="C10" s="67">
        <v>1</v>
      </c>
      <c r="D10" s="73">
        <v>15.999404928358301</v>
      </c>
      <c r="E10" s="73">
        <f>(2*D10)</f>
        <v>31.998809856716601</v>
      </c>
      <c r="F10" s="140"/>
      <c r="G10" s="139"/>
      <c r="H10" s="139"/>
      <c r="I10" s="141"/>
      <c r="J10" s="139"/>
      <c r="K10" s="141"/>
      <c r="L10" s="141"/>
      <c r="M10" s="139"/>
      <c r="N10" s="141"/>
      <c r="O10" s="139"/>
    </row>
    <row r="11" spans="1:16" x14ac:dyDescent="0.25">
      <c r="A11" s="141" t="s">
        <v>36</v>
      </c>
      <c r="B11" s="67" t="s">
        <v>322</v>
      </c>
      <c r="C11" s="67">
        <v>1</v>
      </c>
      <c r="D11" s="2">
        <v>157.25209770539999</v>
      </c>
      <c r="E11" s="73">
        <f>2*D11</f>
        <v>314.50419541079998</v>
      </c>
      <c r="F11" s="138">
        <f>E11+E12</f>
        <v>362.50241019587486</v>
      </c>
      <c r="G11" s="139">
        <v>7.9000000000000008E-3</v>
      </c>
      <c r="H11" s="139"/>
      <c r="I11" s="138">
        <v>7.41</v>
      </c>
      <c r="J11" s="139"/>
      <c r="K11" s="141">
        <f>J8*G11</f>
        <v>0.79</v>
      </c>
      <c r="L11" s="141">
        <f>K11/I11</f>
        <v>0.10661268556005399</v>
      </c>
      <c r="M11" s="139"/>
      <c r="N11" s="141">
        <f>L11/M8</f>
        <v>1.1640693219790957E-2</v>
      </c>
      <c r="O11" s="139"/>
    </row>
    <row r="12" spans="1:16" x14ac:dyDescent="0.25">
      <c r="A12" s="141"/>
      <c r="B12" s="67" t="s">
        <v>85</v>
      </c>
      <c r="C12" s="67">
        <v>1</v>
      </c>
      <c r="D12" s="67">
        <v>15.999404928358299</v>
      </c>
      <c r="E12" s="73">
        <f>(3*D12)</f>
        <v>47.998214785074893</v>
      </c>
      <c r="F12" s="140"/>
      <c r="G12" s="140"/>
      <c r="H12" s="140"/>
      <c r="I12" s="140"/>
      <c r="J12" s="140"/>
      <c r="K12" s="141"/>
      <c r="L12" s="141"/>
      <c r="M12" s="140"/>
      <c r="N12" s="141"/>
      <c r="O12" s="140"/>
    </row>
  </sheetData>
  <mergeCells count="34">
    <mergeCell ref="A1:O1"/>
    <mergeCell ref="A2:O2"/>
    <mergeCell ref="N4:N6"/>
    <mergeCell ref="A7:O7"/>
    <mergeCell ref="A4:A6"/>
    <mergeCell ref="E4:E5"/>
    <mergeCell ref="F4:F6"/>
    <mergeCell ref="H4:H6"/>
    <mergeCell ref="J4:J6"/>
    <mergeCell ref="M4:M6"/>
    <mergeCell ref="O4:O6"/>
    <mergeCell ref="G4:G6"/>
    <mergeCell ref="I4:I6"/>
    <mergeCell ref="K4:K6"/>
    <mergeCell ref="L4:L6"/>
    <mergeCell ref="A11:A12"/>
    <mergeCell ref="F11:F12"/>
    <mergeCell ref="G11:G12"/>
    <mergeCell ref="I11:I12"/>
    <mergeCell ref="K11:K12"/>
    <mergeCell ref="H8:H12"/>
    <mergeCell ref="J8:J12"/>
    <mergeCell ref="K8:K10"/>
    <mergeCell ref="A8:A10"/>
    <mergeCell ref="E8:E9"/>
    <mergeCell ref="F8:F10"/>
    <mergeCell ref="G8:G10"/>
    <mergeCell ref="I8:I10"/>
    <mergeCell ref="M8:M12"/>
    <mergeCell ref="O8:O12"/>
    <mergeCell ref="N8:N10"/>
    <mergeCell ref="L11:L12"/>
    <mergeCell ref="N11:N12"/>
    <mergeCell ref="L8:L10"/>
  </mergeCells>
  <pageMargins left="0.7" right="0.7" top="0.75" bottom="0.75" header="0.3" footer="0.3"/>
  <ignoredErrors>
    <ignoredError sqref="L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B11" sqref="B11:C11"/>
    </sheetView>
  </sheetViews>
  <sheetFormatPr defaultRowHeight="15" x14ac:dyDescent="0.25"/>
  <cols>
    <col min="1" max="1" width="27.5703125" bestFit="1" customWidth="1"/>
    <col min="2" max="3" width="16.7109375" bestFit="1" customWidth="1"/>
    <col min="6" max="6" width="3.85546875" bestFit="1" customWidth="1"/>
    <col min="7" max="8" width="2.140625" bestFit="1" customWidth="1"/>
    <col min="9" max="15" width="4" bestFit="1" customWidth="1"/>
    <col min="16" max="17" width="3" bestFit="1" customWidth="1"/>
  </cols>
  <sheetData>
    <row r="1" spans="1:17" x14ac:dyDescent="0.25">
      <c r="A1" s="154" t="s">
        <v>1</v>
      </c>
      <c r="B1" s="155" t="s">
        <v>342</v>
      </c>
      <c r="C1" s="155"/>
    </row>
    <row r="2" spans="1:17" x14ac:dyDescent="0.25">
      <c r="A2" s="154"/>
      <c r="B2" s="101" t="s">
        <v>343</v>
      </c>
      <c r="C2" s="101" t="s">
        <v>344</v>
      </c>
      <c r="F2" s="137" t="s">
        <v>345</v>
      </c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7" x14ac:dyDescent="0.25">
      <c r="A3" s="2" t="s">
        <v>346</v>
      </c>
      <c r="B3" s="2">
        <f t="shared" ref="B3:C3" si="0">B5/B4</f>
        <v>1.2121212121212122</v>
      </c>
      <c r="C3" s="2">
        <f t="shared" si="0"/>
        <v>1.2121212121212122</v>
      </c>
      <c r="F3" t="s">
        <v>347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</row>
    <row r="4" spans="1:17" x14ac:dyDescent="0.25">
      <c r="A4" s="30" t="s">
        <v>348</v>
      </c>
      <c r="B4" s="30">
        <v>165</v>
      </c>
      <c r="C4" s="30">
        <v>165</v>
      </c>
      <c r="F4">
        <v>1</v>
      </c>
      <c r="G4" s="103" t="s">
        <v>349</v>
      </c>
      <c r="H4" s="104" t="s">
        <v>349</v>
      </c>
      <c r="I4" s="104" t="s">
        <v>349</v>
      </c>
      <c r="J4" s="104" t="s">
        <v>349</v>
      </c>
      <c r="K4" s="104" t="s">
        <v>349</v>
      </c>
      <c r="L4" s="104" t="s">
        <v>349</v>
      </c>
      <c r="M4" s="104" t="s">
        <v>349</v>
      </c>
      <c r="N4" s="104" t="s">
        <v>349</v>
      </c>
      <c r="O4" s="104" t="s">
        <v>349</v>
      </c>
      <c r="P4" s="104" t="s">
        <v>349</v>
      </c>
      <c r="Q4" s="105" t="s">
        <v>349</v>
      </c>
    </row>
    <row r="5" spans="1:17" x14ac:dyDescent="0.25">
      <c r="A5" s="30" t="s">
        <v>350</v>
      </c>
      <c r="B5" s="106">
        <v>200</v>
      </c>
      <c r="C5" s="106">
        <v>200</v>
      </c>
      <c r="F5">
        <v>2</v>
      </c>
      <c r="G5" s="6" t="s">
        <v>349</v>
      </c>
      <c r="H5" s="7"/>
      <c r="I5" s="7"/>
      <c r="J5" s="7"/>
      <c r="K5" s="7"/>
      <c r="L5" s="7"/>
      <c r="M5" s="7"/>
      <c r="N5" s="7"/>
      <c r="O5" s="7"/>
      <c r="P5" s="7"/>
      <c r="Q5" s="9" t="s">
        <v>349</v>
      </c>
    </row>
    <row r="6" spans="1:17" x14ac:dyDescent="0.25">
      <c r="A6" s="2" t="s">
        <v>351</v>
      </c>
      <c r="B6" s="2">
        <f>(PI()*B7^2*B5)*B8*B9</f>
        <v>628146.28868232062</v>
      </c>
      <c r="C6" s="2">
        <f t="shared" ref="C6" si="1">(PI()*C7^2*C5)*C8*C9</f>
        <v>382349.91485010821</v>
      </c>
      <c r="F6">
        <v>3</v>
      </c>
      <c r="G6" s="6" t="s">
        <v>349</v>
      </c>
      <c r="H6" s="7"/>
      <c r="I6" s="103"/>
      <c r="J6" s="104"/>
      <c r="K6" s="107">
        <v>201</v>
      </c>
      <c r="L6" s="108">
        <v>101</v>
      </c>
      <c r="M6" s="107">
        <v>202</v>
      </c>
      <c r="N6" s="104"/>
      <c r="O6" s="105"/>
      <c r="P6" s="7"/>
      <c r="Q6" s="9" t="s">
        <v>349</v>
      </c>
    </row>
    <row r="7" spans="1:17" x14ac:dyDescent="0.25">
      <c r="A7" s="109" t="s">
        <v>352</v>
      </c>
      <c r="B7" s="4">
        <v>0.40576499999999999</v>
      </c>
      <c r="C7" s="4">
        <v>0.40576499999999999</v>
      </c>
      <c r="F7">
        <v>4</v>
      </c>
      <c r="G7" s="6" t="s">
        <v>349</v>
      </c>
      <c r="H7" s="7"/>
      <c r="I7" s="6"/>
      <c r="J7" s="110">
        <v>203</v>
      </c>
      <c r="K7" s="111">
        <v>102</v>
      </c>
      <c r="L7" s="111">
        <v>103</v>
      </c>
      <c r="M7" s="111">
        <v>104</v>
      </c>
      <c r="N7" s="110">
        <v>204</v>
      </c>
      <c r="O7" s="9"/>
      <c r="P7" s="7"/>
      <c r="Q7" s="9" t="s">
        <v>349</v>
      </c>
    </row>
    <row r="8" spans="1:17" x14ac:dyDescent="0.25">
      <c r="A8" s="4" t="s">
        <v>353</v>
      </c>
      <c r="B8" s="2">
        <v>23</v>
      </c>
      <c r="C8" s="2">
        <v>14</v>
      </c>
      <c r="F8">
        <v>5</v>
      </c>
      <c r="G8" s="6" t="s">
        <v>349</v>
      </c>
      <c r="H8" s="7"/>
      <c r="I8" s="112">
        <v>105</v>
      </c>
      <c r="J8" s="111">
        <v>106</v>
      </c>
      <c r="K8" s="110">
        <v>205</v>
      </c>
      <c r="L8" s="111">
        <v>107</v>
      </c>
      <c r="M8" s="110">
        <v>206</v>
      </c>
      <c r="N8" s="111">
        <v>108</v>
      </c>
      <c r="O8" s="113">
        <v>109</v>
      </c>
      <c r="P8" s="7"/>
      <c r="Q8" s="9" t="s">
        <v>349</v>
      </c>
    </row>
    <row r="9" spans="1:17" x14ac:dyDescent="0.25">
      <c r="A9" s="4" t="s">
        <v>354</v>
      </c>
      <c r="B9" s="2">
        <v>264</v>
      </c>
      <c r="C9" s="2">
        <v>264</v>
      </c>
      <c r="F9">
        <v>6</v>
      </c>
      <c r="G9" s="6" t="s">
        <v>349</v>
      </c>
      <c r="H9" s="7"/>
      <c r="I9" s="114">
        <v>207</v>
      </c>
      <c r="J9" s="111">
        <v>110</v>
      </c>
      <c r="K9" s="111">
        <v>111</v>
      </c>
      <c r="L9" s="111">
        <v>112</v>
      </c>
      <c r="M9" s="111">
        <v>113</v>
      </c>
      <c r="N9" s="111">
        <v>114</v>
      </c>
      <c r="O9" s="115">
        <v>208</v>
      </c>
      <c r="P9" s="7"/>
      <c r="Q9" s="9" t="s">
        <v>349</v>
      </c>
    </row>
    <row r="10" spans="1:17" x14ac:dyDescent="0.25">
      <c r="A10" s="2" t="s">
        <v>355</v>
      </c>
      <c r="B10" s="2">
        <f>'Fraksi Volume'!P4</f>
        <v>10.521600000000001</v>
      </c>
      <c r="C10" s="2">
        <f>'Fraksi Volume'!P8</f>
        <v>10.481928517506955</v>
      </c>
      <c r="F10">
        <v>7</v>
      </c>
      <c r="G10" s="6" t="s">
        <v>349</v>
      </c>
      <c r="H10" s="7"/>
      <c r="I10" s="112">
        <v>115</v>
      </c>
      <c r="J10" s="111">
        <v>116</v>
      </c>
      <c r="K10" s="110">
        <v>209</v>
      </c>
      <c r="L10" s="111">
        <v>117</v>
      </c>
      <c r="M10" s="110">
        <v>210</v>
      </c>
      <c r="N10" s="111">
        <v>118</v>
      </c>
      <c r="O10" s="113">
        <v>119</v>
      </c>
      <c r="P10" s="7"/>
      <c r="Q10" s="9" t="s">
        <v>349</v>
      </c>
    </row>
    <row r="11" spans="1:17" x14ac:dyDescent="0.25">
      <c r="A11" s="2" t="s">
        <v>356</v>
      </c>
      <c r="B11" s="116">
        <f>B10*B6</f>
        <v>6609103.9909999054</v>
      </c>
      <c r="C11" s="116">
        <f>C10*C6</f>
        <v>4007764.4761337051</v>
      </c>
      <c r="F11">
        <v>8</v>
      </c>
      <c r="G11" s="6" t="s">
        <v>349</v>
      </c>
      <c r="H11" s="7"/>
      <c r="I11" s="117"/>
      <c r="J11" s="110">
        <v>211</v>
      </c>
      <c r="K11" s="111">
        <v>120</v>
      </c>
      <c r="L11" s="111">
        <v>121</v>
      </c>
      <c r="M11" s="111">
        <v>122</v>
      </c>
      <c r="N11" s="110">
        <v>212</v>
      </c>
      <c r="O11" s="9"/>
      <c r="P11" s="7"/>
      <c r="Q11" s="9" t="s">
        <v>349</v>
      </c>
    </row>
    <row r="12" spans="1:17" x14ac:dyDescent="0.25">
      <c r="A12" s="4" t="s">
        <v>357</v>
      </c>
      <c r="B12" s="156">
        <f>B11+C11</f>
        <v>10616868.467133611</v>
      </c>
      <c r="C12" s="156"/>
      <c r="F12">
        <v>9</v>
      </c>
      <c r="G12" s="6" t="s">
        <v>349</v>
      </c>
      <c r="H12" s="7"/>
      <c r="I12" s="118"/>
      <c r="J12" s="119"/>
      <c r="K12" s="120">
        <v>213</v>
      </c>
      <c r="L12" s="121">
        <v>123</v>
      </c>
      <c r="M12" s="120">
        <v>214</v>
      </c>
      <c r="N12" s="119"/>
      <c r="O12" s="35"/>
      <c r="P12" s="7"/>
      <c r="Q12" s="9" t="s">
        <v>349</v>
      </c>
    </row>
    <row r="13" spans="1:17" x14ac:dyDescent="0.25">
      <c r="A13" s="4" t="s">
        <v>358</v>
      </c>
      <c r="B13" s="157">
        <v>10616868.467133611</v>
      </c>
      <c r="C13" s="158"/>
      <c r="F13">
        <v>10</v>
      </c>
      <c r="G13" s="6" t="s">
        <v>349</v>
      </c>
      <c r="H13" s="7"/>
      <c r="I13" s="7"/>
      <c r="J13" s="7"/>
      <c r="K13" s="7"/>
      <c r="L13" s="7"/>
      <c r="M13" s="7"/>
      <c r="N13" s="7"/>
      <c r="O13" s="7"/>
      <c r="P13" s="7"/>
      <c r="Q13" s="9" t="s">
        <v>349</v>
      </c>
    </row>
    <row r="14" spans="1:17" x14ac:dyDescent="0.25">
      <c r="A14" s="2" t="s">
        <v>359</v>
      </c>
      <c r="B14" s="159">
        <v>4</v>
      </c>
      <c r="C14" s="160"/>
      <c r="F14">
        <v>11</v>
      </c>
      <c r="G14" s="118" t="s">
        <v>349</v>
      </c>
      <c r="H14" s="119" t="s">
        <v>349</v>
      </c>
      <c r="I14" s="119" t="s">
        <v>349</v>
      </c>
      <c r="J14" s="119" t="s">
        <v>349</v>
      </c>
      <c r="K14" s="119" t="s">
        <v>349</v>
      </c>
      <c r="L14" s="119" t="s">
        <v>349</v>
      </c>
      <c r="M14" s="119" t="s">
        <v>349</v>
      </c>
      <c r="N14" s="119" t="s">
        <v>349</v>
      </c>
      <c r="O14" s="119" t="s">
        <v>349</v>
      </c>
      <c r="P14" s="119" t="s">
        <v>349</v>
      </c>
      <c r="Q14" s="35" t="s">
        <v>349</v>
      </c>
    </row>
    <row r="15" spans="1:17" x14ac:dyDescent="0.25">
      <c r="A15" s="2" t="s">
        <v>360</v>
      </c>
      <c r="B15" s="152">
        <f>B5/4</f>
        <v>50</v>
      </c>
      <c r="C15" s="152"/>
    </row>
    <row r="16" spans="1:17" x14ac:dyDescent="0.25">
      <c r="A16" s="2" t="s">
        <v>361</v>
      </c>
      <c r="B16" s="153">
        <f>B15*21.50364*21.50364</f>
        <v>23120.326662480002</v>
      </c>
      <c r="C16" s="153"/>
    </row>
    <row r="17" spans="1:3" x14ac:dyDescent="0.25">
      <c r="A17" s="4" t="s">
        <v>362</v>
      </c>
      <c r="B17" s="2">
        <f>(B6/B8)/$B$14</f>
        <v>6827.6770508947893</v>
      </c>
      <c r="C17" s="2">
        <f>(C6/C8)/$B$14</f>
        <v>6827.6770508947893</v>
      </c>
    </row>
    <row r="18" spans="1:3" x14ac:dyDescent="0.25">
      <c r="A18" s="4" t="s">
        <v>363</v>
      </c>
      <c r="B18" s="2">
        <f>B17/$B$16</f>
        <v>0.29531057889311063</v>
      </c>
      <c r="C18" s="2">
        <f>C17/$B$16</f>
        <v>0.29531057889311063</v>
      </c>
    </row>
  </sheetData>
  <mergeCells count="8">
    <mergeCell ref="B15:C15"/>
    <mergeCell ref="B16:C16"/>
    <mergeCell ref="A1:A2"/>
    <mergeCell ref="B1:C1"/>
    <mergeCell ref="F2:Q2"/>
    <mergeCell ref="B12:C12"/>
    <mergeCell ref="B13:C13"/>
    <mergeCell ref="B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Normal="100" workbookViewId="0">
      <selection activeCell="I9" sqref="I9"/>
    </sheetView>
  </sheetViews>
  <sheetFormatPr defaultRowHeight="15" x14ac:dyDescent="0.25"/>
  <cols>
    <col min="1" max="1" width="25.5703125" bestFit="1" customWidth="1"/>
    <col min="2" max="2" width="10.85546875" bestFit="1" customWidth="1"/>
    <col min="3" max="3" width="13.5703125" bestFit="1" customWidth="1"/>
    <col min="4" max="4" width="20.140625" bestFit="1" customWidth="1"/>
    <col min="6" max="6" width="12" bestFit="1" customWidth="1"/>
    <col min="7" max="7" width="10.7109375" bestFit="1" customWidth="1"/>
    <col min="8" max="8" width="13.140625" bestFit="1" customWidth="1"/>
    <col min="9" max="9" width="12.28515625" bestFit="1" customWidth="1"/>
    <col min="10" max="10" width="12.42578125" bestFit="1" customWidth="1"/>
    <col min="11" max="11" width="10" bestFit="1" customWidth="1"/>
    <col min="12" max="12" width="13.140625" bestFit="1" customWidth="1"/>
  </cols>
  <sheetData>
    <row r="1" spans="1:17" x14ac:dyDescent="0.25">
      <c r="A1" s="126" t="s">
        <v>0</v>
      </c>
      <c r="B1" s="126"/>
      <c r="C1" s="126"/>
      <c r="D1" s="126"/>
    </row>
    <row r="2" spans="1:17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7" x14ac:dyDescent="0.25">
      <c r="A3" s="2" t="s">
        <v>5</v>
      </c>
      <c r="B3" s="3">
        <v>6.0221408570000002E+23</v>
      </c>
      <c r="C3" s="2" t="s">
        <v>6</v>
      </c>
      <c r="D3" s="2" t="s">
        <v>7</v>
      </c>
      <c r="F3" s="135" t="s">
        <v>21</v>
      </c>
      <c r="G3" s="135"/>
      <c r="H3" s="135"/>
      <c r="I3" s="101" t="s">
        <v>99</v>
      </c>
      <c r="J3" s="19"/>
      <c r="K3" s="19"/>
    </row>
    <row r="4" spans="1:17" x14ac:dyDescent="0.25">
      <c r="A4" s="2" t="s">
        <v>8</v>
      </c>
      <c r="B4" s="2">
        <v>10.96</v>
      </c>
      <c r="C4" s="2" t="s">
        <v>9</v>
      </c>
      <c r="D4" s="2"/>
      <c r="F4" s="1" t="s">
        <v>19</v>
      </c>
      <c r="G4" s="36" t="s">
        <v>20</v>
      </c>
      <c r="H4" s="33" t="s">
        <v>24</v>
      </c>
      <c r="I4" s="122"/>
      <c r="J4" s="7"/>
      <c r="K4" s="7"/>
    </row>
    <row r="5" spans="1:17" x14ac:dyDescent="0.25">
      <c r="A5" s="2" t="s">
        <v>10</v>
      </c>
      <c r="B5" s="2">
        <f>0.96*B4</f>
        <v>10.521600000000001</v>
      </c>
      <c r="C5" s="2" t="s">
        <v>9</v>
      </c>
      <c r="D5" s="2"/>
      <c r="F5" s="123">
        <v>4.0500000000000001E-2</v>
      </c>
      <c r="G5" s="123">
        <f>1-F5</f>
        <v>0.95950000000000002</v>
      </c>
      <c r="H5" s="123">
        <f>(F5*235.0439231)+(G5*238.0507826)+(2*15.9994049283583)</f>
        <v>269.92781464696657</v>
      </c>
      <c r="I5" s="122"/>
    </row>
    <row r="6" spans="1:17" x14ac:dyDescent="0.25">
      <c r="A6" s="2" t="s">
        <v>11</v>
      </c>
      <c r="B6" s="49">
        <v>772.03888888888889</v>
      </c>
      <c r="C6" s="2" t="s">
        <v>12</v>
      </c>
      <c r="D6" s="2"/>
      <c r="F6" s="166"/>
      <c r="G6" s="166"/>
      <c r="H6" s="166"/>
      <c r="I6" s="35"/>
      <c r="L6" s="7"/>
    </row>
    <row r="7" spans="1:17" x14ac:dyDescent="0.25">
      <c r="A7" s="4" t="s">
        <v>13</v>
      </c>
      <c r="B7" s="2">
        <v>0.75320399999999998</v>
      </c>
      <c r="C7" s="2" t="s">
        <v>9</v>
      </c>
      <c r="D7" s="2"/>
      <c r="F7" s="124" t="s">
        <v>80</v>
      </c>
      <c r="G7" s="124" t="s">
        <v>82</v>
      </c>
      <c r="H7" s="124" t="s">
        <v>81</v>
      </c>
      <c r="I7" s="101" t="s">
        <v>364</v>
      </c>
    </row>
    <row r="8" spans="1:17" x14ac:dyDescent="0.25">
      <c r="A8" s="2" t="s">
        <v>14</v>
      </c>
      <c r="B8" s="49">
        <v>557.03888888888889</v>
      </c>
      <c r="C8" s="2" t="s">
        <v>12</v>
      </c>
      <c r="D8" s="2"/>
      <c r="F8" s="2" t="s">
        <v>83</v>
      </c>
      <c r="G8" s="2" t="s">
        <v>105</v>
      </c>
      <c r="H8" s="37">
        <f>F5*B5*$B$3/H5*1E-24</f>
        <v>9.5069252926646946E-4</v>
      </c>
      <c r="I8" s="37">
        <f>F5*B5*$B$3/H5*1E-24*'HD FIX'!$B$18</f>
        <v>2.8074956116703662E-4</v>
      </c>
      <c r="J8" s="7"/>
      <c r="K8" s="7"/>
      <c r="L8" s="7"/>
      <c r="M8" s="7"/>
      <c r="N8" s="7"/>
      <c r="O8" s="8"/>
      <c r="P8" s="8"/>
      <c r="Q8" s="8"/>
    </row>
    <row r="9" spans="1:17" x14ac:dyDescent="0.25">
      <c r="A9" s="4" t="s">
        <v>15</v>
      </c>
      <c r="B9" s="2">
        <v>9.0273999999999997E-3</v>
      </c>
      <c r="C9" s="2" t="s">
        <v>9</v>
      </c>
      <c r="D9" s="2" t="s">
        <v>7</v>
      </c>
      <c r="F9" s="2" t="s">
        <v>84</v>
      </c>
      <c r="G9" s="2" t="s">
        <v>106</v>
      </c>
      <c r="H9" s="37">
        <f>G5*B5*$B$3/H5*1E-24</f>
        <v>2.2523197082251294E-2</v>
      </c>
      <c r="I9" s="37">
        <f>G5*B5*$B$3/H5*1E-24*'HD FIX'!$B$18</f>
        <v>6.65133836888325E-3</v>
      </c>
      <c r="J9" s="7"/>
      <c r="K9" s="7"/>
      <c r="L9" s="7"/>
      <c r="M9" s="7"/>
      <c r="N9" s="7"/>
    </row>
    <row r="10" spans="1:17" x14ac:dyDescent="0.25">
      <c r="A10" s="4" t="s">
        <v>16</v>
      </c>
      <c r="B10" s="70">
        <v>734.67266278448471</v>
      </c>
      <c r="C10" s="4" t="s">
        <v>12</v>
      </c>
      <c r="D10" s="4"/>
      <c r="F10" s="2" t="s">
        <v>85</v>
      </c>
      <c r="G10" s="2" t="s">
        <v>107</v>
      </c>
      <c r="H10" s="37">
        <f>2*$B$3/H5*$B$5*1E-24</f>
        <v>4.6947779223035523E-2</v>
      </c>
      <c r="I10" s="37">
        <f>2*$B$3/H5*$B$5*1E-24*'HD FIX'!B18</f>
        <v>1.3864175860100572E-2</v>
      </c>
      <c r="J10" s="7"/>
      <c r="K10" s="7"/>
      <c r="L10" s="7"/>
      <c r="M10" s="7"/>
      <c r="N10" s="7"/>
    </row>
    <row r="11" spans="1:17" x14ac:dyDescent="0.25">
      <c r="A11" s="2" t="s">
        <v>17</v>
      </c>
      <c r="B11" s="2">
        <v>1850</v>
      </c>
      <c r="C11" s="2" t="s">
        <v>18</v>
      </c>
      <c r="D11" s="2"/>
      <c r="K11" s="7"/>
      <c r="L11" s="7"/>
      <c r="M11" s="7"/>
      <c r="N11" s="7"/>
      <c r="O11" s="7"/>
    </row>
    <row r="12" spans="1:17" x14ac:dyDescent="0.25">
      <c r="A12" s="4" t="s">
        <v>133</v>
      </c>
      <c r="B12" s="70">
        <v>641.03547877703488</v>
      </c>
      <c r="C12" s="4" t="s">
        <v>12</v>
      </c>
      <c r="D12" s="4"/>
      <c r="F12" s="162" t="s">
        <v>22</v>
      </c>
      <c r="G12" s="163"/>
      <c r="H12" s="45" t="s">
        <v>100</v>
      </c>
      <c r="K12" s="7"/>
      <c r="L12" s="7"/>
      <c r="M12" s="7"/>
      <c r="N12" s="7"/>
      <c r="O12" s="7"/>
    </row>
    <row r="13" spans="1:17" x14ac:dyDescent="0.25">
      <c r="A13" s="71"/>
      <c r="B13" s="71"/>
      <c r="C13" s="71"/>
      <c r="D13" s="71"/>
      <c r="F13" s="33" t="s">
        <v>25</v>
      </c>
      <c r="G13" s="20"/>
      <c r="H13" s="9"/>
      <c r="K13" s="7"/>
      <c r="L13" s="7"/>
      <c r="M13" s="7"/>
      <c r="N13" s="7"/>
      <c r="O13" s="7"/>
    </row>
    <row r="14" spans="1:17" x14ac:dyDescent="0.25">
      <c r="F14" s="2">
        <v>4.0026018980937002</v>
      </c>
      <c r="G14" s="7"/>
      <c r="H14" s="9"/>
      <c r="K14" s="7"/>
      <c r="L14" s="7"/>
      <c r="M14" s="7"/>
      <c r="N14" s="23"/>
      <c r="O14" s="7"/>
    </row>
    <row r="15" spans="1:17" x14ac:dyDescent="0.25">
      <c r="A15" s="126" t="s">
        <v>38</v>
      </c>
      <c r="B15" s="126"/>
      <c r="C15" s="126"/>
      <c r="F15" s="167"/>
      <c r="G15" s="168"/>
      <c r="H15" s="169"/>
      <c r="K15" s="7"/>
      <c r="L15" s="19"/>
      <c r="M15" s="7"/>
      <c r="N15" s="7"/>
      <c r="O15" s="7"/>
    </row>
    <row r="16" spans="1:17" x14ac:dyDescent="0.25">
      <c r="A16" s="4" t="s">
        <v>39</v>
      </c>
      <c r="B16" s="164" t="s">
        <v>37</v>
      </c>
      <c r="C16" s="165"/>
      <c r="F16" s="33" t="s">
        <v>80</v>
      </c>
      <c r="G16" s="33" t="s">
        <v>82</v>
      </c>
      <c r="H16" s="33" t="s">
        <v>81</v>
      </c>
      <c r="K16" s="7"/>
      <c r="L16" s="7"/>
      <c r="M16" s="7"/>
      <c r="N16" s="7"/>
      <c r="O16" s="7"/>
    </row>
    <row r="17" spans="1:15" x14ac:dyDescent="0.25">
      <c r="A17" s="2" t="s">
        <v>52</v>
      </c>
      <c r="B17" s="2">
        <v>6.5508899999999999</v>
      </c>
      <c r="C17" s="2" t="s">
        <v>9</v>
      </c>
      <c r="F17" s="2" t="s">
        <v>86</v>
      </c>
      <c r="G17" s="2" t="s">
        <v>108</v>
      </c>
      <c r="H17" s="37">
        <f>$B$9*$B$3/$F$14*1E-24</f>
        <v>1.3582233696129912E-3</v>
      </c>
      <c r="K17" s="7"/>
      <c r="L17" s="7"/>
      <c r="M17" s="7"/>
      <c r="N17" s="7"/>
      <c r="O17" s="7"/>
    </row>
    <row r="18" spans="1:15" x14ac:dyDescent="0.25">
      <c r="A18" s="6"/>
      <c r="B18" s="7"/>
      <c r="C18" s="9"/>
      <c r="K18" s="7"/>
      <c r="L18" s="7"/>
      <c r="M18" s="7"/>
      <c r="N18" s="7"/>
      <c r="O18" s="7"/>
    </row>
    <row r="19" spans="1:15" x14ac:dyDescent="0.25">
      <c r="A19" s="1" t="s">
        <v>53</v>
      </c>
      <c r="B19" s="5" t="s">
        <v>49</v>
      </c>
      <c r="C19" s="5" t="s">
        <v>30</v>
      </c>
      <c r="F19" s="162" t="s">
        <v>27</v>
      </c>
      <c r="G19" s="163"/>
      <c r="H19" s="45" t="s">
        <v>101</v>
      </c>
      <c r="I19" s="19"/>
      <c r="J19" s="162" t="s">
        <v>88</v>
      </c>
      <c r="K19" s="163"/>
      <c r="L19" s="45" t="s">
        <v>102</v>
      </c>
    </row>
    <row r="20" spans="1:15" x14ac:dyDescent="0.25">
      <c r="A20" s="41" t="s">
        <v>54</v>
      </c>
      <c r="B20" s="13">
        <v>0.98192999999999997</v>
      </c>
      <c r="C20" s="13">
        <v>91.224000000000004</v>
      </c>
      <c r="D20">
        <f>B20*C20</f>
        <v>89.575582319999995</v>
      </c>
      <c r="F20" s="33" t="s">
        <v>28</v>
      </c>
      <c r="G20" s="20"/>
      <c r="H20" s="38"/>
      <c r="I20" s="20"/>
      <c r="J20" s="33" t="s">
        <v>28</v>
      </c>
      <c r="K20" s="20"/>
      <c r="L20" s="38"/>
    </row>
    <row r="21" spans="1:15" x14ac:dyDescent="0.25">
      <c r="A21" s="24" t="s">
        <v>55</v>
      </c>
      <c r="B21" s="13">
        <v>1.4999999999999999E-2</v>
      </c>
      <c r="C21" s="13">
        <v>118.71</v>
      </c>
      <c r="D21">
        <f t="shared" ref="D21:D24" si="0">B21*C21</f>
        <v>1.7806499999999998</v>
      </c>
      <c r="F21" s="2">
        <f>$D$25</f>
        <v>91.524026957999979</v>
      </c>
      <c r="G21" s="7"/>
      <c r="H21" s="9"/>
      <c r="J21" s="2">
        <f>$D$25</f>
        <v>91.524026957999979</v>
      </c>
      <c r="K21" s="7"/>
      <c r="L21" s="9"/>
      <c r="N21" s="14"/>
    </row>
    <row r="22" spans="1:15" x14ac:dyDescent="0.25">
      <c r="A22" s="24" t="s">
        <v>32</v>
      </c>
      <c r="B22" s="13">
        <v>2E-3</v>
      </c>
      <c r="C22" s="13">
        <v>55.844999999999999</v>
      </c>
      <c r="D22">
        <f t="shared" si="0"/>
        <v>0.11169</v>
      </c>
      <c r="F22" s="167"/>
      <c r="G22" s="168"/>
      <c r="H22" s="169"/>
      <c r="J22" s="126"/>
      <c r="K22" s="161"/>
      <c r="L22" s="161"/>
      <c r="N22" s="14"/>
    </row>
    <row r="23" spans="1:15" x14ac:dyDescent="0.25">
      <c r="A23" s="24" t="s">
        <v>31</v>
      </c>
      <c r="B23" s="13">
        <v>1E-3</v>
      </c>
      <c r="C23" s="13">
        <v>51.996099999999998</v>
      </c>
      <c r="D23">
        <f t="shared" si="0"/>
        <v>5.1996099999999996E-2</v>
      </c>
      <c r="F23" s="33" t="s">
        <v>80</v>
      </c>
      <c r="G23" s="33" t="s">
        <v>82</v>
      </c>
      <c r="H23" s="33" t="s">
        <v>81</v>
      </c>
      <c r="J23" s="33" t="s">
        <v>80</v>
      </c>
      <c r="K23" s="33" t="s">
        <v>82</v>
      </c>
      <c r="L23" s="33" t="s">
        <v>81</v>
      </c>
    </row>
    <row r="24" spans="1:15" x14ac:dyDescent="0.25">
      <c r="A24" s="24" t="s">
        <v>33</v>
      </c>
      <c r="B24" s="13">
        <v>6.9999999999999994E-5</v>
      </c>
      <c r="C24" s="13">
        <v>58.693399999999997</v>
      </c>
      <c r="D24">
        <f t="shared" si="0"/>
        <v>4.1085379999999993E-3</v>
      </c>
      <c r="F24" s="2" t="s">
        <v>54</v>
      </c>
      <c r="G24" s="2" t="s">
        <v>109</v>
      </c>
      <c r="H24" s="40">
        <f>$B$17*$B$3*B20*1E-24/$F$21</f>
        <v>4.2324966675679684E-2</v>
      </c>
      <c r="J24" s="2" t="s">
        <v>54</v>
      </c>
      <c r="K24" s="2" t="s">
        <v>109</v>
      </c>
      <c r="L24" s="37">
        <f>$B$17*$B$3*B20*1E-24/$F$21</f>
        <v>4.2324966675679684E-2</v>
      </c>
    </row>
    <row r="25" spans="1:15" x14ac:dyDescent="0.25">
      <c r="D25">
        <f>SUM(D20:D24)</f>
        <v>91.524026957999979</v>
      </c>
      <c r="F25" s="2" t="s">
        <v>55</v>
      </c>
      <c r="G25" s="2" t="s">
        <v>110</v>
      </c>
      <c r="H25" s="37">
        <f>$B$17*$B$3*B21*1E-24/$F$21</f>
        <v>6.4655779957348823E-4</v>
      </c>
      <c r="J25" s="2" t="s">
        <v>55</v>
      </c>
      <c r="K25" s="2" t="s">
        <v>110</v>
      </c>
      <c r="L25" s="37">
        <f>$B$17*$B$3*B21*1E-24/$F$21</f>
        <v>6.4655779957348823E-4</v>
      </c>
    </row>
    <row r="26" spans="1:15" x14ac:dyDescent="0.25">
      <c r="F26" s="2" t="s">
        <v>32</v>
      </c>
      <c r="G26" s="2" t="s">
        <v>111</v>
      </c>
      <c r="H26" s="37">
        <f>$B$17*$B$3*B22*1E-24/$F$21</f>
        <v>8.6207706609798434E-5</v>
      </c>
      <c r="J26" s="2" t="s">
        <v>32</v>
      </c>
      <c r="K26" s="2" t="s">
        <v>111</v>
      </c>
      <c r="L26" s="37">
        <f>$B$17*$B$3*B22*1E-24/$F$21</f>
        <v>8.6207706609798434E-5</v>
      </c>
    </row>
    <row r="27" spans="1:15" x14ac:dyDescent="0.25">
      <c r="A27" s="135" t="s">
        <v>89</v>
      </c>
      <c r="B27" s="135"/>
      <c r="C27" s="135"/>
      <c r="F27" s="2" t="s">
        <v>31</v>
      </c>
      <c r="G27" s="2" t="s">
        <v>112</v>
      </c>
      <c r="H27" s="37">
        <f>$B$17*$B$3*B23*1E-24/$F$21</f>
        <v>4.3103853304899217E-5</v>
      </c>
      <c r="J27" s="2" t="s">
        <v>31</v>
      </c>
      <c r="K27" s="2" t="s">
        <v>112</v>
      </c>
      <c r="L27" s="37">
        <f>$B$17*$B$3*B23*1E-24/$F$21</f>
        <v>4.3103853304899217E-5</v>
      </c>
    </row>
    <row r="28" spans="1:15" x14ac:dyDescent="0.25">
      <c r="A28" s="16" t="s">
        <v>39</v>
      </c>
      <c r="B28" s="135" t="s">
        <v>90</v>
      </c>
      <c r="C28" s="135"/>
      <c r="F28" s="2" t="s">
        <v>33</v>
      </c>
      <c r="G28" s="2" t="s">
        <v>113</v>
      </c>
      <c r="H28" s="37">
        <f>$B$17*$B$3*B24*1E-24/$F$21</f>
        <v>3.0172697313429449E-6</v>
      </c>
      <c r="J28" s="2" t="s">
        <v>33</v>
      </c>
      <c r="K28" s="2" t="s">
        <v>113</v>
      </c>
      <c r="L28" s="37">
        <f>$B$17*$B$3*B24*1E-24/$F$21</f>
        <v>3.0172697313429449E-6</v>
      </c>
    </row>
    <row r="29" spans="1:15" x14ac:dyDescent="0.25">
      <c r="A29" s="2" t="s">
        <v>52</v>
      </c>
      <c r="B29" s="2">
        <v>8</v>
      </c>
      <c r="C29" s="2" t="s">
        <v>92</v>
      </c>
    </row>
    <row r="30" spans="1:15" x14ac:dyDescent="0.25">
      <c r="A30" s="6"/>
      <c r="B30" s="7"/>
      <c r="C30" s="9"/>
      <c r="F30" s="162" t="s">
        <v>23</v>
      </c>
      <c r="G30" s="170"/>
      <c r="H30" s="45" t="s">
        <v>103</v>
      </c>
    </row>
    <row r="31" spans="1:15" x14ac:dyDescent="0.25">
      <c r="A31" s="33" t="s">
        <v>91</v>
      </c>
      <c r="B31" s="33" t="s">
        <v>49</v>
      </c>
      <c r="C31" s="33" t="s">
        <v>30</v>
      </c>
      <c r="F31" s="33" t="s">
        <v>26</v>
      </c>
      <c r="G31" s="20"/>
      <c r="H31" s="38"/>
    </row>
    <row r="32" spans="1:15" x14ac:dyDescent="0.25">
      <c r="A32" s="2" t="s">
        <v>32</v>
      </c>
      <c r="B32" s="2">
        <f>1-(SUM(B33:B39))</f>
        <v>0.66894999999999993</v>
      </c>
      <c r="C32" s="2">
        <v>55.845150199999999</v>
      </c>
      <c r="D32">
        <f>C32*B32</f>
        <v>37.357613226289999</v>
      </c>
      <c r="F32" s="2">
        <f>(2*1.00790548)+15.99940493</f>
        <v>18.01521589</v>
      </c>
      <c r="G32" s="7"/>
      <c r="H32" s="9"/>
    </row>
    <row r="33" spans="1:8" x14ac:dyDescent="0.25">
      <c r="A33" s="2" t="s">
        <v>93</v>
      </c>
      <c r="B33" s="2">
        <f>0.03/100</f>
        <v>2.9999999999999997E-4</v>
      </c>
      <c r="C33" s="2">
        <v>12.0107359</v>
      </c>
      <c r="D33">
        <f t="shared" ref="D33:D37" si="1">C33*B33</f>
        <v>3.6032207699999998E-3</v>
      </c>
      <c r="F33" s="167"/>
      <c r="G33" s="168"/>
      <c r="H33" s="169"/>
    </row>
    <row r="34" spans="1:8" x14ac:dyDescent="0.25">
      <c r="A34" s="2" t="s">
        <v>31</v>
      </c>
      <c r="B34" s="2">
        <f>20/100</f>
        <v>0.2</v>
      </c>
      <c r="C34" s="2">
        <v>51.996137500000003</v>
      </c>
      <c r="D34">
        <f t="shared" si="1"/>
        <v>10.399227500000002</v>
      </c>
      <c r="F34" s="33" t="s">
        <v>80</v>
      </c>
      <c r="G34" s="33" t="s">
        <v>82</v>
      </c>
      <c r="H34" s="33" t="s">
        <v>81</v>
      </c>
    </row>
    <row r="35" spans="1:8" x14ac:dyDescent="0.25">
      <c r="A35" s="2" t="s">
        <v>94</v>
      </c>
      <c r="B35" s="2">
        <f>2/100</f>
        <v>0.02</v>
      </c>
      <c r="C35" s="42">
        <v>54.938049599999999</v>
      </c>
      <c r="D35">
        <f t="shared" si="1"/>
        <v>1.0987609920000001</v>
      </c>
      <c r="F35" s="2" t="s">
        <v>87</v>
      </c>
      <c r="G35" s="2" t="s">
        <v>114</v>
      </c>
      <c r="H35" s="37">
        <f>2*$B$3/$F$32*$B$7*1E-24</f>
        <v>5.0356327781491024E-2</v>
      </c>
    </row>
    <row r="36" spans="1:8" x14ac:dyDescent="0.25">
      <c r="A36" s="2" t="s">
        <v>33</v>
      </c>
      <c r="B36" s="2">
        <f>10/100</f>
        <v>0.1</v>
      </c>
      <c r="C36" s="2">
        <v>58.693356299999998</v>
      </c>
      <c r="D36">
        <f t="shared" si="1"/>
        <v>5.8693356300000001</v>
      </c>
      <c r="F36" s="2" t="s">
        <v>85</v>
      </c>
      <c r="G36" s="2" t="s">
        <v>107</v>
      </c>
      <c r="H36" s="37">
        <f>1*$B$3/$F$32*$B$7*1E-24</f>
        <v>2.5178163890745512E-2</v>
      </c>
    </row>
    <row r="37" spans="1:8" x14ac:dyDescent="0.25">
      <c r="A37" s="2" t="s">
        <v>95</v>
      </c>
      <c r="B37" s="2">
        <f>0.045/100</f>
        <v>4.4999999999999999E-4</v>
      </c>
      <c r="C37" s="42">
        <v>30.973761509999999</v>
      </c>
      <c r="D37">
        <f t="shared" si="1"/>
        <v>1.39381926795E-2</v>
      </c>
    </row>
    <row r="38" spans="1:8" x14ac:dyDescent="0.25">
      <c r="A38" s="2" t="s">
        <v>96</v>
      </c>
      <c r="B38" s="2">
        <f>0.03/100</f>
        <v>2.9999999999999997E-4</v>
      </c>
      <c r="C38" s="2">
        <v>32.066084699999998</v>
      </c>
      <c r="D38">
        <f>C38*B38</f>
        <v>9.6198254099999977E-3</v>
      </c>
      <c r="F38" s="162" t="s">
        <v>89</v>
      </c>
      <c r="G38" s="163"/>
      <c r="H38" s="43" t="s">
        <v>104</v>
      </c>
    </row>
    <row r="39" spans="1:8" x14ac:dyDescent="0.25">
      <c r="A39" s="2" t="s">
        <v>97</v>
      </c>
      <c r="B39" s="2">
        <f>1/100</f>
        <v>0.01</v>
      </c>
      <c r="C39" s="2">
        <v>28.0854128</v>
      </c>
      <c r="D39">
        <f>C39*B39</f>
        <v>0.28085412800000004</v>
      </c>
      <c r="F39" s="33" t="s">
        <v>98</v>
      </c>
      <c r="G39" s="7"/>
      <c r="H39" s="9"/>
    </row>
    <row r="40" spans="1:8" x14ac:dyDescent="0.25">
      <c r="D40">
        <f>SUM(D32:D39)</f>
        <v>55.032952715149506</v>
      </c>
      <c r="F40" s="2">
        <f>D40</f>
        <v>55.032952715149506</v>
      </c>
      <c r="G40" s="7"/>
      <c r="H40" s="9"/>
    </row>
    <row r="41" spans="1:8" x14ac:dyDescent="0.25">
      <c r="F41" s="6"/>
      <c r="G41" s="7"/>
      <c r="H41" s="9"/>
    </row>
    <row r="42" spans="1:8" x14ac:dyDescent="0.25">
      <c r="F42" s="33" t="s">
        <v>80</v>
      </c>
      <c r="G42" s="33" t="s">
        <v>82</v>
      </c>
      <c r="H42" s="33" t="s">
        <v>81</v>
      </c>
    </row>
    <row r="43" spans="1:8" x14ac:dyDescent="0.25">
      <c r="F43" s="2" t="s">
        <v>32</v>
      </c>
      <c r="G43" s="2" t="s">
        <v>111</v>
      </c>
      <c r="H43" s="39">
        <f>B32*$B$29*$B$3*1E-24/$F$40</f>
        <v>5.8561438956644285E-2</v>
      </c>
    </row>
    <row r="44" spans="1:8" x14ac:dyDescent="0.25">
      <c r="F44" s="2" t="s">
        <v>93</v>
      </c>
      <c r="G44" s="2" t="s">
        <v>117</v>
      </c>
      <c r="H44" s="39">
        <f t="shared" ref="H44:H50" si="2">B33*$B$29*$B$3*1E-24/$F$40</f>
        <v>2.626269779055727E-5</v>
      </c>
    </row>
    <row r="45" spans="1:8" x14ac:dyDescent="0.25">
      <c r="F45" s="2" t="s">
        <v>31</v>
      </c>
      <c r="G45" s="2" t="s">
        <v>112</v>
      </c>
      <c r="H45" s="39">
        <f t="shared" si="2"/>
        <v>1.7508465193704852E-2</v>
      </c>
    </row>
    <row r="46" spans="1:8" x14ac:dyDescent="0.25">
      <c r="F46" s="2" t="s">
        <v>94</v>
      </c>
      <c r="G46" s="2" t="s">
        <v>135</v>
      </c>
      <c r="H46" s="39">
        <f t="shared" si="2"/>
        <v>1.7508465193704851E-3</v>
      </c>
    </row>
    <row r="47" spans="1:8" x14ac:dyDescent="0.25">
      <c r="F47" s="2" t="s">
        <v>33</v>
      </c>
      <c r="G47" s="2" t="s">
        <v>113</v>
      </c>
      <c r="H47" s="39">
        <f t="shared" si="2"/>
        <v>8.7542325968524258E-3</v>
      </c>
    </row>
    <row r="48" spans="1:8" x14ac:dyDescent="0.25">
      <c r="F48" s="2" t="s">
        <v>95</v>
      </c>
      <c r="G48" s="2" t="s">
        <v>118</v>
      </c>
      <c r="H48" s="39">
        <f t="shared" si="2"/>
        <v>3.9394046685835918E-5</v>
      </c>
    </row>
    <row r="49" spans="6:8" x14ac:dyDescent="0.25">
      <c r="F49" s="2" t="s">
        <v>96</v>
      </c>
      <c r="G49" s="2" t="s">
        <v>119</v>
      </c>
      <c r="H49" s="39">
        <f t="shared" si="2"/>
        <v>2.626269779055727E-5</v>
      </c>
    </row>
    <row r="50" spans="6:8" x14ac:dyDescent="0.25">
      <c r="F50" s="2" t="s">
        <v>97</v>
      </c>
      <c r="G50" s="2" t="s">
        <v>116</v>
      </c>
      <c r="H50" s="39">
        <f t="shared" si="2"/>
        <v>8.7542325968524256E-4</v>
      </c>
    </row>
  </sheetData>
  <mergeCells count="16">
    <mergeCell ref="F3:H3"/>
    <mergeCell ref="J22:L22"/>
    <mergeCell ref="J19:K19"/>
    <mergeCell ref="F38:G38"/>
    <mergeCell ref="A1:D1"/>
    <mergeCell ref="A15:C15"/>
    <mergeCell ref="B16:C16"/>
    <mergeCell ref="F6:H6"/>
    <mergeCell ref="F15:H15"/>
    <mergeCell ref="F22:H22"/>
    <mergeCell ref="A27:C27"/>
    <mergeCell ref="B28:C28"/>
    <mergeCell ref="F33:H33"/>
    <mergeCell ref="F12:G12"/>
    <mergeCell ref="F19:G19"/>
    <mergeCell ref="F30:G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zoomScaleNormal="100"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12" bestFit="1" customWidth="1"/>
    <col min="3" max="3" width="12.7109375" bestFit="1" customWidth="1"/>
    <col min="4" max="4" width="20.140625" bestFit="1" customWidth="1"/>
    <col min="6" max="6" width="12.28515625" bestFit="1" customWidth="1"/>
    <col min="7" max="7" width="10.7109375" bestFit="1" customWidth="1"/>
    <col min="8" max="8" width="12.42578125" bestFit="1" customWidth="1"/>
    <col min="9" max="9" width="14.7109375" bestFit="1" customWidth="1"/>
    <col min="10" max="10" width="12.28515625" bestFit="1" customWidth="1"/>
    <col min="11" max="11" width="12.5703125" bestFit="1" customWidth="1"/>
    <col min="12" max="12" width="12.28515625" bestFit="1" customWidth="1"/>
    <col min="13" max="13" width="9.140625" bestFit="1" customWidth="1"/>
  </cols>
  <sheetData>
    <row r="1" spans="1:20" x14ac:dyDescent="0.25">
      <c r="A1" s="126" t="s">
        <v>0</v>
      </c>
      <c r="B1" s="126"/>
      <c r="C1" s="126"/>
      <c r="D1" s="126"/>
      <c r="M1" s="19"/>
    </row>
    <row r="2" spans="1:20" x14ac:dyDescent="0.25">
      <c r="A2" s="1" t="s">
        <v>1</v>
      </c>
      <c r="B2" s="1" t="s">
        <v>2</v>
      </c>
      <c r="C2" s="1" t="s">
        <v>3</v>
      </c>
      <c r="D2" s="1" t="s">
        <v>4</v>
      </c>
      <c r="F2" s="164" t="s">
        <v>21</v>
      </c>
      <c r="G2" s="172"/>
      <c r="H2" s="172"/>
      <c r="I2" s="43" t="s">
        <v>120</v>
      </c>
      <c r="M2" s="135" t="s">
        <v>335</v>
      </c>
      <c r="N2" s="135"/>
      <c r="O2" s="135"/>
      <c r="P2" s="135"/>
      <c r="Q2" s="135"/>
      <c r="R2" s="19"/>
      <c r="S2" s="19"/>
      <c r="T2" s="19"/>
    </row>
    <row r="3" spans="1:20" x14ac:dyDescent="0.25">
      <c r="A3" s="2" t="s">
        <v>5</v>
      </c>
      <c r="B3" s="3">
        <v>6.0221408570000002E+23</v>
      </c>
      <c r="C3" s="2" t="s">
        <v>6</v>
      </c>
      <c r="D3" s="2" t="s">
        <v>7</v>
      </c>
      <c r="F3" s="17" t="s">
        <v>19</v>
      </c>
      <c r="G3" s="18" t="s">
        <v>20</v>
      </c>
      <c r="H3" s="33" t="s">
        <v>24</v>
      </c>
      <c r="I3" s="16" t="s">
        <v>34</v>
      </c>
      <c r="M3" s="2">
        <v>1000</v>
      </c>
      <c r="N3" s="2">
        <v>2000</v>
      </c>
      <c r="O3" s="91">
        <v>3000</v>
      </c>
      <c r="P3" s="91">
        <v>4000</v>
      </c>
      <c r="Q3" s="91">
        <v>5000</v>
      </c>
    </row>
    <row r="4" spans="1:20" x14ac:dyDescent="0.25">
      <c r="A4" s="2" t="s">
        <v>50</v>
      </c>
      <c r="B4">
        <v>10.918675539069744</v>
      </c>
      <c r="C4" s="2" t="s">
        <v>9</v>
      </c>
      <c r="D4" s="2"/>
      <c r="F4" s="2">
        <v>4.5499999999999999E-2</v>
      </c>
      <c r="G4" s="2">
        <f>1-F4</f>
        <v>0.95450000000000002</v>
      </c>
      <c r="H4" s="2">
        <f>(F4*235.0439231)+(G4*238.0507826)+(2*15.9994049283583)</f>
        <v>269.91278034946657</v>
      </c>
      <c r="I4" s="2">
        <f>($B$15*$H$4)+($B$16*(2*$B$17+3*B18))</f>
        <v>270.64423842525321</v>
      </c>
      <c r="M4" s="2">
        <v>6000</v>
      </c>
      <c r="N4" s="2">
        <v>8000</v>
      </c>
      <c r="O4" s="2">
        <v>10000</v>
      </c>
      <c r="P4" s="2">
        <v>12000</v>
      </c>
      <c r="Q4" s="2">
        <v>14000</v>
      </c>
    </row>
    <row r="5" spans="1:20" x14ac:dyDescent="0.25">
      <c r="A5" s="2" t="s">
        <v>51</v>
      </c>
      <c r="B5" s="2">
        <f>0.96*B4</f>
        <v>10.481928517506955</v>
      </c>
      <c r="C5" s="2" t="s">
        <v>9</v>
      </c>
      <c r="D5" s="2"/>
      <c r="F5" s="6"/>
      <c r="G5" s="7"/>
      <c r="H5" s="7"/>
      <c r="I5" s="9"/>
      <c r="M5" s="2">
        <v>16000</v>
      </c>
      <c r="N5" s="2">
        <v>20000</v>
      </c>
      <c r="O5" s="2">
        <v>24000</v>
      </c>
      <c r="P5" s="2">
        <v>28000</v>
      </c>
      <c r="Q5" s="2">
        <v>32000</v>
      </c>
    </row>
    <row r="6" spans="1:20" x14ac:dyDescent="0.25">
      <c r="A6" s="2" t="s">
        <v>11</v>
      </c>
      <c r="B6" s="2">
        <v>772.03899999999999</v>
      </c>
      <c r="C6" s="2" t="s">
        <v>12</v>
      </c>
      <c r="D6" s="2"/>
      <c r="F6" s="33" t="s">
        <v>80</v>
      </c>
      <c r="G6" s="33" t="s">
        <v>82</v>
      </c>
      <c r="H6" s="15" t="s">
        <v>81</v>
      </c>
      <c r="I6" s="101" t="s">
        <v>365</v>
      </c>
      <c r="M6" s="2">
        <v>40000</v>
      </c>
      <c r="N6" s="2">
        <v>48000</v>
      </c>
      <c r="O6" s="2">
        <v>56000</v>
      </c>
      <c r="P6" s="2">
        <v>64000</v>
      </c>
      <c r="Q6" s="2">
        <v>72000</v>
      </c>
    </row>
    <row r="7" spans="1:20" x14ac:dyDescent="0.25">
      <c r="A7" s="4" t="s">
        <v>13</v>
      </c>
      <c r="B7" s="2">
        <v>0.75320399999999998</v>
      </c>
      <c r="C7" s="2" t="s">
        <v>9</v>
      </c>
      <c r="D7" s="2"/>
      <c r="F7" s="2" t="s">
        <v>83</v>
      </c>
      <c r="G7" s="2" t="s">
        <v>105</v>
      </c>
      <c r="H7" s="37">
        <f>F4*$B$15*$B$5*1E-24*$B$3/$I$4</f>
        <v>1.0528346344741623E-3</v>
      </c>
      <c r="I7" s="37">
        <f>H10*'HD FIX'!$B$18</f>
        <v>2.3723890041859562E-6</v>
      </c>
      <c r="K7" s="7"/>
      <c r="L7" s="19"/>
      <c r="M7" s="2">
        <v>80000</v>
      </c>
      <c r="N7" s="2">
        <v>104000</v>
      </c>
      <c r="O7" s="2">
        <v>128000</v>
      </c>
      <c r="P7" s="2">
        <v>152000</v>
      </c>
      <c r="Q7" s="2">
        <v>176000</v>
      </c>
    </row>
    <row r="8" spans="1:20" x14ac:dyDescent="0.25">
      <c r="A8" s="2" t="s">
        <v>14</v>
      </c>
      <c r="B8" s="2">
        <v>557.03899999999999</v>
      </c>
      <c r="C8" s="2" t="s">
        <v>12</v>
      </c>
      <c r="D8" s="2"/>
      <c r="F8" s="4" t="s">
        <v>84</v>
      </c>
      <c r="G8" s="2" t="s">
        <v>106</v>
      </c>
      <c r="H8" s="37">
        <f>G4*$B$15*$B$5*1E-24*$B$3/$I$4</f>
        <v>2.2086388101221717E-2</v>
      </c>
      <c r="I8" s="37">
        <f>H8*'HD FIX'!$B$18</f>
        <v>6.5223440558296961E-3</v>
      </c>
      <c r="K8" s="102"/>
      <c r="M8" s="8"/>
      <c r="N8" s="8"/>
    </row>
    <row r="9" spans="1:20" x14ac:dyDescent="0.25">
      <c r="A9" s="4" t="s">
        <v>15</v>
      </c>
      <c r="B9" s="2">
        <v>9.0273999999999997E-3</v>
      </c>
      <c r="C9" s="2" t="s">
        <v>9</v>
      </c>
      <c r="D9" s="2" t="s">
        <v>7</v>
      </c>
      <c r="F9" s="4" t="s">
        <v>41</v>
      </c>
      <c r="G9" s="46" t="s">
        <v>121</v>
      </c>
      <c r="H9" s="37">
        <f>2*B21*$B$16*$B$5*1E-24*$B$3/$I$4</f>
        <v>7.3702191154922872E-7</v>
      </c>
      <c r="I9" s="37">
        <f>H9*'HD FIX'!$B$18</f>
        <v>2.1765036735650971E-7</v>
      </c>
      <c r="K9" s="102"/>
      <c r="M9" s="19"/>
      <c r="N9" s="19"/>
    </row>
    <row r="10" spans="1:20" x14ac:dyDescent="0.25">
      <c r="A10" s="4" t="s">
        <v>16</v>
      </c>
      <c r="B10" s="70">
        <v>734.67266278448471</v>
      </c>
      <c r="C10" s="4" t="s">
        <v>12</v>
      </c>
      <c r="D10" s="4"/>
      <c r="F10" s="4" t="s">
        <v>42</v>
      </c>
      <c r="G10" s="2" t="s">
        <v>122</v>
      </c>
      <c r="H10" s="37">
        <f t="shared" ref="H10:H15" si="0">2*B22*$B$16*$B$5*1E-24*$B$3/$I$4</f>
        <v>8.0335388358865942E-6</v>
      </c>
      <c r="I10" s="37">
        <f>H10*'HD FIX'!$B$18</f>
        <v>2.3723890041859562E-6</v>
      </c>
      <c r="M10" s="20"/>
      <c r="N10" s="20"/>
    </row>
    <row r="11" spans="1:20" x14ac:dyDescent="0.25">
      <c r="A11" s="2" t="s">
        <v>17</v>
      </c>
      <c r="B11" s="2">
        <v>1850</v>
      </c>
      <c r="C11" s="2" t="s">
        <v>18</v>
      </c>
      <c r="D11" s="2"/>
      <c r="F11" s="4" t="s">
        <v>43</v>
      </c>
      <c r="G11" s="2" t="s">
        <v>123</v>
      </c>
      <c r="H11" s="37">
        <f t="shared" si="0"/>
        <v>5.4539621454642935E-5</v>
      </c>
      <c r="I11" s="37">
        <f>H11*'HD FIX'!$B$18</f>
        <v>1.6106127184381721E-5</v>
      </c>
      <c r="M11" s="23"/>
      <c r="N11" s="23"/>
    </row>
    <row r="12" spans="1:20" x14ac:dyDescent="0.25">
      <c r="A12" s="4" t="s">
        <v>133</v>
      </c>
      <c r="B12" s="70">
        <v>641.03547877703488</v>
      </c>
      <c r="C12" s="4" t="s">
        <v>12</v>
      </c>
      <c r="D12" s="4"/>
      <c r="F12" s="4" t="s">
        <v>44</v>
      </c>
      <c r="G12" s="2" t="s">
        <v>124</v>
      </c>
      <c r="H12" s="37">
        <f t="shared" si="0"/>
        <v>7.5434192647063554E-5</v>
      </c>
      <c r="I12" s="37">
        <f>H12*'HD FIX'!$B$18</f>
        <v>2.2276515098938768E-5</v>
      </c>
      <c r="M12" s="7"/>
      <c r="N12" s="7"/>
    </row>
    <row r="13" spans="1:20" x14ac:dyDescent="0.25">
      <c r="F13" s="4" t="s">
        <v>45</v>
      </c>
      <c r="G13" s="2" t="s">
        <v>125</v>
      </c>
      <c r="H13" s="37">
        <f t="shared" si="0"/>
        <v>5.7671964578727158E-5</v>
      </c>
      <c r="I13" s="37">
        <f>H13*'HD FIX'!$B$18</f>
        <v>1.7031141245646889E-5</v>
      </c>
    </row>
    <row r="14" spans="1:20" x14ac:dyDescent="0.25">
      <c r="A14" s="164" t="s">
        <v>146</v>
      </c>
      <c r="B14" s="165"/>
      <c r="F14" s="4" t="s">
        <v>46</v>
      </c>
      <c r="G14" s="2" t="s">
        <v>126</v>
      </c>
      <c r="H14" s="37">
        <f t="shared" si="0"/>
        <v>9.1538121414414211E-5</v>
      </c>
      <c r="I14" s="37">
        <f>H14*'HD FIX'!$B$18</f>
        <v>2.7032175625678508E-5</v>
      </c>
      <c r="L14" s="8"/>
      <c r="O14" s="8"/>
      <c r="P14" s="8"/>
      <c r="Q14" s="7"/>
    </row>
    <row r="15" spans="1:20" x14ac:dyDescent="0.25">
      <c r="A15" s="2" t="s">
        <v>35</v>
      </c>
      <c r="B15" s="25">
        <v>0.99209999999999998</v>
      </c>
      <c r="F15" s="4" t="s">
        <v>47</v>
      </c>
      <c r="G15" s="2" t="s">
        <v>127</v>
      </c>
      <c r="H15" s="37">
        <f t="shared" si="0"/>
        <v>8.0556494932330707E-5</v>
      </c>
      <c r="I15" s="37">
        <f>H15*'HD FIX'!$B$18</f>
        <v>2.3789185152066515E-5</v>
      </c>
      <c r="L15" s="19"/>
      <c r="O15" s="19"/>
      <c r="P15" s="19"/>
      <c r="Q15" s="19"/>
    </row>
    <row r="16" spans="1:20" x14ac:dyDescent="0.25">
      <c r="A16" s="2" t="s">
        <v>36</v>
      </c>
      <c r="B16" s="2">
        <v>7.9000000000000008E-3</v>
      </c>
      <c r="D16">
        <v>10.918675539069744</v>
      </c>
      <c r="F16" s="4" t="s">
        <v>85</v>
      </c>
      <c r="G16" s="2" t="s">
        <v>107</v>
      </c>
      <c r="H16" s="37">
        <f>5*((2*B15)+(3*B16))*B5*B3*1E-24/I4</f>
        <v>0.23415605952526836</v>
      </c>
      <c r="I16" s="37">
        <f>H16*'HD FIX'!$B$18</f>
        <v>6.9148761489736671E-2</v>
      </c>
      <c r="L16" s="21"/>
      <c r="O16" s="20"/>
    </row>
    <row r="17" spans="1:23" x14ac:dyDescent="0.25">
      <c r="A17" s="2" t="s">
        <v>29</v>
      </c>
      <c r="B17" s="2">
        <v>157.25209770539999</v>
      </c>
      <c r="L17" s="7"/>
      <c r="O17" s="23"/>
    </row>
    <row r="18" spans="1:23" x14ac:dyDescent="0.25">
      <c r="A18" s="2" t="s">
        <v>40</v>
      </c>
      <c r="B18" s="10">
        <v>15.999404928358299</v>
      </c>
      <c r="F18" s="162" t="s">
        <v>22</v>
      </c>
      <c r="G18" s="163"/>
      <c r="H18" s="45" t="s">
        <v>128</v>
      </c>
      <c r="K18" s="8"/>
      <c r="L18" s="7"/>
      <c r="O18" s="7"/>
    </row>
    <row r="19" spans="1:23" x14ac:dyDescent="0.25">
      <c r="B19" s="7"/>
      <c r="F19" s="33" t="s">
        <v>25</v>
      </c>
      <c r="G19" s="20"/>
      <c r="H19" s="9"/>
    </row>
    <row r="20" spans="1:23" x14ac:dyDescent="0.25">
      <c r="A20" s="5" t="s">
        <v>48</v>
      </c>
      <c r="B20" s="26" t="s">
        <v>49</v>
      </c>
      <c r="F20" s="2">
        <v>4.0026018980937002</v>
      </c>
      <c r="G20" s="7"/>
      <c r="H20" s="9"/>
    </row>
    <row r="21" spans="1:23" x14ac:dyDescent="0.25">
      <c r="A21" s="11" t="s">
        <v>41</v>
      </c>
      <c r="B21" s="12">
        <v>2E-3</v>
      </c>
      <c r="F21" s="167"/>
      <c r="G21" s="168"/>
      <c r="H21" s="169"/>
    </row>
    <row r="22" spans="1:23" x14ac:dyDescent="0.25">
      <c r="A22" s="11" t="s">
        <v>42</v>
      </c>
      <c r="B22" s="12">
        <v>2.18E-2</v>
      </c>
      <c r="F22" s="33" t="s">
        <v>80</v>
      </c>
      <c r="G22" s="33" t="s">
        <v>82</v>
      </c>
      <c r="H22" s="33" t="s">
        <v>81</v>
      </c>
      <c r="V22" s="22"/>
      <c r="W22" s="22"/>
    </row>
    <row r="23" spans="1:23" x14ac:dyDescent="0.25">
      <c r="A23" s="11" t="s">
        <v>43</v>
      </c>
      <c r="B23" s="12">
        <v>0.14800000000000002</v>
      </c>
      <c r="F23" s="2" t="s">
        <v>86</v>
      </c>
      <c r="G23" s="2" t="s">
        <v>108</v>
      </c>
      <c r="H23" s="37">
        <f>$B9*$B$3/$F$20*1E-24</f>
        <v>1.3582233696129912E-3</v>
      </c>
      <c r="V23" s="7"/>
      <c r="W23" s="7"/>
    </row>
    <row r="24" spans="1:23" x14ac:dyDescent="0.25">
      <c r="A24" s="11" t="s">
        <v>44</v>
      </c>
      <c r="B24" s="12">
        <v>0.20469999999999999</v>
      </c>
      <c r="V24" s="9"/>
    </row>
    <row r="25" spans="1:23" x14ac:dyDescent="0.25">
      <c r="A25" s="11" t="s">
        <v>45</v>
      </c>
      <c r="B25" s="12">
        <v>0.1565</v>
      </c>
      <c r="F25" s="162" t="s">
        <v>27</v>
      </c>
      <c r="G25" s="163"/>
      <c r="H25" s="45" t="s">
        <v>129</v>
      </c>
      <c r="I25" s="19"/>
      <c r="J25" s="162" t="s">
        <v>88</v>
      </c>
      <c r="K25" s="163"/>
      <c r="L25" s="45" t="s">
        <v>132</v>
      </c>
    </row>
    <row r="26" spans="1:23" x14ac:dyDescent="0.25">
      <c r="A26" s="11" t="s">
        <v>46</v>
      </c>
      <c r="B26" s="12">
        <v>0.24840000000000001</v>
      </c>
      <c r="F26" s="33" t="s">
        <v>28</v>
      </c>
      <c r="G26" s="20"/>
      <c r="H26" s="38"/>
      <c r="I26" s="20"/>
      <c r="J26" s="33" t="s">
        <v>28</v>
      </c>
      <c r="K26" s="20"/>
      <c r="L26" s="38"/>
    </row>
    <row r="27" spans="1:23" x14ac:dyDescent="0.25">
      <c r="A27" s="11" t="s">
        <v>47</v>
      </c>
      <c r="B27" s="12">
        <v>0.21859999999999999</v>
      </c>
      <c r="F27" s="2">
        <f>D39</f>
        <v>91.524026957999979</v>
      </c>
      <c r="G27" s="7"/>
      <c r="H27" s="9"/>
      <c r="J27" s="2">
        <f>D39</f>
        <v>91.524026957999979</v>
      </c>
      <c r="K27" s="7"/>
      <c r="L27" s="9"/>
    </row>
    <row r="28" spans="1:23" x14ac:dyDescent="0.25">
      <c r="F28" s="167"/>
      <c r="G28" s="168"/>
      <c r="H28" s="169"/>
      <c r="J28" s="126"/>
      <c r="K28" s="161"/>
      <c r="L28" s="161"/>
    </row>
    <row r="29" spans="1:23" x14ac:dyDescent="0.25">
      <c r="A29" s="159" t="s">
        <v>38</v>
      </c>
      <c r="B29" s="171"/>
      <c r="C29" s="160"/>
      <c r="F29" s="33" t="s">
        <v>80</v>
      </c>
      <c r="G29" s="33" t="s">
        <v>82</v>
      </c>
      <c r="H29" s="33" t="s">
        <v>81</v>
      </c>
      <c r="J29" s="33" t="s">
        <v>80</v>
      </c>
      <c r="K29" s="33" t="s">
        <v>82</v>
      </c>
      <c r="L29" s="33" t="s">
        <v>81</v>
      </c>
    </row>
    <row r="30" spans="1:23" x14ac:dyDescent="0.25">
      <c r="A30" s="4" t="s">
        <v>39</v>
      </c>
      <c r="B30" s="164" t="s">
        <v>37</v>
      </c>
      <c r="C30" s="165"/>
      <c r="F30" s="2" t="s">
        <v>54</v>
      </c>
      <c r="G30" s="2" t="s">
        <v>109</v>
      </c>
      <c r="H30" s="37">
        <f>B34*$B$3*$B$31*1E-24/$F$27</f>
        <v>4.2324966675679691E-2</v>
      </c>
      <c r="J30" s="2" t="s">
        <v>54</v>
      </c>
      <c r="K30" s="2" t="s">
        <v>109</v>
      </c>
      <c r="L30" s="37">
        <f>B34*$B$3*$B$31*1E-24/$F$27</f>
        <v>4.2324966675679691E-2</v>
      </c>
    </row>
    <row r="31" spans="1:23" x14ac:dyDescent="0.25">
      <c r="A31" s="2" t="s">
        <v>52</v>
      </c>
      <c r="B31" s="2">
        <v>6.5508899999999999</v>
      </c>
      <c r="C31" s="2" t="s">
        <v>9</v>
      </c>
      <c r="F31" s="2" t="s">
        <v>55</v>
      </c>
      <c r="G31" s="2" t="s">
        <v>110</v>
      </c>
      <c r="H31" s="37">
        <f>B35*$B$3*$B$31*1E-24/$F$27</f>
        <v>6.4655779957348823E-4</v>
      </c>
      <c r="J31" s="2" t="s">
        <v>55</v>
      </c>
      <c r="K31" s="2" t="s">
        <v>110</v>
      </c>
      <c r="L31" s="37">
        <f>B35*$B$3*$B$31*1E-24/$F$27</f>
        <v>6.4655779957348823E-4</v>
      </c>
    </row>
    <row r="32" spans="1:23" x14ac:dyDescent="0.25">
      <c r="A32" s="6"/>
      <c r="B32" s="7"/>
      <c r="C32" s="9"/>
      <c r="F32" s="2" t="s">
        <v>32</v>
      </c>
      <c r="G32" s="2" t="s">
        <v>111</v>
      </c>
      <c r="H32" s="37">
        <f>B36*$B$3*$B$31*1E-24/$F$27</f>
        <v>8.6207706609798434E-5</v>
      </c>
      <c r="J32" s="2" t="s">
        <v>32</v>
      </c>
      <c r="K32" s="2" t="s">
        <v>111</v>
      </c>
      <c r="L32" s="37">
        <f>B36*$B$3*$B$31*1E-24/$F$27</f>
        <v>8.6207706609798434E-5</v>
      </c>
    </row>
    <row r="33" spans="1:12" x14ac:dyDescent="0.25">
      <c r="A33" s="1" t="s">
        <v>53</v>
      </c>
      <c r="B33" s="5" t="s">
        <v>49</v>
      </c>
      <c r="C33" s="5" t="s">
        <v>30</v>
      </c>
      <c r="F33" s="2" t="s">
        <v>31</v>
      </c>
      <c r="G33" s="2" t="s">
        <v>112</v>
      </c>
      <c r="H33" s="37">
        <f>B37*$B$3*$B$31*1E-24/$F$27</f>
        <v>4.3103853304899217E-5</v>
      </c>
      <c r="J33" s="2" t="s">
        <v>31</v>
      </c>
      <c r="K33" s="2" t="s">
        <v>112</v>
      </c>
      <c r="L33" s="37">
        <f>B37*$B$3*$B$31*1E-24/$F$27</f>
        <v>4.3103853304899217E-5</v>
      </c>
    </row>
    <row r="34" spans="1:12" x14ac:dyDescent="0.25">
      <c r="A34" s="1" t="s">
        <v>54</v>
      </c>
      <c r="B34" s="13">
        <v>0.98192999999999997</v>
      </c>
      <c r="C34" s="13">
        <v>91.224000000000004</v>
      </c>
      <c r="D34">
        <f>B34*C34</f>
        <v>89.575582319999995</v>
      </c>
      <c r="F34" s="2" t="s">
        <v>33</v>
      </c>
      <c r="G34" s="2" t="s">
        <v>113</v>
      </c>
      <c r="H34" s="37">
        <f>B38*$B$3*$B$31*1E-24/$F$27</f>
        <v>3.0172697313429445E-6</v>
      </c>
      <c r="J34" s="2" t="s">
        <v>33</v>
      </c>
      <c r="K34" s="2" t="s">
        <v>113</v>
      </c>
      <c r="L34" s="37">
        <f>B38*$B$3*$B$31*1E-24/$F$27</f>
        <v>3.0172697313429445E-6</v>
      </c>
    </row>
    <row r="35" spans="1:12" x14ac:dyDescent="0.25">
      <c r="A35" s="24" t="s">
        <v>55</v>
      </c>
      <c r="B35" s="13">
        <v>1.4999999999999999E-2</v>
      </c>
      <c r="C35" s="13">
        <v>118.71</v>
      </c>
      <c r="D35">
        <f t="shared" ref="D35:D38" si="1">B35*C35</f>
        <v>1.7806499999999998</v>
      </c>
      <c r="G35" s="23"/>
    </row>
    <row r="36" spans="1:12" x14ac:dyDescent="0.25">
      <c r="A36" s="24" t="s">
        <v>32</v>
      </c>
      <c r="B36" s="13">
        <v>2E-3</v>
      </c>
      <c r="C36" s="13">
        <v>55.844999999999999</v>
      </c>
      <c r="D36">
        <f t="shared" si="1"/>
        <v>0.11169</v>
      </c>
      <c r="F36" s="162" t="s">
        <v>23</v>
      </c>
      <c r="G36" s="170"/>
      <c r="H36" s="45" t="s">
        <v>130</v>
      </c>
    </row>
    <row r="37" spans="1:12" x14ac:dyDescent="0.25">
      <c r="A37" s="24" t="s">
        <v>31</v>
      </c>
      <c r="B37" s="13">
        <v>1E-3</v>
      </c>
      <c r="C37" s="13">
        <v>51.996099999999998</v>
      </c>
      <c r="D37">
        <f t="shared" si="1"/>
        <v>5.1996099999999996E-2</v>
      </c>
      <c r="F37" s="33" t="s">
        <v>26</v>
      </c>
      <c r="G37" s="20"/>
      <c r="H37" s="38"/>
    </row>
    <row r="38" spans="1:12" x14ac:dyDescent="0.25">
      <c r="A38" s="24" t="s">
        <v>33</v>
      </c>
      <c r="B38" s="13">
        <v>6.9999999999999994E-5</v>
      </c>
      <c r="C38" s="13">
        <v>58.693399999999997</v>
      </c>
      <c r="D38">
        <f t="shared" si="1"/>
        <v>4.1085379999999993E-3</v>
      </c>
      <c r="F38" s="2">
        <f>(2*1.00790548)+15.99940493</f>
        <v>18.01521589</v>
      </c>
      <c r="G38" s="7"/>
      <c r="H38" s="9"/>
    </row>
    <row r="39" spans="1:12" x14ac:dyDescent="0.25">
      <c r="D39">
        <f>SUM(D34:D38)</f>
        <v>91.524026957999979</v>
      </c>
      <c r="F39" s="167"/>
      <c r="G39" s="168"/>
      <c r="H39" s="169"/>
    </row>
    <row r="40" spans="1:12" x14ac:dyDescent="0.25">
      <c r="F40" s="33" t="s">
        <v>80</v>
      </c>
      <c r="G40" s="33" t="s">
        <v>82</v>
      </c>
      <c r="H40" s="33" t="s">
        <v>81</v>
      </c>
    </row>
    <row r="41" spans="1:12" x14ac:dyDescent="0.25">
      <c r="A41" s="135" t="s">
        <v>89</v>
      </c>
      <c r="B41" s="135"/>
      <c r="C41" s="135"/>
      <c r="F41" s="2" t="s">
        <v>87</v>
      </c>
      <c r="G41" s="2" t="s">
        <v>114</v>
      </c>
      <c r="H41" s="37">
        <f>2*$B$3/$F$38*$B$7*1E-24</f>
        <v>5.0356327781491024E-2</v>
      </c>
    </row>
    <row r="42" spans="1:12" x14ac:dyDescent="0.25">
      <c r="A42" s="16" t="s">
        <v>39</v>
      </c>
      <c r="B42" s="135" t="s">
        <v>90</v>
      </c>
      <c r="C42" s="135"/>
      <c r="F42" s="2" t="s">
        <v>85</v>
      </c>
      <c r="G42" s="2" t="s">
        <v>107</v>
      </c>
      <c r="H42" s="37">
        <f>1*$B$3/$F$38*$B$7*1E-24</f>
        <v>2.5178163890745512E-2</v>
      </c>
    </row>
    <row r="43" spans="1:12" x14ac:dyDescent="0.25">
      <c r="A43" s="2" t="s">
        <v>52</v>
      </c>
      <c r="B43" s="2">
        <v>8</v>
      </c>
      <c r="C43" s="2" t="s">
        <v>92</v>
      </c>
    </row>
    <row r="44" spans="1:12" x14ac:dyDescent="0.25">
      <c r="A44" s="6"/>
      <c r="B44" s="7"/>
      <c r="C44" s="9"/>
      <c r="F44" s="162" t="s">
        <v>89</v>
      </c>
      <c r="G44" s="163"/>
      <c r="H44" s="43" t="s">
        <v>131</v>
      </c>
    </row>
    <row r="45" spans="1:12" x14ac:dyDescent="0.25">
      <c r="A45" s="33" t="s">
        <v>91</v>
      </c>
      <c r="B45" s="33" t="s">
        <v>49</v>
      </c>
      <c r="C45" s="33" t="s">
        <v>30</v>
      </c>
      <c r="F45" s="33" t="s">
        <v>98</v>
      </c>
      <c r="G45" s="7"/>
      <c r="H45" s="9"/>
    </row>
    <row r="46" spans="1:12" x14ac:dyDescent="0.25">
      <c r="A46" s="2" t="s">
        <v>32</v>
      </c>
      <c r="B46" s="2">
        <f>1-(SUM(B47:B53))</f>
        <v>0.66894999999999993</v>
      </c>
      <c r="C46" s="2">
        <v>55.845150199999999</v>
      </c>
      <c r="D46">
        <f>C46*B46</f>
        <v>37.357613226289999</v>
      </c>
      <c r="F46" s="2">
        <f>D54</f>
        <v>55.032952715149506</v>
      </c>
      <c r="G46" s="7"/>
      <c r="H46" s="9"/>
    </row>
    <row r="47" spans="1:12" x14ac:dyDescent="0.25">
      <c r="A47" s="2" t="s">
        <v>93</v>
      </c>
      <c r="B47" s="2">
        <f>0.03/100</f>
        <v>2.9999999999999997E-4</v>
      </c>
      <c r="C47" s="2">
        <v>12.0107359</v>
      </c>
      <c r="D47">
        <f t="shared" ref="D47:D51" si="2">C47*B47</f>
        <v>3.6032207699999998E-3</v>
      </c>
      <c r="F47" s="6"/>
      <c r="G47" s="7"/>
      <c r="H47" s="9"/>
    </row>
    <row r="48" spans="1:12" x14ac:dyDescent="0.25">
      <c r="A48" s="2" t="s">
        <v>31</v>
      </c>
      <c r="B48" s="2">
        <f>20/100</f>
        <v>0.2</v>
      </c>
      <c r="C48" s="2">
        <v>51.996137500000003</v>
      </c>
      <c r="D48">
        <f t="shared" si="2"/>
        <v>10.399227500000002</v>
      </c>
      <c r="F48" s="33" t="s">
        <v>80</v>
      </c>
      <c r="G48" s="33" t="s">
        <v>82</v>
      </c>
      <c r="H48" s="33" t="s">
        <v>81</v>
      </c>
    </row>
    <row r="49" spans="1:8" x14ac:dyDescent="0.25">
      <c r="A49" s="2" t="s">
        <v>94</v>
      </c>
      <c r="B49" s="2">
        <f>2/100</f>
        <v>0.02</v>
      </c>
      <c r="C49" s="42">
        <v>54.938049599999999</v>
      </c>
      <c r="D49">
        <f t="shared" si="2"/>
        <v>1.0987609920000001</v>
      </c>
      <c r="F49" s="2" t="s">
        <v>32</v>
      </c>
      <c r="G49" s="2" t="s">
        <v>111</v>
      </c>
      <c r="H49" s="37">
        <f t="shared" ref="H49:H56" si="3">B46*$B$43*$B$3*1E-24/$F$46</f>
        <v>5.8561438956644285E-2</v>
      </c>
    </row>
    <row r="50" spans="1:8" x14ac:dyDescent="0.25">
      <c r="A50" s="2" t="s">
        <v>33</v>
      </c>
      <c r="B50" s="2">
        <f>10/100</f>
        <v>0.1</v>
      </c>
      <c r="C50" s="2">
        <v>58.693356299999998</v>
      </c>
      <c r="D50">
        <f t="shared" si="2"/>
        <v>5.8693356300000001</v>
      </c>
      <c r="F50" s="2" t="s">
        <v>93</v>
      </c>
      <c r="G50" s="2" t="s">
        <v>117</v>
      </c>
      <c r="H50" s="37">
        <f t="shared" si="3"/>
        <v>2.626269779055727E-5</v>
      </c>
    </row>
    <row r="51" spans="1:8" x14ac:dyDescent="0.25">
      <c r="A51" s="2" t="s">
        <v>95</v>
      </c>
      <c r="B51" s="2">
        <f>0.045/100</f>
        <v>4.4999999999999999E-4</v>
      </c>
      <c r="C51" s="42">
        <v>30.973761509999999</v>
      </c>
      <c r="D51">
        <f t="shared" si="2"/>
        <v>1.39381926795E-2</v>
      </c>
      <c r="F51" s="2" t="s">
        <v>31</v>
      </c>
      <c r="G51" s="2" t="s">
        <v>112</v>
      </c>
      <c r="H51" s="37">
        <f t="shared" si="3"/>
        <v>1.7508465193704852E-2</v>
      </c>
    </row>
    <row r="52" spans="1:8" x14ac:dyDescent="0.25">
      <c r="A52" s="2" t="s">
        <v>96</v>
      </c>
      <c r="B52" s="2">
        <f>0.03/100</f>
        <v>2.9999999999999997E-4</v>
      </c>
      <c r="C52" s="2">
        <v>32.066084699999998</v>
      </c>
      <c r="D52">
        <f>C52*B52</f>
        <v>9.6198254099999977E-3</v>
      </c>
      <c r="F52" s="2" t="s">
        <v>94</v>
      </c>
      <c r="G52" s="2" t="s">
        <v>115</v>
      </c>
      <c r="H52" s="37">
        <f t="shared" si="3"/>
        <v>1.7508465193704851E-3</v>
      </c>
    </row>
    <row r="53" spans="1:8" x14ac:dyDescent="0.25">
      <c r="A53" s="2" t="s">
        <v>97</v>
      </c>
      <c r="B53" s="2">
        <f>1/100</f>
        <v>0.01</v>
      </c>
      <c r="C53" s="2">
        <v>28.0854128</v>
      </c>
      <c r="D53">
        <f>C53*B53</f>
        <v>0.28085412800000004</v>
      </c>
      <c r="F53" s="2" t="s">
        <v>33</v>
      </c>
      <c r="G53" s="2" t="s">
        <v>113</v>
      </c>
      <c r="H53" s="37">
        <f t="shared" si="3"/>
        <v>8.7542325968524258E-3</v>
      </c>
    </row>
    <row r="54" spans="1:8" x14ac:dyDescent="0.25">
      <c r="D54">
        <f>SUM(D46:D53)</f>
        <v>55.032952715149506</v>
      </c>
      <c r="F54" s="2" t="s">
        <v>95</v>
      </c>
      <c r="G54" s="2" t="s">
        <v>118</v>
      </c>
      <c r="H54" s="37">
        <f t="shared" si="3"/>
        <v>3.9394046685835918E-5</v>
      </c>
    </row>
    <row r="55" spans="1:8" x14ac:dyDescent="0.25">
      <c r="F55" s="2" t="s">
        <v>96</v>
      </c>
      <c r="G55" s="2" t="s">
        <v>119</v>
      </c>
      <c r="H55" s="37">
        <f t="shared" si="3"/>
        <v>2.626269779055727E-5</v>
      </c>
    </row>
    <row r="56" spans="1:8" x14ac:dyDescent="0.25">
      <c r="A56" s="135" t="s">
        <v>136</v>
      </c>
      <c r="B56" s="135"/>
      <c r="C56" s="135"/>
      <c r="F56" s="2" t="s">
        <v>97</v>
      </c>
      <c r="G56" s="2" t="s">
        <v>116</v>
      </c>
      <c r="H56" s="37">
        <f t="shared" si="3"/>
        <v>8.7542325968524256E-4</v>
      </c>
    </row>
    <row r="57" spans="1:8" x14ac:dyDescent="0.25">
      <c r="A57" s="74" t="s">
        <v>325</v>
      </c>
      <c r="B57" s="66">
        <f>200+25+15</f>
        <v>240</v>
      </c>
      <c r="C57" s="66" t="s">
        <v>153</v>
      </c>
    </row>
    <row r="58" spans="1:8" x14ac:dyDescent="0.25">
      <c r="A58" s="74" t="s">
        <v>331</v>
      </c>
      <c r="B58" s="75">
        <v>12.5</v>
      </c>
      <c r="C58" s="75" t="s">
        <v>153</v>
      </c>
    </row>
    <row r="59" spans="1:8" x14ac:dyDescent="0.25">
      <c r="A59" s="74" t="s">
        <v>330</v>
      </c>
      <c r="B59" s="66">
        <v>14</v>
      </c>
      <c r="C59" s="66" t="s">
        <v>153</v>
      </c>
      <c r="F59" s="162" t="s">
        <v>136</v>
      </c>
      <c r="G59" s="163"/>
      <c r="H59" s="44" t="s">
        <v>139</v>
      </c>
    </row>
    <row r="60" spans="1:8" x14ac:dyDescent="0.25">
      <c r="A60" s="16" t="s">
        <v>39</v>
      </c>
      <c r="B60" s="135" t="s">
        <v>326</v>
      </c>
      <c r="C60" s="135"/>
      <c r="F60" s="44" t="s">
        <v>327</v>
      </c>
      <c r="G60" s="7"/>
      <c r="H60" s="9"/>
    </row>
    <row r="61" spans="1:8" x14ac:dyDescent="0.25">
      <c r="A61" s="2" t="s">
        <v>52</v>
      </c>
      <c r="B61" s="2">
        <v>8</v>
      </c>
      <c r="C61" s="2" t="s">
        <v>92</v>
      </c>
      <c r="F61" s="2">
        <f>D72</f>
        <v>55.235364606774297</v>
      </c>
      <c r="G61" s="7"/>
      <c r="H61" s="9"/>
    </row>
    <row r="62" spans="1:8" x14ac:dyDescent="0.25">
      <c r="F62" s="6"/>
      <c r="G62" s="7"/>
      <c r="H62" s="9"/>
    </row>
    <row r="63" spans="1:8" x14ac:dyDescent="0.25">
      <c r="A63" s="44" t="s">
        <v>91</v>
      </c>
      <c r="B63" s="44" t="s">
        <v>49</v>
      </c>
      <c r="C63" s="44" t="s">
        <v>30</v>
      </c>
      <c r="F63" s="44" t="s">
        <v>80</v>
      </c>
      <c r="G63" s="44" t="s">
        <v>82</v>
      </c>
      <c r="H63" s="44" t="s">
        <v>81</v>
      </c>
    </row>
    <row r="64" spans="1:8" x14ac:dyDescent="0.25">
      <c r="A64" s="2" t="s">
        <v>93</v>
      </c>
      <c r="B64" s="2">
        <v>1.3999999999999999E-4</v>
      </c>
      <c r="C64" s="2">
        <v>12.0107359</v>
      </c>
      <c r="D64">
        <f t="shared" ref="D64:D71" si="4">B64*C64</f>
        <v>1.6815030259999999E-3</v>
      </c>
      <c r="F64" s="2" t="s">
        <v>93</v>
      </c>
      <c r="G64" s="2" t="s">
        <v>117</v>
      </c>
      <c r="H64" s="37">
        <f t="shared" ref="H64:H71" si="5">B64*$B$61*$B$3*1E-24/$F$61</f>
        <v>1.2211013374957949E-5</v>
      </c>
    </row>
    <row r="65" spans="1:8" x14ac:dyDescent="0.25">
      <c r="A65" s="4" t="s">
        <v>97</v>
      </c>
      <c r="B65" s="2">
        <v>5.0000000000000001E-3</v>
      </c>
      <c r="C65" s="2">
        <v>28.0854128</v>
      </c>
      <c r="D65">
        <f t="shared" si="4"/>
        <v>0.14042706400000002</v>
      </c>
      <c r="F65" s="4" t="s">
        <v>97</v>
      </c>
      <c r="G65" s="2" t="s">
        <v>116</v>
      </c>
      <c r="H65" s="37">
        <f t="shared" si="5"/>
        <v>4.3610762053421259E-4</v>
      </c>
    </row>
    <row r="66" spans="1:8" x14ac:dyDescent="0.25">
      <c r="A66" s="4" t="s">
        <v>95</v>
      </c>
      <c r="B66" s="2">
        <v>2.3000000000000001E-4</v>
      </c>
      <c r="C66" s="42">
        <v>30.973761509999999</v>
      </c>
      <c r="D66">
        <f t="shared" si="4"/>
        <v>7.1239651472999998E-3</v>
      </c>
      <c r="F66" s="4" t="s">
        <v>95</v>
      </c>
      <c r="G66" s="2" t="s">
        <v>329</v>
      </c>
      <c r="H66" s="37">
        <f t="shared" si="5"/>
        <v>2.0060950544573778E-5</v>
      </c>
    </row>
    <row r="67" spans="1:8" x14ac:dyDescent="0.25">
      <c r="A67" s="4" t="s">
        <v>96</v>
      </c>
      <c r="B67" s="2">
        <v>1.4999999999999999E-4</v>
      </c>
      <c r="C67" s="2">
        <v>32.066084699999998</v>
      </c>
      <c r="D67">
        <f t="shared" si="4"/>
        <v>4.8099127049999989E-3</v>
      </c>
      <c r="F67" s="4" t="s">
        <v>96</v>
      </c>
      <c r="G67" s="2" t="s">
        <v>119</v>
      </c>
      <c r="H67" s="37">
        <f t="shared" si="5"/>
        <v>1.3083228616026373E-5</v>
      </c>
    </row>
    <row r="68" spans="1:8" x14ac:dyDescent="0.25">
      <c r="A68" s="4" t="s">
        <v>31</v>
      </c>
      <c r="B68" s="2">
        <v>0.19</v>
      </c>
      <c r="C68" s="2">
        <v>51.996137500000003</v>
      </c>
      <c r="D68">
        <f t="shared" si="4"/>
        <v>9.8792661250000009</v>
      </c>
      <c r="F68" s="4" t="s">
        <v>31</v>
      </c>
      <c r="G68" s="2" t="s">
        <v>112</v>
      </c>
      <c r="H68" s="37">
        <f t="shared" si="5"/>
        <v>1.6572089580300077E-2</v>
      </c>
    </row>
    <row r="69" spans="1:8" x14ac:dyDescent="0.25">
      <c r="A69" s="4" t="s">
        <v>94</v>
      </c>
      <c r="B69" s="2">
        <v>0.01</v>
      </c>
      <c r="C69" s="42">
        <v>54.938049599999999</v>
      </c>
      <c r="D69">
        <f t="shared" si="4"/>
        <v>0.54938049600000005</v>
      </c>
      <c r="F69" s="4" t="s">
        <v>94</v>
      </c>
      <c r="G69" s="2" t="s">
        <v>135</v>
      </c>
      <c r="H69" s="37">
        <f t="shared" si="5"/>
        <v>8.7221524106842517E-4</v>
      </c>
    </row>
    <row r="70" spans="1:8" x14ac:dyDescent="0.25">
      <c r="A70" s="4" t="s">
        <v>32</v>
      </c>
      <c r="B70" s="2">
        <v>0.69447999999999999</v>
      </c>
      <c r="C70" s="2">
        <v>55.845150199999999</v>
      </c>
      <c r="D70">
        <f t="shared" si="4"/>
        <v>38.783339910895997</v>
      </c>
      <c r="F70" s="4" t="s">
        <v>32</v>
      </c>
      <c r="G70" s="2" t="s">
        <v>111</v>
      </c>
      <c r="H70" s="37">
        <f t="shared" si="5"/>
        <v>6.0573604061719979E-2</v>
      </c>
    </row>
    <row r="71" spans="1:8" x14ac:dyDescent="0.25">
      <c r="A71" s="4" t="s">
        <v>33</v>
      </c>
      <c r="B71" s="2">
        <v>0.1</v>
      </c>
      <c r="C71" s="2">
        <v>58.693356299999998</v>
      </c>
      <c r="D71">
        <f t="shared" si="4"/>
        <v>5.8693356300000001</v>
      </c>
      <c r="F71" s="4" t="s">
        <v>33</v>
      </c>
      <c r="G71" s="2" t="s">
        <v>113</v>
      </c>
      <c r="H71" s="37">
        <f t="shared" si="5"/>
        <v>8.7221524106842509E-3</v>
      </c>
    </row>
    <row r="72" spans="1:8" x14ac:dyDescent="0.25">
      <c r="D72">
        <f>SUM(D64:D71)</f>
        <v>55.235364606774297</v>
      </c>
    </row>
  </sheetData>
  <mergeCells count="20">
    <mergeCell ref="M2:Q2"/>
    <mergeCell ref="J28:L28"/>
    <mergeCell ref="J25:K25"/>
    <mergeCell ref="F2:H2"/>
    <mergeCell ref="F18:G18"/>
    <mergeCell ref="F25:G25"/>
    <mergeCell ref="F21:H21"/>
    <mergeCell ref="F28:H28"/>
    <mergeCell ref="A56:C56"/>
    <mergeCell ref="B60:C60"/>
    <mergeCell ref="F59:G59"/>
    <mergeCell ref="A1:D1"/>
    <mergeCell ref="B30:C30"/>
    <mergeCell ref="A14:B14"/>
    <mergeCell ref="A29:C29"/>
    <mergeCell ref="F36:G36"/>
    <mergeCell ref="F44:G44"/>
    <mergeCell ref="A41:C41"/>
    <mergeCell ref="B42:C42"/>
    <mergeCell ref="F39:H3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93"/>
  <sheetViews>
    <sheetView topLeftCell="AL1" zoomScaleNormal="100" workbookViewId="0">
      <selection activeCell="AO8" sqref="AO8:AU8"/>
    </sheetView>
  </sheetViews>
  <sheetFormatPr defaultRowHeight="15" x14ac:dyDescent="0.25"/>
  <cols>
    <col min="2" max="2" width="6.140625" bestFit="1" customWidth="1"/>
    <col min="3" max="3" width="6.140625" customWidth="1"/>
    <col min="4" max="4" width="5" bestFit="1" customWidth="1"/>
    <col min="5" max="5" width="13.7109375" bestFit="1" customWidth="1"/>
    <col min="6" max="6" width="6.7109375" bestFit="1" customWidth="1"/>
    <col min="7" max="8" width="12" bestFit="1" customWidth="1"/>
    <col min="9" max="9" width="10" bestFit="1" customWidth="1"/>
    <col min="10" max="10" width="9" bestFit="1" customWidth="1"/>
    <col min="11" max="11" width="12.140625" bestFit="1" customWidth="1"/>
    <col min="14" max="14" width="3.28515625" bestFit="1" customWidth="1"/>
    <col min="15" max="15" width="11.140625" bestFit="1" customWidth="1"/>
    <col min="16" max="16" width="13.42578125" bestFit="1" customWidth="1"/>
    <col min="17" max="17" width="3.7109375" customWidth="1"/>
    <col min="18" max="18" width="10.7109375" bestFit="1" customWidth="1"/>
    <col min="19" max="19" width="13.42578125" bestFit="1" customWidth="1"/>
    <col min="20" max="20" width="3.28515625" bestFit="1" customWidth="1"/>
    <col min="21" max="21" width="10.7109375" bestFit="1" customWidth="1"/>
    <col min="22" max="22" width="13.42578125" bestFit="1" customWidth="1"/>
    <col min="23" max="23" width="3" bestFit="1" customWidth="1"/>
    <col min="24" max="24" width="10.85546875" bestFit="1" customWidth="1"/>
    <col min="25" max="25" width="13.42578125" customWidth="1"/>
    <col min="26" max="26" width="3.28515625" bestFit="1" customWidth="1"/>
    <col min="27" max="27" width="10.7109375" bestFit="1" customWidth="1"/>
    <col min="28" max="28" width="13.42578125" bestFit="1" customWidth="1"/>
    <col min="29" max="29" width="4.5703125" customWidth="1"/>
    <col min="30" max="30" width="7.7109375" bestFit="1" customWidth="1"/>
    <col min="31" max="31" width="10.7109375" bestFit="1" customWidth="1"/>
    <col min="32" max="34" width="13.42578125" bestFit="1" customWidth="1"/>
    <col min="35" max="35" width="13.42578125" customWidth="1"/>
    <col min="36" max="36" width="13.42578125" bestFit="1" customWidth="1"/>
    <col min="39" max="39" width="10.85546875" bestFit="1" customWidth="1"/>
    <col min="40" max="40" width="6.42578125" bestFit="1" customWidth="1"/>
    <col min="41" max="41" width="11.7109375" bestFit="1" customWidth="1"/>
    <col min="42" max="42" width="11.5703125" bestFit="1" customWidth="1"/>
    <col min="43" max="43" width="12.7109375" bestFit="1" customWidth="1"/>
    <col min="44" max="47" width="11.5703125" bestFit="1" customWidth="1"/>
  </cols>
  <sheetData>
    <row r="2" spans="2:47" x14ac:dyDescent="0.25">
      <c r="V2" s="57"/>
      <c r="W2" s="57"/>
      <c r="X2" s="57"/>
      <c r="Y2" s="57"/>
    </row>
    <row r="3" spans="2:47" x14ac:dyDescent="0.25">
      <c r="V3" s="57"/>
      <c r="W3" s="57"/>
      <c r="X3" s="57"/>
      <c r="Y3" s="57"/>
    </row>
    <row r="4" spans="2:47" x14ac:dyDescent="0.25">
      <c r="B4" s="1" t="s">
        <v>217</v>
      </c>
      <c r="C4" s="1"/>
      <c r="D4" s="1" t="s">
        <v>218</v>
      </c>
      <c r="E4" s="51" t="s">
        <v>219</v>
      </c>
      <c r="F4" s="1" t="s">
        <v>220</v>
      </c>
      <c r="G4" s="1" t="s">
        <v>221</v>
      </c>
      <c r="H4" s="1" t="s">
        <v>222</v>
      </c>
      <c r="I4" s="52" t="s">
        <v>227</v>
      </c>
      <c r="J4" s="52" t="s">
        <v>228</v>
      </c>
      <c r="K4" s="53" t="s">
        <v>229</v>
      </c>
      <c r="N4" s="173" t="s">
        <v>243</v>
      </c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</row>
    <row r="5" spans="2:47" x14ac:dyDescent="0.25">
      <c r="B5" s="2" t="s">
        <v>223</v>
      </c>
      <c r="C5" s="2">
        <v>1</v>
      </c>
      <c r="D5" s="2">
        <v>1</v>
      </c>
      <c r="E5" s="2">
        <v>0</v>
      </c>
      <c r="F5" s="2">
        <f>E5</f>
        <v>0</v>
      </c>
      <c r="G5" s="2">
        <f>F5</f>
        <v>0</v>
      </c>
      <c r="H5" s="2">
        <f>G5/365.25</f>
        <v>0</v>
      </c>
      <c r="I5" s="2">
        <v>1.1035820999999999</v>
      </c>
      <c r="J5" s="3">
        <v>0.45779999999999998</v>
      </c>
      <c r="K5" t="s">
        <v>230</v>
      </c>
      <c r="N5" s="173" t="s">
        <v>241</v>
      </c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E5" s="154" t="s">
        <v>242</v>
      </c>
      <c r="AF5" s="154"/>
      <c r="AG5" s="154"/>
      <c r="AH5" s="154"/>
      <c r="AI5" s="154"/>
      <c r="AJ5" s="154"/>
      <c r="AM5" s="154" t="s">
        <v>332</v>
      </c>
      <c r="AN5" s="154"/>
      <c r="AO5" s="154"/>
      <c r="AP5" s="154"/>
      <c r="AQ5" s="154"/>
      <c r="AR5" s="154"/>
      <c r="AS5" s="154"/>
      <c r="AT5" s="154"/>
      <c r="AU5" s="154"/>
    </row>
    <row r="6" spans="2:47" x14ac:dyDescent="0.25">
      <c r="B6" s="2"/>
      <c r="C6" s="2">
        <v>2</v>
      </c>
      <c r="D6" s="2">
        <v>2</v>
      </c>
      <c r="E6" s="2">
        <v>24</v>
      </c>
      <c r="F6" s="2">
        <f>F5+E6</f>
        <v>24</v>
      </c>
      <c r="G6" s="2">
        <f>F6/24</f>
        <v>1</v>
      </c>
      <c r="H6" s="2">
        <f>G6/365.25</f>
        <v>2.7378507871321013E-3</v>
      </c>
      <c r="I6" s="2">
        <v>1.0720516</v>
      </c>
      <c r="J6" s="3">
        <v>0.46750000000000003</v>
      </c>
      <c r="O6" s="55" t="s">
        <v>336</v>
      </c>
      <c r="P6" s="37">
        <v>173.5513</v>
      </c>
      <c r="R6" s="55" t="s">
        <v>336</v>
      </c>
      <c r="S6" s="37">
        <v>102.2786</v>
      </c>
      <c r="U6" s="55" t="s">
        <v>336</v>
      </c>
      <c r="V6" s="37">
        <v>48.439599999999999</v>
      </c>
      <c r="W6" s="95"/>
      <c r="X6" s="92" t="s">
        <v>336</v>
      </c>
      <c r="Y6" s="37">
        <v>72.866039999999998</v>
      </c>
      <c r="AA6" s="55" t="s">
        <v>336</v>
      </c>
      <c r="AB6" s="37">
        <v>70.360020000000006</v>
      </c>
      <c r="AE6" s="56" t="s">
        <v>239</v>
      </c>
      <c r="AF6" s="56" t="s">
        <v>366</v>
      </c>
      <c r="AG6" s="56" t="s">
        <v>367</v>
      </c>
      <c r="AH6" s="56" t="s">
        <v>368</v>
      </c>
      <c r="AI6" s="93" t="s">
        <v>369</v>
      </c>
      <c r="AJ6" s="56" t="s">
        <v>370</v>
      </c>
      <c r="AM6" s="154" t="s">
        <v>217</v>
      </c>
      <c r="AN6" s="154" t="s">
        <v>222</v>
      </c>
      <c r="AO6" s="154" t="s">
        <v>232</v>
      </c>
      <c r="AP6" s="154"/>
      <c r="AQ6" s="154"/>
      <c r="AR6" s="154"/>
      <c r="AS6" s="154"/>
      <c r="AT6" s="154"/>
      <c r="AU6" s="154"/>
    </row>
    <row r="7" spans="2:47" x14ac:dyDescent="0.25">
      <c r="B7" s="2"/>
      <c r="C7" s="2">
        <v>3</v>
      </c>
      <c r="D7" s="2">
        <v>3</v>
      </c>
      <c r="E7" s="2">
        <v>96</v>
      </c>
      <c r="F7" s="2">
        <f t="shared" ref="F7:F68" si="0">F6+E7</f>
        <v>120</v>
      </c>
      <c r="G7" s="2">
        <f t="shared" ref="G7:G70" si="1">F7/24</f>
        <v>5</v>
      </c>
      <c r="H7" s="2">
        <f t="shared" ref="H7:H70" si="2">G7/365.25</f>
        <v>1.3689253935660506E-2</v>
      </c>
      <c r="I7" s="2">
        <v>1.0714644</v>
      </c>
      <c r="J7" s="3">
        <v>0.46768999999999999</v>
      </c>
      <c r="O7" s="76" t="s">
        <v>239</v>
      </c>
      <c r="P7" s="98" t="s">
        <v>337</v>
      </c>
      <c r="Q7" s="62"/>
      <c r="R7" s="55" t="s">
        <v>239</v>
      </c>
      <c r="S7" s="55" t="s">
        <v>338</v>
      </c>
      <c r="T7" s="62"/>
      <c r="U7" s="55" t="s">
        <v>239</v>
      </c>
      <c r="V7" s="55" t="s">
        <v>339</v>
      </c>
      <c r="W7" s="20"/>
      <c r="X7" s="92" t="s">
        <v>239</v>
      </c>
      <c r="Y7" s="98" t="s">
        <v>340</v>
      </c>
      <c r="Z7" s="62"/>
      <c r="AA7" s="55" t="s">
        <v>239</v>
      </c>
      <c r="AB7" s="55" t="s">
        <v>240</v>
      </c>
      <c r="AD7" s="63" t="s">
        <v>244</v>
      </c>
      <c r="AE7" s="83">
        <v>0</v>
      </c>
      <c r="AF7" s="25">
        <f t="shared" ref="AF7:AF45" si="3">$P$6*P8</f>
        <v>0</v>
      </c>
      <c r="AG7" s="25">
        <f t="shared" ref="AG7:AG45" si="4">$S$6*S8</f>
        <v>0</v>
      </c>
      <c r="AH7" s="25">
        <f t="shared" ref="AH7:AH45" si="5">$V$6*V8</f>
        <v>0</v>
      </c>
      <c r="AI7" s="37">
        <f>$Y$6*Y8</f>
        <v>0</v>
      </c>
      <c r="AJ7" s="25">
        <f t="shared" ref="AJ7" si="6">$AB$6*AB8</f>
        <v>0</v>
      </c>
      <c r="AM7" s="154"/>
      <c r="AN7" s="154"/>
      <c r="AO7" s="1" t="s">
        <v>83</v>
      </c>
      <c r="AP7" s="1" t="s">
        <v>233</v>
      </c>
      <c r="AQ7" s="1" t="s">
        <v>84</v>
      </c>
      <c r="AR7" s="1" t="s">
        <v>234</v>
      </c>
      <c r="AS7" s="1" t="s">
        <v>235</v>
      </c>
      <c r="AT7" s="1" t="s">
        <v>236</v>
      </c>
      <c r="AU7" s="1" t="s">
        <v>237</v>
      </c>
    </row>
    <row r="8" spans="2:47" x14ac:dyDescent="0.25">
      <c r="B8" s="2"/>
      <c r="C8" s="2">
        <v>4</v>
      </c>
      <c r="D8" s="2">
        <v>4</v>
      </c>
      <c r="E8" s="2">
        <v>120</v>
      </c>
      <c r="F8" s="2">
        <f t="shared" si="0"/>
        <v>240</v>
      </c>
      <c r="G8" s="2">
        <f t="shared" si="1"/>
        <v>10</v>
      </c>
      <c r="H8" s="2">
        <f t="shared" si="2"/>
        <v>2.7378507871321012E-2</v>
      </c>
      <c r="I8" s="2">
        <v>1.0695281999999999</v>
      </c>
      <c r="J8" s="3">
        <v>0.46812199999999998</v>
      </c>
      <c r="L8" s="57"/>
      <c r="N8" s="58">
        <v>1</v>
      </c>
      <c r="O8" s="80">
        <v>0</v>
      </c>
      <c r="P8" s="77">
        <v>0</v>
      </c>
      <c r="Q8" s="58">
        <v>1</v>
      </c>
      <c r="R8" s="80">
        <v>0</v>
      </c>
      <c r="S8" s="79">
        <v>0</v>
      </c>
      <c r="T8" s="58">
        <v>1</v>
      </c>
      <c r="U8" s="80">
        <v>0</v>
      </c>
      <c r="V8" s="88">
        <v>0</v>
      </c>
      <c r="W8" s="58">
        <v>1</v>
      </c>
      <c r="X8" s="80">
        <v>0</v>
      </c>
      <c r="Y8" s="88">
        <v>0</v>
      </c>
      <c r="Z8" s="58">
        <v>1</v>
      </c>
      <c r="AA8" s="80">
        <v>0</v>
      </c>
      <c r="AB8" s="79">
        <v>0</v>
      </c>
      <c r="AE8" s="77">
        <f>14.7624/2</f>
        <v>7.3811999999999998</v>
      </c>
      <c r="AF8" s="25">
        <f t="shared" si="3"/>
        <v>0</v>
      </c>
      <c r="AG8" s="25">
        <f t="shared" si="4"/>
        <v>0</v>
      </c>
      <c r="AH8" s="25">
        <f t="shared" si="5"/>
        <v>0</v>
      </c>
      <c r="AI8" s="37">
        <f t="shared" ref="AI8:AI45" si="7">$Y$6*Y9</f>
        <v>0</v>
      </c>
      <c r="AJ8" s="25">
        <f t="shared" ref="AJ8:AJ45" si="8">$AB$6*AB9</f>
        <v>0</v>
      </c>
      <c r="AM8" s="141" t="s">
        <v>238</v>
      </c>
      <c r="AN8" s="2">
        <v>0</v>
      </c>
      <c r="AO8" s="99">
        <v>390170</v>
      </c>
      <c r="AP8" s="100">
        <v>0</v>
      </c>
      <c r="AQ8" s="100">
        <v>8930100</v>
      </c>
      <c r="AR8" s="99">
        <v>0</v>
      </c>
      <c r="AS8" s="100">
        <v>0</v>
      </c>
      <c r="AT8" s="100">
        <v>0</v>
      </c>
      <c r="AU8" s="100">
        <v>0</v>
      </c>
    </row>
    <row r="9" spans="2:47" x14ac:dyDescent="0.25">
      <c r="B9" s="2"/>
      <c r="C9" s="2">
        <v>5</v>
      </c>
      <c r="D9" s="2">
        <v>5</v>
      </c>
      <c r="E9" s="2">
        <v>240</v>
      </c>
      <c r="F9" s="2">
        <f t="shared" si="0"/>
        <v>480</v>
      </c>
      <c r="G9" s="2">
        <f t="shared" si="1"/>
        <v>20</v>
      </c>
      <c r="H9" s="2">
        <f t="shared" si="2"/>
        <v>5.4757015742642023E-2</v>
      </c>
      <c r="I9" s="2">
        <v>1.0671405</v>
      </c>
      <c r="J9" s="3">
        <v>0.46866799999999997</v>
      </c>
      <c r="L9" s="57"/>
      <c r="M9" s="57"/>
      <c r="N9" s="60">
        <v>2</v>
      </c>
      <c r="O9" s="80">
        <f>14.7624/2</f>
        <v>7.3811999999999998</v>
      </c>
      <c r="P9" s="87">
        <v>0</v>
      </c>
      <c r="Q9" s="84"/>
      <c r="R9" s="77">
        <f>14.7624/2</f>
        <v>7.3811999999999998</v>
      </c>
      <c r="S9" s="3">
        <v>0</v>
      </c>
      <c r="T9" s="59"/>
      <c r="U9" s="77">
        <f>14.7624/2</f>
        <v>7.3811999999999998</v>
      </c>
      <c r="V9" s="88">
        <v>0</v>
      </c>
      <c r="W9" s="59">
        <v>2</v>
      </c>
      <c r="X9" s="77">
        <f>14.7624/2</f>
        <v>7.3811999999999998</v>
      </c>
      <c r="Y9" s="88">
        <v>0</v>
      </c>
      <c r="Z9" s="59">
        <v>2</v>
      </c>
      <c r="AA9" s="77">
        <f>14.7624/2</f>
        <v>7.3811999999999998</v>
      </c>
      <c r="AB9" s="87">
        <v>0</v>
      </c>
      <c r="AE9" s="77">
        <f>2*AE8</f>
        <v>14.7624</v>
      </c>
      <c r="AF9" s="25">
        <f t="shared" si="3"/>
        <v>0</v>
      </c>
      <c r="AG9" s="25">
        <f t="shared" si="4"/>
        <v>0</v>
      </c>
      <c r="AH9" s="25">
        <f t="shared" si="5"/>
        <v>0</v>
      </c>
      <c r="AI9" s="37">
        <f t="shared" si="7"/>
        <v>0</v>
      </c>
      <c r="AJ9" s="25">
        <f t="shared" si="8"/>
        <v>0</v>
      </c>
      <c r="AM9" s="141"/>
      <c r="AN9" s="2">
        <v>1</v>
      </c>
      <c r="AO9" s="100">
        <v>334300</v>
      </c>
      <c r="AP9" s="100">
        <v>10651</v>
      </c>
      <c r="AQ9" s="100">
        <v>8895500</v>
      </c>
      <c r="AR9" s="100">
        <v>21006</v>
      </c>
      <c r="AS9" s="100">
        <v>2309</v>
      </c>
      <c r="AT9" s="100">
        <v>865.22</v>
      </c>
      <c r="AU9" s="100">
        <v>72.168999999999997</v>
      </c>
    </row>
    <row r="10" spans="2:47" x14ac:dyDescent="0.25">
      <c r="B10" s="2"/>
      <c r="C10" s="2">
        <v>6</v>
      </c>
      <c r="D10" s="2">
        <v>6</v>
      </c>
      <c r="E10" s="2">
        <v>240</v>
      </c>
      <c r="F10" s="2">
        <f t="shared" si="0"/>
        <v>720</v>
      </c>
      <c r="G10" s="2">
        <f t="shared" si="1"/>
        <v>30</v>
      </c>
      <c r="H10" s="2">
        <f t="shared" si="2"/>
        <v>8.2135523613963035E-2</v>
      </c>
      <c r="I10" s="2">
        <v>1.0629377</v>
      </c>
      <c r="J10" s="3">
        <v>0.46968700000000002</v>
      </c>
      <c r="L10" s="57"/>
      <c r="N10" s="58">
        <v>3</v>
      </c>
      <c r="O10" s="80">
        <f>2*O9</f>
        <v>14.7624</v>
      </c>
      <c r="P10" s="87">
        <v>0</v>
      </c>
      <c r="Q10" s="58"/>
      <c r="R10" s="77">
        <f>2*R9</f>
        <v>14.7624</v>
      </c>
      <c r="S10" s="3">
        <v>0</v>
      </c>
      <c r="T10" s="58"/>
      <c r="U10" s="77">
        <f>2*U9</f>
        <v>14.7624</v>
      </c>
      <c r="V10" s="88">
        <v>0</v>
      </c>
      <c r="W10" s="58">
        <v>3</v>
      </c>
      <c r="X10" s="77">
        <f>2*X9</f>
        <v>14.7624</v>
      </c>
      <c r="Y10" s="88">
        <v>0</v>
      </c>
      <c r="Z10" s="58">
        <v>3</v>
      </c>
      <c r="AA10" s="77">
        <f>2*AA9</f>
        <v>14.7624</v>
      </c>
      <c r="AB10" s="87">
        <v>0</v>
      </c>
      <c r="AE10" s="77">
        <f>AE9+5.2376</f>
        <v>20</v>
      </c>
      <c r="AF10" s="37">
        <f t="shared" si="3"/>
        <v>0</v>
      </c>
      <c r="AG10" s="25">
        <f t="shared" si="4"/>
        <v>0</v>
      </c>
      <c r="AH10" s="25">
        <f t="shared" si="5"/>
        <v>0</v>
      </c>
      <c r="AI10" s="37">
        <f t="shared" si="7"/>
        <v>0</v>
      </c>
      <c r="AJ10" s="37">
        <f>$AB$6*AB11</f>
        <v>0</v>
      </c>
      <c r="AM10" s="141"/>
      <c r="AN10" s="2">
        <v>3</v>
      </c>
      <c r="AO10" s="100">
        <v>242380</v>
      </c>
      <c r="AP10" s="100">
        <v>27145</v>
      </c>
      <c r="AQ10" s="100">
        <v>8819700</v>
      </c>
      <c r="AR10" s="100">
        <v>43225</v>
      </c>
      <c r="AS10" s="100">
        <v>9752.7000000000007</v>
      </c>
      <c r="AT10" s="100">
        <v>5417.8</v>
      </c>
      <c r="AU10" s="100">
        <v>1097.9000000000001</v>
      </c>
    </row>
    <row r="11" spans="2:47" x14ac:dyDescent="0.25">
      <c r="B11" s="2"/>
      <c r="C11" s="2">
        <v>7</v>
      </c>
      <c r="D11" s="2">
        <v>7</v>
      </c>
      <c r="E11" s="2">
        <v>720</v>
      </c>
      <c r="F11" s="2">
        <f t="shared" si="0"/>
        <v>1440</v>
      </c>
      <c r="G11" s="2">
        <f t="shared" si="1"/>
        <v>60</v>
      </c>
      <c r="H11" s="2">
        <f t="shared" si="2"/>
        <v>0.16427104722792607</v>
      </c>
      <c r="I11" s="2">
        <v>1.0602526999999999</v>
      </c>
      <c r="J11" s="3">
        <v>0.47053800000000001</v>
      </c>
      <c r="L11" s="57"/>
      <c r="N11" s="60">
        <v>4</v>
      </c>
      <c r="O11" s="80">
        <f>O10+5.2376</f>
        <v>20</v>
      </c>
      <c r="P11" s="87">
        <v>0</v>
      </c>
      <c r="Q11" s="60"/>
      <c r="R11" s="77">
        <f>R10+5.2376</f>
        <v>20</v>
      </c>
      <c r="S11" s="3">
        <v>0</v>
      </c>
      <c r="T11" s="59"/>
      <c r="U11" s="77">
        <f>U10+5.2376</f>
        <v>20</v>
      </c>
      <c r="V11" s="88">
        <v>0</v>
      </c>
      <c r="W11" s="59">
        <v>4</v>
      </c>
      <c r="X11" s="77">
        <f>X10+5.2376</f>
        <v>20</v>
      </c>
      <c r="Y11" s="88">
        <v>0</v>
      </c>
      <c r="Z11" s="59">
        <v>4</v>
      </c>
      <c r="AA11" s="77">
        <f>AA10+5.2376</f>
        <v>20</v>
      </c>
      <c r="AB11" s="87">
        <v>0</v>
      </c>
      <c r="AE11" s="78">
        <f>AE10+6.25</f>
        <v>26.25</v>
      </c>
      <c r="AF11" s="25">
        <f t="shared" si="3"/>
        <v>48.808977537579999</v>
      </c>
      <c r="AG11" s="25">
        <f t="shared" si="4"/>
        <v>15.391436032439998</v>
      </c>
      <c r="AH11" s="25">
        <f t="shared" si="5"/>
        <v>8.7347013314000002</v>
      </c>
      <c r="AI11" s="37">
        <f t="shared" si="7"/>
        <v>38.197391005956</v>
      </c>
      <c r="AJ11" s="25">
        <f t="shared" si="8"/>
        <v>33.997715403930002</v>
      </c>
      <c r="AM11" s="141"/>
      <c r="AN11" s="2">
        <v>5</v>
      </c>
      <c r="AO11" s="100">
        <v>167840</v>
      </c>
      <c r="AP11" s="100">
        <v>39480</v>
      </c>
      <c r="AQ11" s="100">
        <v>8740200</v>
      </c>
      <c r="AR11" s="100">
        <v>54287</v>
      </c>
      <c r="AS11" s="100">
        <v>16925</v>
      </c>
      <c r="AT11" s="100">
        <v>10355</v>
      </c>
      <c r="AU11" s="100">
        <v>3044.1</v>
      </c>
    </row>
    <row r="12" spans="2:47" x14ac:dyDescent="0.25">
      <c r="B12" s="2"/>
      <c r="C12" s="2">
        <v>8</v>
      </c>
      <c r="D12" s="2">
        <v>8</v>
      </c>
      <c r="E12" s="2">
        <v>720</v>
      </c>
      <c r="F12" s="2">
        <f t="shared" si="0"/>
        <v>2160</v>
      </c>
      <c r="G12" s="2">
        <f t="shared" si="1"/>
        <v>90</v>
      </c>
      <c r="H12" s="2">
        <f t="shared" si="2"/>
        <v>0.24640657084188911</v>
      </c>
      <c r="I12" s="2">
        <v>1.0544766999999999</v>
      </c>
      <c r="J12" s="3">
        <v>0.47313899999999998</v>
      </c>
      <c r="L12" s="57"/>
      <c r="M12" s="57"/>
      <c r="N12" s="58">
        <v>5</v>
      </c>
      <c r="O12" s="81">
        <f>O11+6.25</f>
        <v>26.25</v>
      </c>
      <c r="P12" s="87">
        <v>0.2812366</v>
      </c>
      <c r="Q12" s="58"/>
      <c r="R12" s="78">
        <f>R11+6.25</f>
        <v>26.25</v>
      </c>
      <c r="S12" s="3">
        <v>0.15048539999999999</v>
      </c>
      <c r="T12" s="58"/>
      <c r="U12" s="78">
        <f>U11+6.25</f>
        <v>26.25</v>
      </c>
      <c r="V12" s="88">
        <v>0.1803215</v>
      </c>
      <c r="W12" s="58">
        <v>5</v>
      </c>
      <c r="X12" s="78">
        <f>X11+6.25</f>
        <v>26.25</v>
      </c>
      <c r="Y12" s="88">
        <v>0.52421390000000001</v>
      </c>
      <c r="Z12" s="58">
        <v>5</v>
      </c>
      <c r="AA12" s="78">
        <f>AA11+6.25</f>
        <v>26.25</v>
      </c>
      <c r="AB12" s="87">
        <v>0.48319649999999997</v>
      </c>
      <c r="AE12" s="61">
        <f t="shared" ref="AE12:AE42" si="9">AE11+6.25</f>
        <v>32.5</v>
      </c>
      <c r="AF12" s="25">
        <f t="shared" si="3"/>
        <v>63.070434129169996</v>
      </c>
      <c r="AG12" s="25">
        <f t="shared" si="4"/>
        <v>21.11288046072</v>
      </c>
      <c r="AH12" s="25">
        <f t="shared" si="5"/>
        <v>11.91167546888</v>
      </c>
      <c r="AI12" s="37">
        <f t="shared" si="7"/>
        <v>52.622863109855999</v>
      </c>
      <c r="AJ12" s="25">
        <f t="shared" si="8"/>
        <v>46.744333635186003</v>
      </c>
      <c r="AM12" s="141"/>
      <c r="AN12" s="2">
        <v>7</v>
      </c>
      <c r="AO12" s="100">
        <v>111200</v>
      </c>
      <c r="AP12" s="100">
        <v>47639</v>
      </c>
      <c r="AQ12" s="100">
        <v>8653500</v>
      </c>
      <c r="AR12" s="100">
        <v>58788</v>
      </c>
      <c r="AS12" s="100">
        <v>22998</v>
      </c>
      <c r="AT12" s="100">
        <v>14632</v>
      </c>
      <c r="AU12" s="100">
        <v>5971.9</v>
      </c>
    </row>
    <row r="13" spans="2:47" x14ac:dyDescent="0.25">
      <c r="B13" s="2"/>
      <c r="C13" s="2">
        <v>9</v>
      </c>
      <c r="D13" s="2">
        <v>9</v>
      </c>
      <c r="E13" s="2">
        <v>720</v>
      </c>
      <c r="F13" s="2">
        <f t="shared" si="0"/>
        <v>2880</v>
      </c>
      <c r="G13" s="2">
        <f t="shared" si="1"/>
        <v>120</v>
      </c>
      <c r="H13" s="2">
        <f t="shared" si="2"/>
        <v>0.32854209445585214</v>
      </c>
      <c r="I13" s="2">
        <v>1.0504937999999999</v>
      </c>
      <c r="J13" s="3">
        <v>0.476165</v>
      </c>
      <c r="M13" s="57"/>
      <c r="N13" s="60">
        <v>6</v>
      </c>
      <c r="O13" s="81">
        <f t="shared" ref="O13:O43" si="10">O12+6.25</f>
        <v>32.5</v>
      </c>
      <c r="P13" s="87">
        <v>0.36341089999999998</v>
      </c>
      <c r="Q13" s="60"/>
      <c r="R13" s="61">
        <f t="shared" ref="R13:R43" si="11">R12+6.25</f>
        <v>32.5</v>
      </c>
      <c r="S13" s="3">
        <v>0.2064252</v>
      </c>
      <c r="T13" s="59"/>
      <c r="U13" s="61">
        <f t="shared" ref="U13:U43" si="12">U12+6.25</f>
        <v>32.5</v>
      </c>
      <c r="V13" s="88">
        <v>0.24590780000000001</v>
      </c>
      <c r="W13" s="59">
        <v>6</v>
      </c>
      <c r="X13" s="61">
        <f t="shared" ref="X13:X43" si="13">X12+6.25</f>
        <v>32.5</v>
      </c>
      <c r="Y13" s="88">
        <v>0.72218640000000001</v>
      </c>
      <c r="Z13" s="59">
        <v>6</v>
      </c>
      <c r="AA13" s="61">
        <f t="shared" ref="AA13:AA43" si="14">AA12+6.25</f>
        <v>32.5</v>
      </c>
      <c r="AB13" s="87">
        <v>0.66435929999999999</v>
      </c>
      <c r="AE13" s="61">
        <f t="shared" si="9"/>
        <v>38.75</v>
      </c>
      <c r="AF13" s="25">
        <f t="shared" si="3"/>
        <v>83.507488114569995</v>
      </c>
      <c r="AG13" s="25">
        <f t="shared" si="4"/>
        <v>28.661419571539998</v>
      </c>
      <c r="AH13" s="25">
        <f t="shared" si="5"/>
        <v>15.699782975800002</v>
      </c>
      <c r="AI13" s="37">
        <f t="shared" si="7"/>
        <v>67.933052811623995</v>
      </c>
      <c r="AJ13" s="25">
        <f t="shared" si="8"/>
        <v>60.464875263282003</v>
      </c>
    </row>
    <row r="14" spans="2:47" x14ac:dyDescent="0.25">
      <c r="B14" s="2"/>
      <c r="C14" s="2">
        <v>10</v>
      </c>
      <c r="D14" s="2">
        <v>10</v>
      </c>
      <c r="E14" s="2">
        <v>720</v>
      </c>
      <c r="F14" s="2">
        <f t="shared" si="0"/>
        <v>3600</v>
      </c>
      <c r="G14" s="2">
        <f t="shared" si="1"/>
        <v>150</v>
      </c>
      <c r="H14" s="2">
        <f t="shared" si="2"/>
        <v>0.41067761806981518</v>
      </c>
      <c r="I14" s="2">
        <v>1.0487412</v>
      </c>
      <c r="J14" s="3">
        <v>0.47926999999999997</v>
      </c>
      <c r="M14" s="57"/>
      <c r="N14" s="58">
        <v>7</v>
      </c>
      <c r="O14" s="81">
        <f t="shared" si="10"/>
        <v>38.75</v>
      </c>
      <c r="P14" s="87">
        <v>0.48116890000000001</v>
      </c>
      <c r="Q14" s="58"/>
      <c r="R14" s="61">
        <f t="shared" si="11"/>
        <v>38.75</v>
      </c>
      <c r="S14" s="3">
        <v>0.2802289</v>
      </c>
      <c r="T14" s="58"/>
      <c r="U14" s="61">
        <f t="shared" si="12"/>
        <v>38.75</v>
      </c>
      <c r="V14" s="88">
        <v>0.32411050000000002</v>
      </c>
      <c r="W14" s="58">
        <v>7</v>
      </c>
      <c r="X14" s="61">
        <f t="shared" si="13"/>
        <v>38.75</v>
      </c>
      <c r="Y14" s="88">
        <v>0.93230060000000003</v>
      </c>
      <c r="Z14" s="58">
        <v>7</v>
      </c>
      <c r="AA14" s="61">
        <f t="shared" si="14"/>
        <v>38.75</v>
      </c>
      <c r="AB14" s="87">
        <v>0.85936409999999996</v>
      </c>
      <c r="AE14" s="61">
        <f t="shared" si="9"/>
        <v>45</v>
      </c>
      <c r="AF14" s="25">
        <f t="shared" si="3"/>
        <v>103.72930377771</v>
      </c>
      <c r="AG14" s="25">
        <f t="shared" si="4"/>
        <v>36.491552123879998</v>
      </c>
      <c r="AH14" s="25">
        <f t="shared" si="5"/>
        <v>19.294287089440001</v>
      </c>
      <c r="AI14" s="37">
        <f t="shared" si="7"/>
        <v>80.474566164719988</v>
      </c>
      <c r="AJ14" s="25">
        <f t="shared" si="8"/>
        <v>71.924052884580007</v>
      </c>
    </row>
    <row r="15" spans="2:47" x14ac:dyDescent="0.25">
      <c r="B15" s="2"/>
      <c r="C15" s="2">
        <v>11</v>
      </c>
      <c r="D15" s="2">
        <v>11</v>
      </c>
      <c r="E15" s="2">
        <v>720</v>
      </c>
      <c r="F15" s="2">
        <f t="shared" si="0"/>
        <v>4320</v>
      </c>
      <c r="G15" s="2">
        <f t="shared" si="1"/>
        <v>180</v>
      </c>
      <c r="H15" s="2">
        <f t="shared" si="2"/>
        <v>0.49281314168377821</v>
      </c>
      <c r="I15" s="2">
        <v>1.0501573</v>
      </c>
      <c r="J15" s="3">
        <v>0.481964</v>
      </c>
      <c r="M15" s="57"/>
      <c r="N15" s="60">
        <v>8</v>
      </c>
      <c r="O15" s="81">
        <f t="shared" si="10"/>
        <v>45</v>
      </c>
      <c r="P15" s="87">
        <v>0.59768670000000002</v>
      </c>
      <c r="Q15" s="60"/>
      <c r="R15" s="61">
        <f t="shared" si="11"/>
        <v>45</v>
      </c>
      <c r="S15" s="3">
        <v>0.35678579999999999</v>
      </c>
      <c r="T15" s="59"/>
      <c r="U15" s="61">
        <f t="shared" si="12"/>
        <v>45</v>
      </c>
      <c r="V15" s="88">
        <v>0.39831640000000001</v>
      </c>
      <c r="W15" s="59">
        <v>8</v>
      </c>
      <c r="X15" s="61">
        <f t="shared" si="13"/>
        <v>45</v>
      </c>
      <c r="Y15" s="88">
        <v>1.1044179999999999</v>
      </c>
      <c r="Z15" s="59">
        <v>8</v>
      </c>
      <c r="AA15" s="61">
        <f t="shared" si="14"/>
        <v>45</v>
      </c>
      <c r="AB15" s="87">
        <v>1.0222290000000001</v>
      </c>
      <c r="AE15" s="61">
        <f t="shared" si="9"/>
        <v>51.25</v>
      </c>
      <c r="AF15" s="25">
        <f t="shared" si="3"/>
        <v>123.21961806648</v>
      </c>
      <c r="AG15" s="25">
        <f t="shared" si="4"/>
        <v>44.657045977759999</v>
      </c>
      <c r="AH15" s="25">
        <f t="shared" si="5"/>
        <v>22.754376157039999</v>
      </c>
      <c r="AI15" s="37">
        <f t="shared" si="7"/>
        <v>89.629455430320007</v>
      </c>
      <c r="AJ15" s="25">
        <f t="shared" si="8"/>
        <v>80.596699309800002</v>
      </c>
    </row>
    <row r="16" spans="2:47" x14ac:dyDescent="0.25">
      <c r="B16" s="2"/>
      <c r="C16" s="2">
        <v>12</v>
      </c>
      <c r="D16" s="2">
        <v>12</v>
      </c>
      <c r="E16" s="2">
        <v>720</v>
      </c>
      <c r="F16" s="2">
        <f t="shared" si="0"/>
        <v>5040</v>
      </c>
      <c r="G16" s="2">
        <f t="shared" si="1"/>
        <v>210</v>
      </c>
      <c r="H16" s="2">
        <f t="shared" si="2"/>
        <v>0.57494866529774125</v>
      </c>
      <c r="I16" s="2">
        <v>1.0563487</v>
      </c>
      <c r="J16" s="3">
        <v>0.48386400000000002</v>
      </c>
      <c r="M16" s="57"/>
      <c r="N16" s="58">
        <v>9</v>
      </c>
      <c r="O16" s="81">
        <f t="shared" si="10"/>
        <v>51.25</v>
      </c>
      <c r="P16" s="87">
        <v>0.7099896</v>
      </c>
      <c r="Q16" s="58"/>
      <c r="R16" s="61">
        <f t="shared" si="11"/>
        <v>51.25</v>
      </c>
      <c r="S16" s="3">
        <v>0.4366216</v>
      </c>
      <c r="T16" s="58"/>
      <c r="U16" s="61">
        <f t="shared" si="12"/>
        <v>51.25</v>
      </c>
      <c r="V16" s="88">
        <v>0.46974739999999998</v>
      </c>
      <c r="W16" s="58">
        <v>9</v>
      </c>
      <c r="X16" s="61">
        <f t="shared" si="13"/>
        <v>51.25</v>
      </c>
      <c r="Y16" s="88">
        <v>1.2300580000000001</v>
      </c>
      <c r="Z16" s="58">
        <v>9</v>
      </c>
      <c r="AA16" s="61">
        <f t="shared" si="14"/>
        <v>51.25</v>
      </c>
      <c r="AB16" s="87">
        <v>1.1454899999999999</v>
      </c>
      <c r="AE16" s="61">
        <f t="shared" si="9"/>
        <v>57.5</v>
      </c>
      <c r="AF16" s="25">
        <f t="shared" si="3"/>
        <v>141.82298108147</v>
      </c>
      <c r="AG16" s="25">
        <f t="shared" si="4"/>
        <v>53.284460672819996</v>
      </c>
      <c r="AH16" s="25">
        <f t="shared" si="5"/>
        <v>26.336654115640002</v>
      </c>
      <c r="AI16" s="37">
        <f t="shared" si="7"/>
        <v>95.046826906199996</v>
      </c>
      <c r="AJ16" s="25">
        <f t="shared" si="8"/>
        <v>86.176882135980009</v>
      </c>
    </row>
    <row r="17" spans="2:36" x14ac:dyDescent="0.25">
      <c r="B17" s="2"/>
      <c r="C17" s="2">
        <v>13</v>
      </c>
      <c r="D17" s="2">
        <v>13</v>
      </c>
      <c r="E17" s="2">
        <v>720</v>
      </c>
      <c r="F17" s="2">
        <f t="shared" si="0"/>
        <v>5760</v>
      </c>
      <c r="G17" s="2">
        <f>F17/24</f>
        <v>240</v>
      </c>
      <c r="H17" s="2">
        <f t="shared" si="2"/>
        <v>0.65708418891170428</v>
      </c>
      <c r="I17" s="2">
        <v>1.0669028</v>
      </c>
      <c r="J17" s="3">
        <v>0.48480299999999998</v>
      </c>
      <c r="L17" s="57"/>
      <c r="M17" s="57"/>
      <c r="N17" s="60">
        <v>10</v>
      </c>
      <c r="O17" s="81">
        <f t="shared" si="10"/>
        <v>57.5</v>
      </c>
      <c r="P17" s="87">
        <v>0.81718190000000002</v>
      </c>
      <c r="Q17" s="60"/>
      <c r="R17" s="61">
        <f t="shared" si="11"/>
        <v>57.5</v>
      </c>
      <c r="S17" s="3">
        <v>0.52097369999999998</v>
      </c>
      <c r="T17" s="59"/>
      <c r="U17" s="61">
        <f t="shared" si="12"/>
        <v>57.5</v>
      </c>
      <c r="V17" s="88">
        <v>0.54370090000000004</v>
      </c>
      <c r="W17" s="59">
        <v>10</v>
      </c>
      <c r="X17" s="61">
        <f t="shared" si="13"/>
        <v>57.5</v>
      </c>
      <c r="Y17" s="88">
        <v>1.304405</v>
      </c>
      <c r="Z17" s="59">
        <v>10</v>
      </c>
      <c r="AA17" s="61">
        <f t="shared" si="14"/>
        <v>57.5</v>
      </c>
      <c r="AB17" s="87">
        <v>1.224799</v>
      </c>
      <c r="AE17" s="61">
        <f t="shared" si="9"/>
        <v>63.75</v>
      </c>
      <c r="AF17" s="25">
        <f t="shared" si="3"/>
        <v>159.39944105435998</v>
      </c>
      <c r="AG17" s="25">
        <f t="shared" si="4"/>
        <v>62.60417875556</v>
      </c>
      <c r="AH17" s="25">
        <f t="shared" si="5"/>
        <v>30.597575714199998</v>
      </c>
      <c r="AI17" s="37">
        <f t="shared" si="7"/>
        <v>96.533877050520005</v>
      </c>
      <c r="AJ17" s="25">
        <f t="shared" si="8"/>
        <v>88.479906310620009</v>
      </c>
    </row>
    <row r="18" spans="2:36" x14ac:dyDescent="0.25">
      <c r="B18" s="2"/>
      <c r="C18" s="2">
        <v>14</v>
      </c>
      <c r="D18" s="2">
        <v>14</v>
      </c>
      <c r="E18" s="2">
        <v>720</v>
      </c>
      <c r="F18" s="2">
        <f t="shared" si="0"/>
        <v>6480</v>
      </c>
      <c r="G18" s="2">
        <f t="shared" si="1"/>
        <v>270</v>
      </c>
      <c r="H18" s="2">
        <f t="shared" si="2"/>
        <v>0.73921971252566732</v>
      </c>
      <c r="I18" s="2">
        <v>1.0802451</v>
      </c>
      <c r="J18" s="3">
        <v>0.48515399999999997</v>
      </c>
      <c r="L18" s="57"/>
      <c r="M18" s="57"/>
      <c r="N18" s="58">
        <v>11</v>
      </c>
      <c r="O18" s="81">
        <f t="shared" si="10"/>
        <v>63.75</v>
      </c>
      <c r="P18" s="87">
        <v>0.91845719999999997</v>
      </c>
      <c r="Q18" s="85"/>
      <c r="R18" s="61">
        <f t="shared" si="11"/>
        <v>63.75</v>
      </c>
      <c r="S18" s="3">
        <v>0.61209460000000004</v>
      </c>
      <c r="T18" s="58"/>
      <c r="U18" s="61">
        <f t="shared" si="12"/>
        <v>63.75</v>
      </c>
      <c r="V18" s="88">
        <v>0.63166449999999996</v>
      </c>
      <c r="W18" s="58">
        <v>11</v>
      </c>
      <c r="X18" s="61">
        <f t="shared" si="13"/>
        <v>63.75</v>
      </c>
      <c r="Y18" s="88">
        <v>1.324813</v>
      </c>
      <c r="Z18" s="58">
        <v>11</v>
      </c>
      <c r="AA18" s="61">
        <f t="shared" si="14"/>
        <v>63.75</v>
      </c>
      <c r="AB18" s="87">
        <v>1.257531</v>
      </c>
      <c r="AE18" s="61">
        <f t="shared" si="9"/>
        <v>70</v>
      </c>
      <c r="AF18" s="25">
        <f t="shared" si="3"/>
        <v>175.8130205416</v>
      </c>
      <c r="AG18" s="25">
        <f t="shared" si="4"/>
        <v>73.378001922359999</v>
      </c>
      <c r="AH18" s="25">
        <f t="shared" si="5"/>
        <v>36.680199257680002</v>
      </c>
      <c r="AI18" s="37">
        <f t="shared" si="7"/>
        <v>94.111299818639992</v>
      </c>
      <c r="AJ18" s="25">
        <f t="shared" si="8"/>
        <v>87.521743558260013</v>
      </c>
    </row>
    <row r="19" spans="2:36" x14ac:dyDescent="0.25">
      <c r="B19" s="2"/>
      <c r="C19" s="2">
        <v>15</v>
      </c>
      <c r="D19" s="2">
        <v>15</v>
      </c>
      <c r="E19" s="2">
        <v>720</v>
      </c>
      <c r="F19" s="2">
        <f t="shared" si="0"/>
        <v>7200</v>
      </c>
      <c r="G19" s="2">
        <f t="shared" si="1"/>
        <v>300</v>
      </c>
      <c r="H19" s="2">
        <f t="shared" si="2"/>
        <v>0.82135523613963035</v>
      </c>
      <c r="I19" s="2">
        <v>1.0899519</v>
      </c>
      <c r="J19" s="3">
        <v>0.48647699999999999</v>
      </c>
      <c r="L19" s="57"/>
      <c r="N19" s="60">
        <v>12</v>
      </c>
      <c r="O19" s="81">
        <f t="shared" si="10"/>
        <v>70</v>
      </c>
      <c r="P19" s="87">
        <v>1.0130319999999999</v>
      </c>
      <c r="Q19" s="60"/>
      <c r="R19" s="61">
        <f t="shared" si="11"/>
        <v>70</v>
      </c>
      <c r="S19" s="3">
        <v>0.71743259999999998</v>
      </c>
      <c r="T19" s="59"/>
      <c r="U19" s="61">
        <f t="shared" si="12"/>
        <v>70</v>
      </c>
      <c r="V19" s="88">
        <v>0.75723580000000001</v>
      </c>
      <c r="W19" s="59">
        <v>12</v>
      </c>
      <c r="X19" s="61">
        <f t="shared" si="13"/>
        <v>70</v>
      </c>
      <c r="Y19" s="88">
        <v>1.291566</v>
      </c>
      <c r="Z19" s="59">
        <v>12</v>
      </c>
      <c r="AA19" s="61">
        <f t="shared" si="14"/>
        <v>70</v>
      </c>
      <c r="AB19" s="87">
        <v>1.243913</v>
      </c>
      <c r="AE19" s="61">
        <f t="shared" si="9"/>
        <v>76.25</v>
      </c>
      <c r="AF19" s="25">
        <f t="shared" si="3"/>
        <v>190.93280979759999</v>
      </c>
      <c r="AG19" s="25">
        <f t="shared" si="4"/>
        <v>121.60352779839999</v>
      </c>
      <c r="AH19" s="25">
        <f t="shared" si="5"/>
        <v>58.358480012800001</v>
      </c>
      <c r="AI19" s="37">
        <f t="shared" si="7"/>
        <v>84.118596825119994</v>
      </c>
      <c r="AJ19" s="25">
        <f t="shared" si="8"/>
        <v>79.819924689000004</v>
      </c>
    </row>
    <row r="20" spans="2:36" x14ac:dyDescent="0.25">
      <c r="B20" s="2"/>
      <c r="C20" s="2">
        <v>16</v>
      </c>
      <c r="D20" s="2">
        <v>16</v>
      </c>
      <c r="E20" s="2">
        <v>720</v>
      </c>
      <c r="F20" s="2">
        <f t="shared" si="0"/>
        <v>7920</v>
      </c>
      <c r="G20" s="2">
        <f t="shared" si="1"/>
        <v>330</v>
      </c>
      <c r="H20" s="2">
        <f t="shared" si="2"/>
        <v>0.90349075975359339</v>
      </c>
      <c r="I20" s="2">
        <v>1.0890678</v>
      </c>
      <c r="J20" s="3">
        <v>0.49041499999999999</v>
      </c>
      <c r="L20" s="57"/>
      <c r="N20" s="58">
        <v>13</v>
      </c>
      <c r="O20" s="81">
        <f t="shared" si="10"/>
        <v>76.25</v>
      </c>
      <c r="P20" s="87">
        <v>1.100152</v>
      </c>
      <c r="Q20" s="58"/>
      <c r="R20" s="61">
        <f t="shared" si="11"/>
        <v>76.25</v>
      </c>
      <c r="S20" s="3">
        <v>1.188944</v>
      </c>
      <c r="T20" s="58"/>
      <c r="U20" s="61">
        <f t="shared" si="12"/>
        <v>76.25</v>
      </c>
      <c r="V20" s="88">
        <v>1.2047680000000001</v>
      </c>
      <c r="W20" s="58">
        <v>13</v>
      </c>
      <c r="X20" s="61">
        <f t="shared" si="13"/>
        <v>76.25</v>
      </c>
      <c r="Y20" s="88">
        <v>1.154428</v>
      </c>
      <c r="Z20" s="58">
        <v>13</v>
      </c>
      <c r="AA20" s="61">
        <f t="shared" si="14"/>
        <v>76.25</v>
      </c>
      <c r="AB20" s="87">
        <v>1.13445</v>
      </c>
      <c r="AE20" s="61">
        <f t="shared" si="9"/>
        <v>82.5</v>
      </c>
      <c r="AF20" s="25">
        <f t="shared" si="3"/>
        <v>204.63468493260001</v>
      </c>
      <c r="AG20" s="25">
        <f t="shared" si="4"/>
        <v>137.60276463919999</v>
      </c>
      <c r="AH20" s="25">
        <f t="shared" si="5"/>
        <v>66.84311190919999</v>
      </c>
      <c r="AI20" s="37">
        <f t="shared" si="7"/>
        <v>78.95407050803999</v>
      </c>
      <c r="AJ20" s="25">
        <f t="shared" si="8"/>
        <v>76.31114085162001</v>
      </c>
    </row>
    <row r="21" spans="2:36" x14ac:dyDescent="0.25">
      <c r="B21" s="2" t="s">
        <v>224</v>
      </c>
      <c r="C21" s="2">
        <v>17</v>
      </c>
      <c r="D21" s="2">
        <v>17</v>
      </c>
      <c r="E21" s="2">
        <v>846</v>
      </c>
      <c r="F21" s="2">
        <f t="shared" si="0"/>
        <v>8766</v>
      </c>
      <c r="G21" s="2">
        <f t="shared" si="1"/>
        <v>365.25</v>
      </c>
      <c r="H21" s="2">
        <f t="shared" si="2"/>
        <v>1</v>
      </c>
      <c r="I21" s="2">
        <v>1.0850519000000001</v>
      </c>
      <c r="J21" s="3">
        <v>0.494755</v>
      </c>
      <c r="L21" s="57"/>
      <c r="N21" s="60">
        <v>14</v>
      </c>
      <c r="O21" s="81">
        <f t="shared" si="10"/>
        <v>82.5</v>
      </c>
      <c r="P21" s="87">
        <v>1.1791020000000001</v>
      </c>
      <c r="Q21" s="60"/>
      <c r="R21" s="61">
        <f t="shared" si="11"/>
        <v>82.5</v>
      </c>
      <c r="S21" s="3">
        <v>1.345372</v>
      </c>
      <c r="T21" s="59"/>
      <c r="U21" s="61">
        <f t="shared" si="12"/>
        <v>82.5</v>
      </c>
      <c r="V21" s="88">
        <v>1.3799269999999999</v>
      </c>
      <c r="W21" s="59">
        <v>14</v>
      </c>
      <c r="X21" s="61">
        <f t="shared" si="13"/>
        <v>82.5</v>
      </c>
      <c r="Y21" s="88">
        <v>1.0835509999999999</v>
      </c>
      <c r="Z21" s="59">
        <v>14</v>
      </c>
      <c r="AA21" s="61">
        <f t="shared" si="14"/>
        <v>82.5</v>
      </c>
      <c r="AB21" s="87">
        <v>1.084581</v>
      </c>
      <c r="AE21" s="61">
        <f t="shared" si="9"/>
        <v>88.75</v>
      </c>
      <c r="AF21" s="25">
        <f t="shared" si="3"/>
        <v>216.8008046139</v>
      </c>
      <c r="AG21" s="25">
        <f t="shared" si="4"/>
        <v>150.9480763672</v>
      </c>
      <c r="AH21" s="25">
        <f t="shared" si="5"/>
        <v>72.547407644799989</v>
      </c>
      <c r="AI21" s="37">
        <f t="shared" si="7"/>
        <v>74.540283001079999</v>
      </c>
      <c r="AJ21" s="25">
        <f t="shared" si="8"/>
        <v>73.275950308860004</v>
      </c>
    </row>
    <row r="22" spans="2:36" x14ac:dyDescent="0.25">
      <c r="B22" s="2"/>
      <c r="C22" s="2">
        <v>1</v>
      </c>
      <c r="D22" s="2">
        <v>18</v>
      </c>
      <c r="E22" s="2">
        <v>720</v>
      </c>
      <c r="F22" s="2">
        <f t="shared" si="0"/>
        <v>9486</v>
      </c>
      <c r="G22" s="2">
        <f t="shared" si="1"/>
        <v>395.25</v>
      </c>
      <c r="H22" s="2">
        <f t="shared" si="2"/>
        <v>1.0821355236139631</v>
      </c>
      <c r="I22" s="2">
        <v>1.0851443000000001</v>
      </c>
      <c r="J22" s="3">
        <v>0.49478699999999998</v>
      </c>
      <c r="K22" t="s">
        <v>231</v>
      </c>
      <c r="N22" s="58">
        <v>15</v>
      </c>
      <c r="O22" s="81">
        <f t="shared" si="10"/>
        <v>88.75</v>
      </c>
      <c r="P22" s="87">
        <v>1.2492030000000001</v>
      </c>
      <c r="Q22" s="58"/>
      <c r="R22" s="61">
        <f t="shared" si="11"/>
        <v>88.75</v>
      </c>
      <c r="S22" s="3">
        <v>1.4758519999999999</v>
      </c>
      <c r="T22" s="58"/>
      <c r="U22" s="61">
        <f t="shared" si="12"/>
        <v>88.75</v>
      </c>
      <c r="V22" s="88">
        <v>1.4976879999999999</v>
      </c>
      <c r="W22" s="58">
        <v>15</v>
      </c>
      <c r="X22" s="61">
        <f t="shared" si="13"/>
        <v>88.75</v>
      </c>
      <c r="Y22" s="88">
        <v>1.022977</v>
      </c>
      <c r="Z22" s="58">
        <v>15</v>
      </c>
      <c r="AA22" s="61">
        <f t="shared" si="14"/>
        <v>88.75</v>
      </c>
      <c r="AB22" s="87">
        <v>1.0414429999999999</v>
      </c>
      <c r="AE22" s="61">
        <f t="shared" si="9"/>
        <v>95</v>
      </c>
      <c r="AF22" s="25">
        <f t="shared" si="3"/>
        <v>227.3214844199</v>
      </c>
      <c r="AG22" s="25">
        <f t="shared" si="4"/>
        <v>162.14891268899999</v>
      </c>
      <c r="AH22" s="25">
        <f t="shared" si="5"/>
        <v>76.414922188000006</v>
      </c>
      <c r="AI22" s="37">
        <f t="shared" si="7"/>
        <v>70.900981346675991</v>
      </c>
      <c r="AJ22" s="25">
        <f t="shared" si="8"/>
        <v>70.783868760480004</v>
      </c>
    </row>
    <row r="23" spans="2:36" x14ac:dyDescent="0.25">
      <c r="B23" s="2"/>
      <c r="C23" s="2">
        <v>2</v>
      </c>
      <c r="D23" s="2">
        <v>19</v>
      </c>
      <c r="E23" s="2">
        <v>720</v>
      </c>
      <c r="F23" s="2">
        <f t="shared" si="0"/>
        <v>10206</v>
      </c>
      <c r="G23" s="2">
        <f t="shared" si="1"/>
        <v>425.25</v>
      </c>
      <c r="H23" s="2">
        <f t="shared" si="2"/>
        <v>1.1642710472279261</v>
      </c>
      <c r="I23" s="2">
        <v>1.0796911</v>
      </c>
      <c r="J23" s="3">
        <v>0.49871199999999999</v>
      </c>
      <c r="N23" s="60">
        <v>16</v>
      </c>
      <c r="O23" s="81">
        <f t="shared" si="10"/>
        <v>95</v>
      </c>
      <c r="P23" s="87">
        <v>1.309823</v>
      </c>
      <c r="Q23" s="60"/>
      <c r="R23" s="61">
        <f t="shared" si="11"/>
        <v>95</v>
      </c>
      <c r="S23" s="3">
        <v>1.5853649999999999</v>
      </c>
      <c r="T23" s="59"/>
      <c r="U23" s="61">
        <f t="shared" si="12"/>
        <v>95</v>
      </c>
      <c r="V23" s="88">
        <v>1.5775300000000001</v>
      </c>
      <c r="W23" s="59">
        <v>16</v>
      </c>
      <c r="X23" s="61">
        <f t="shared" si="13"/>
        <v>95</v>
      </c>
      <c r="Y23" s="88">
        <v>0.97303189999999995</v>
      </c>
      <c r="Z23" s="59">
        <v>16</v>
      </c>
      <c r="AA23" s="61">
        <f t="shared" si="14"/>
        <v>95</v>
      </c>
      <c r="AB23" s="87">
        <v>1.006024</v>
      </c>
      <c r="AE23" s="61">
        <f t="shared" si="9"/>
        <v>101.25</v>
      </c>
      <c r="AF23" s="25">
        <f t="shared" si="3"/>
        <v>236.09571749399998</v>
      </c>
      <c r="AG23" s="25">
        <f t="shared" si="4"/>
        <v>171.16252114979997</v>
      </c>
      <c r="AH23" s="25">
        <f t="shared" si="5"/>
        <v>79.033227886799992</v>
      </c>
      <c r="AI23" s="37">
        <f t="shared" si="7"/>
        <v>68.00521933764</v>
      </c>
      <c r="AJ23" s="25">
        <f t="shared" si="8"/>
        <v>68.822723923020007</v>
      </c>
    </row>
    <row r="24" spans="2:36" x14ac:dyDescent="0.25">
      <c r="B24" s="2"/>
      <c r="C24" s="2">
        <v>3</v>
      </c>
      <c r="D24" s="2">
        <v>20</v>
      </c>
      <c r="E24" s="2">
        <v>720</v>
      </c>
      <c r="F24" s="2">
        <f t="shared" si="0"/>
        <v>10926</v>
      </c>
      <c r="G24" s="2">
        <f t="shared" si="1"/>
        <v>455.25</v>
      </c>
      <c r="H24" s="2">
        <f t="shared" si="2"/>
        <v>1.2464065708418892</v>
      </c>
      <c r="I24" s="2">
        <v>1.0745792000000001</v>
      </c>
      <c r="J24" s="3">
        <v>0.50217500000000004</v>
      </c>
      <c r="N24" s="58">
        <v>17</v>
      </c>
      <c r="O24" s="81">
        <f t="shared" si="10"/>
        <v>101.25</v>
      </c>
      <c r="P24" s="87">
        <v>1.3603799999999999</v>
      </c>
      <c r="Q24" s="58"/>
      <c r="R24" s="61">
        <f t="shared" si="11"/>
        <v>101.25</v>
      </c>
      <c r="S24" s="3">
        <v>1.6734929999999999</v>
      </c>
      <c r="T24" s="58"/>
      <c r="U24" s="61">
        <f t="shared" si="12"/>
        <v>101.25</v>
      </c>
      <c r="V24" s="88">
        <v>1.631583</v>
      </c>
      <c r="W24" s="58">
        <v>17</v>
      </c>
      <c r="X24" s="61">
        <f t="shared" si="13"/>
        <v>101.25</v>
      </c>
      <c r="Y24" s="88">
        <v>0.93329099999999998</v>
      </c>
      <c r="Z24" s="58">
        <v>17</v>
      </c>
      <c r="AA24" s="61">
        <f t="shared" si="14"/>
        <v>101.25</v>
      </c>
      <c r="AB24" s="87">
        <v>0.97815099999999999</v>
      </c>
      <c r="AE24" s="61">
        <f t="shared" si="9"/>
        <v>107.5</v>
      </c>
      <c r="AF24" s="25">
        <f t="shared" si="3"/>
        <v>243.03238940369999</v>
      </c>
      <c r="AG24" s="25">
        <f t="shared" si="4"/>
        <v>177.88662314959998</v>
      </c>
      <c r="AH24" s="25">
        <f t="shared" si="5"/>
        <v>80.7739533524</v>
      </c>
      <c r="AI24" s="37">
        <f t="shared" si="7"/>
        <v>65.817059443044002</v>
      </c>
      <c r="AJ24" s="25">
        <f t="shared" si="8"/>
        <v>67.372505406792015</v>
      </c>
    </row>
    <row r="25" spans="2:36" x14ac:dyDescent="0.25">
      <c r="B25" s="2"/>
      <c r="C25" s="2">
        <v>4</v>
      </c>
      <c r="D25" s="2">
        <v>21</v>
      </c>
      <c r="E25" s="2">
        <v>720</v>
      </c>
      <c r="F25" s="2">
        <f t="shared" si="0"/>
        <v>11646</v>
      </c>
      <c r="G25" s="2">
        <f t="shared" si="1"/>
        <v>485.25</v>
      </c>
      <c r="H25" s="2">
        <f t="shared" si="2"/>
        <v>1.3285420944558521</v>
      </c>
      <c r="I25" s="2">
        <v>1.0712229</v>
      </c>
      <c r="J25" s="3">
        <v>0.50441499999999995</v>
      </c>
      <c r="N25" s="60">
        <v>18</v>
      </c>
      <c r="O25" s="81">
        <f t="shared" si="10"/>
        <v>107.5</v>
      </c>
      <c r="P25" s="87">
        <v>1.4003490000000001</v>
      </c>
      <c r="Q25" s="60"/>
      <c r="R25" s="61">
        <f t="shared" si="11"/>
        <v>107.5</v>
      </c>
      <c r="S25" s="3">
        <v>1.739236</v>
      </c>
      <c r="T25" s="59"/>
      <c r="U25" s="61">
        <f t="shared" si="12"/>
        <v>107.5</v>
      </c>
      <c r="V25" s="88">
        <v>1.667519</v>
      </c>
      <c r="W25" s="59">
        <v>18</v>
      </c>
      <c r="X25" s="61">
        <f t="shared" si="13"/>
        <v>107.5</v>
      </c>
      <c r="Y25" s="88">
        <v>0.90326110000000004</v>
      </c>
      <c r="Z25" s="59">
        <v>18</v>
      </c>
      <c r="AA25" s="61">
        <f t="shared" si="14"/>
        <v>107.5</v>
      </c>
      <c r="AB25" s="87">
        <v>0.95753960000000005</v>
      </c>
      <c r="AE25" s="61">
        <f t="shared" si="9"/>
        <v>113.75</v>
      </c>
      <c r="AF25" s="25">
        <f t="shared" si="3"/>
        <v>248.05218720490001</v>
      </c>
      <c r="AG25" s="25">
        <f t="shared" si="4"/>
        <v>182.22323578959998</v>
      </c>
      <c r="AH25" s="25">
        <f t="shared" si="5"/>
        <v>81.860259822000003</v>
      </c>
      <c r="AI25" s="37">
        <f t="shared" si="7"/>
        <v>64.307318813867994</v>
      </c>
      <c r="AJ25" s="25">
        <f t="shared" si="8"/>
        <v>66.41650974304801</v>
      </c>
    </row>
    <row r="26" spans="2:36" x14ac:dyDescent="0.25">
      <c r="B26" s="2"/>
      <c r="C26" s="2">
        <v>5</v>
      </c>
      <c r="D26" s="2">
        <v>22</v>
      </c>
      <c r="E26" s="2">
        <v>720</v>
      </c>
      <c r="F26" s="2">
        <f t="shared" si="0"/>
        <v>12366</v>
      </c>
      <c r="G26" s="2">
        <f t="shared" si="1"/>
        <v>515.25</v>
      </c>
      <c r="H26" s="2">
        <f t="shared" si="2"/>
        <v>1.4106776180698153</v>
      </c>
      <c r="I26" s="2">
        <v>1.0697478</v>
      </c>
      <c r="J26" s="3">
        <v>0.50558099999999995</v>
      </c>
      <c r="L26" s="57"/>
      <c r="N26" s="58">
        <v>19</v>
      </c>
      <c r="O26" s="81">
        <f t="shared" si="10"/>
        <v>113.75</v>
      </c>
      <c r="P26" s="87">
        <v>1.429273</v>
      </c>
      <c r="Q26" s="58"/>
      <c r="R26" s="61">
        <f t="shared" si="11"/>
        <v>113.75</v>
      </c>
      <c r="S26" s="3">
        <v>1.781636</v>
      </c>
      <c r="T26" s="58"/>
      <c r="U26" s="61">
        <f t="shared" si="12"/>
        <v>113.75</v>
      </c>
      <c r="V26" s="88">
        <v>1.689945</v>
      </c>
      <c r="W26" s="58">
        <v>19</v>
      </c>
      <c r="X26" s="61">
        <f t="shared" si="13"/>
        <v>113.75</v>
      </c>
      <c r="Y26" s="88">
        <v>0.88254169999999998</v>
      </c>
      <c r="Z26" s="58">
        <v>19</v>
      </c>
      <c r="AA26" s="61">
        <f t="shared" si="14"/>
        <v>113.75</v>
      </c>
      <c r="AB26" s="87">
        <v>0.94395240000000002</v>
      </c>
      <c r="AE26" s="61">
        <f t="shared" si="9"/>
        <v>120</v>
      </c>
      <c r="AF26" s="25">
        <f t="shared" si="3"/>
        <v>251.08898785229999</v>
      </c>
      <c r="AG26" s="25">
        <f t="shared" si="4"/>
        <v>184.096877463</v>
      </c>
      <c r="AH26" s="25">
        <f t="shared" si="5"/>
        <v>82.416249550799989</v>
      </c>
      <c r="AI26" s="37">
        <f t="shared" si="7"/>
        <v>63.455143189464003</v>
      </c>
      <c r="AJ26" s="25">
        <f t="shared" si="8"/>
        <v>65.943036060462006</v>
      </c>
    </row>
    <row r="27" spans="2:36" x14ac:dyDescent="0.25">
      <c r="B27" s="2"/>
      <c r="C27" s="2">
        <v>6</v>
      </c>
      <c r="D27" s="2">
        <v>23</v>
      </c>
      <c r="E27" s="2">
        <v>720</v>
      </c>
      <c r="F27" s="2">
        <f t="shared" si="0"/>
        <v>13086</v>
      </c>
      <c r="G27" s="2">
        <f t="shared" si="1"/>
        <v>545.25</v>
      </c>
      <c r="H27" s="2">
        <f t="shared" si="2"/>
        <v>1.4928131416837782</v>
      </c>
      <c r="I27" s="2">
        <v>1.0698274000000001</v>
      </c>
      <c r="J27" s="3">
        <v>0.50606300000000004</v>
      </c>
      <c r="L27" s="57"/>
      <c r="N27" s="60">
        <v>20</v>
      </c>
      <c r="O27" s="81">
        <f t="shared" si="10"/>
        <v>120</v>
      </c>
      <c r="P27" s="87">
        <v>1.446771</v>
      </c>
      <c r="Q27" s="84"/>
      <c r="R27" s="61">
        <f t="shared" si="11"/>
        <v>120</v>
      </c>
      <c r="S27" s="3">
        <v>1.799955</v>
      </c>
      <c r="T27" s="59"/>
      <c r="U27" s="61">
        <f t="shared" si="12"/>
        <v>120</v>
      </c>
      <c r="V27" s="88">
        <v>1.7014229999999999</v>
      </c>
      <c r="W27" s="59">
        <v>20</v>
      </c>
      <c r="X27" s="61">
        <f t="shared" si="13"/>
        <v>120</v>
      </c>
      <c r="Y27" s="88">
        <v>0.87084660000000003</v>
      </c>
      <c r="Z27" s="59">
        <v>20</v>
      </c>
      <c r="AA27" s="61">
        <f t="shared" si="14"/>
        <v>120</v>
      </c>
      <c r="AB27" s="87">
        <v>0.93722309999999998</v>
      </c>
      <c r="AE27" s="61">
        <f t="shared" si="9"/>
        <v>126.25</v>
      </c>
      <c r="AF27" s="25">
        <f t="shared" si="3"/>
        <v>252.09072595589998</v>
      </c>
      <c r="AG27" s="25">
        <f t="shared" si="4"/>
        <v>183.10467276439999</v>
      </c>
      <c r="AH27" s="25">
        <f t="shared" si="5"/>
        <v>82.460378026399994</v>
      </c>
      <c r="AI27" s="37">
        <f t="shared" si="7"/>
        <v>63.209577348059995</v>
      </c>
      <c r="AJ27" s="25">
        <f t="shared" si="8"/>
        <v>65.91801603735</v>
      </c>
    </row>
    <row r="28" spans="2:36" x14ac:dyDescent="0.25">
      <c r="B28" s="2"/>
      <c r="C28" s="2">
        <v>7</v>
      </c>
      <c r="D28" s="2">
        <v>24</v>
      </c>
      <c r="E28" s="2">
        <v>720</v>
      </c>
      <c r="F28" s="2">
        <f t="shared" si="0"/>
        <v>13806</v>
      </c>
      <c r="G28" s="2">
        <f t="shared" si="1"/>
        <v>575.25</v>
      </c>
      <c r="H28" s="2">
        <f t="shared" si="2"/>
        <v>1.5749486652977414</v>
      </c>
      <c r="I28" s="4">
        <v>1.0695101</v>
      </c>
      <c r="J28" s="54">
        <v>0.50723499999999999</v>
      </c>
      <c r="L28" s="57"/>
      <c r="N28" s="58">
        <v>21</v>
      </c>
      <c r="O28" s="81">
        <f t="shared" si="10"/>
        <v>126.25</v>
      </c>
      <c r="P28" s="87">
        <v>1.4525429999999999</v>
      </c>
      <c r="Q28" s="58"/>
      <c r="R28" s="61">
        <f t="shared" si="11"/>
        <v>126.25</v>
      </c>
      <c r="S28" s="3">
        <v>1.790254</v>
      </c>
      <c r="T28" s="58"/>
      <c r="U28" s="61">
        <f t="shared" si="12"/>
        <v>126.25</v>
      </c>
      <c r="V28" s="88">
        <v>1.702334</v>
      </c>
      <c r="W28" s="58">
        <v>21</v>
      </c>
      <c r="X28" s="61">
        <f t="shared" si="13"/>
        <v>126.25</v>
      </c>
      <c r="Y28" s="88">
        <v>0.86747649999999998</v>
      </c>
      <c r="Z28" s="58">
        <v>21</v>
      </c>
      <c r="AA28" s="61">
        <f t="shared" si="14"/>
        <v>126.25</v>
      </c>
      <c r="AB28" s="87">
        <v>0.93686749999999996</v>
      </c>
      <c r="AE28" s="61">
        <f t="shared" si="9"/>
        <v>132.5</v>
      </c>
      <c r="AF28" s="25">
        <f t="shared" si="3"/>
        <v>251.02234415310002</v>
      </c>
      <c r="AG28" s="25">
        <f t="shared" si="4"/>
        <v>180.43366712539998</v>
      </c>
      <c r="AH28" s="25">
        <f t="shared" si="5"/>
        <v>82.053097869599995</v>
      </c>
      <c r="AI28" s="37">
        <f t="shared" si="7"/>
        <v>63.676400919923999</v>
      </c>
      <c r="AJ28" s="25">
        <f t="shared" si="8"/>
        <v>66.414180826386001</v>
      </c>
    </row>
    <row r="29" spans="2:36" x14ac:dyDescent="0.25">
      <c r="B29" s="2"/>
      <c r="C29" s="2">
        <v>8</v>
      </c>
      <c r="D29" s="2">
        <v>25</v>
      </c>
      <c r="E29" s="2">
        <v>720</v>
      </c>
      <c r="F29" s="2">
        <f t="shared" si="0"/>
        <v>14526</v>
      </c>
      <c r="G29" s="2">
        <f t="shared" si="1"/>
        <v>605.25</v>
      </c>
      <c r="H29" s="2">
        <f t="shared" si="2"/>
        <v>1.6570841889117043</v>
      </c>
      <c r="I29" s="2">
        <v>1.0673044</v>
      </c>
      <c r="J29" s="3">
        <v>0.50968100000000005</v>
      </c>
      <c r="L29" s="57"/>
      <c r="N29" s="60">
        <v>22</v>
      </c>
      <c r="O29" s="81">
        <f t="shared" si="10"/>
        <v>132.5</v>
      </c>
      <c r="P29" s="87">
        <v>1.4463870000000001</v>
      </c>
      <c r="Q29" s="60"/>
      <c r="R29" s="61">
        <f t="shared" si="11"/>
        <v>132.5</v>
      </c>
      <c r="S29" s="3">
        <v>1.7641389999999999</v>
      </c>
      <c r="T29" s="59"/>
      <c r="U29" s="61">
        <f t="shared" si="12"/>
        <v>132.5</v>
      </c>
      <c r="V29" s="88">
        <v>1.693926</v>
      </c>
      <c r="W29" s="59">
        <v>22</v>
      </c>
      <c r="X29" s="61">
        <f t="shared" si="13"/>
        <v>132.5</v>
      </c>
      <c r="Y29" s="88">
        <v>0.87388310000000002</v>
      </c>
      <c r="Z29" s="59">
        <v>22</v>
      </c>
      <c r="AA29" s="61">
        <f t="shared" si="14"/>
        <v>132.5</v>
      </c>
      <c r="AB29" s="87">
        <v>0.94391930000000002</v>
      </c>
      <c r="AE29" s="61">
        <f t="shared" si="9"/>
        <v>138.75</v>
      </c>
      <c r="AF29" s="25">
        <f t="shared" si="3"/>
        <v>247.86648731389997</v>
      </c>
      <c r="AG29" s="25">
        <f t="shared" si="4"/>
        <v>175.7358064702</v>
      </c>
      <c r="AH29" s="25">
        <f t="shared" si="5"/>
        <v>81.101889444399987</v>
      </c>
      <c r="AI29" s="37">
        <f t="shared" si="7"/>
        <v>64.820266589051997</v>
      </c>
      <c r="AJ29" s="25">
        <f t="shared" si="8"/>
        <v>67.406383756422002</v>
      </c>
    </row>
    <row r="30" spans="2:36" x14ac:dyDescent="0.25">
      <c r="B30" s="2"/>
      <c r="C30" s="2">
        <v>9</v>
      </c>
      <c r="D30" s="2">
        <v>26</v>
      </c>
      <c r="E30" s="2">
        <v>720</v>
      </c>
      <c r="F30" s="2">
        <f t="shared" si="0"/>
        <v>15246</v>
      </c>
      <c r="G30" s="2">
        <f t="shared" si="1"/>
        <v>635.25</v>
      </c>
      <c r="H30" s="2">
        <f t="shared" si="2"/>
        <v>1.7392197125256674</v>
      </c>
      <c r="I30" s="4">
        <v>1.0648493999999999</v>
      </c>
      <c r="J30" s="3">
        <v>0.51217699999999999</v>
      </c>
      <c r="L30" s="57"/>
      <c r="N30" s="58">
        <v>23</v>
      </c>
      <c r="O30" s="81">
        <f t="shared" si="10"/>
        <v>138.75</v>
      </c>
      <c r="P30" s="87">
        <v>1.4282029999999999</v>
      </c>
      <c r="Q30" s="58"/>
      <c r="R30" s="61">
        <f t="shared" si="11"/>
        <v>138.75</v>
      </c>
      <c r="S30" s="3">
        <v>1.718207</v>
      </c>
      <c r="T30" s="58"/>
      <c r="U30" s="61">
        <f t="shared" si="12"/>
        <v>138.75</v>
      </c>
      <c r="V30" s="88">
        <v>1.6742889999999999</v>
      </c>
      <c r="W30" s="58">
        <v>23</v>
      </c>
      <c r="X30" s="61">
        <f t="shared" si="13"/>
        <v>138.75</v>
      </c>
      <c r="Y30" s="88">
        <v>0.88958130000000002</v>
      </c>
      <c r="Z30" s="58">
        <v>23</v>
      </c>
      <c r="AA30" s="61">
        <f t="shared" si="14"/>
        <v>138.75</v>
      </c>
      <c r="AB30" s="87">
        <v>0.95802109999999996</v>
      </c>
      <c r="AE30" s="61">
        <f t="shared" si="9"/>
        <v>145</v>
      </c>
      <c r="AF30" s="25">
        <f t="shared" si="3"/>
        <v>242.6245438487</v>
      </c>
      <c r="AG30" s="25">
        <f t="shared" si="4"/>
        <v>169.0458655228</v>
      </c>
      <c r="AH30" s="25">
        <f t="shared" si="5"/>
        <v>79.482069220399993</v>
      </c>
      <c r="AI30" s="37">
        <f t="shared" si="7"/>
        <v>66.652140694463995</v>
      </c>
      <c r="AJ30" s="25">
        <f t="shared" si="8"/>
        <v>68.901140165310011</v>
      </c>
    </row>
    <row r="31" spans="2:36" x14ac:dyDescent="0.25">
      <c r="B31" s="2"/>
      <c r="C31" s="2">
        <v>10</v>
      </c>
      <c r="D31" s="2">
        <v>27</v>
      </c>
      <c r="E31" s="2">
        <v>720</v>
      </c>
      <c r="F31" s="2">
        <f t="shared" si="0"/>
        <v>15966</v>
      </c>
      <c r="G31" s="2">
        <f t="shared" si="1"/>
        <v>665.25</v>
      </c>
      <c r="H31" s="2">
        <f t="shared" si="2"/>
        <v>1.8213552361396304</v>
      </c>
      <c r="I31" s="2">
        <v>1.0614775000000001</v>
      </c>
      <c r="J31" s="3">
        <v>0.51513799999999998</v>
      </c>
      <c r="N31" s="60">
        <v>24</v>
      </c>
      <c r="O31" s="81">
        <f t="shared" si="10"/>
        <v>145</v>
      </c>
      <c r="P31" s="87">
        <v>1.397999</v>
      </c>
      <c r="Q31" s="60"/>
      <c r="R31" s="61">
        <f t="shared" si="11"/>
        <v>145</v>
      </c>
      <c r="S31" s="3">
        <v>1.652798</v>
      </c>
      <c r="T31" s="59"/>
      <c r="U31" s="61">
        <f t="shared" si="12"/>
        <v>145</v>
      </c>
      <c r="V31" s="88">
        <v>1.640849</v>
      </c>
      <c r="W31" s="59">
        <v>24</v>
      </c>
      <c r="X31" s="61">
        <f t="shared" si="13"/>
        <v>145</v>
      </c>
      <c r="Y31" s="88">
        <v>0.91472160000000002</v>
      </c>
      <c r="Z31" s="59">
        <v>24</v>
      </c>
      <c r="AA31" s="61">
        <f t="shared" si="14"/>
        <v>145</v>
      </c>
      <c r="AB31" s="87">
        <v>0.97926550000000001</v>
      </c>
      <c r="AE31" s="61">
        <f t="shared" si="9"/>
        <v>151.25</v>
      </c>
      <c r="AF31" s="25">
        <f t="shared" si="3"/>
        <v>235.3189018752</v>
      </c>
      <c r="AG31" s="25">
        <f t="shared" si="4"/>
        <v>160.4185633342</v>
      </c>
      <c r="AH31" s="25">
        <f t="shared" si="5"/>
        <v>76.970766597999997</v>
      </c>
      <c r="AI31" s="37">
        <f t="shared" si="7"/>
        <v>69.191172431471998</v>
      </c>
      <c r="AJ31" s="25">
        <f t="shared" si="8"/>
        <v>70.909179956100004</v>
      </c>
    </row>
    <row r="32" spans="2:36" x14ac:dyDescent="0.25">
      <c r="B32" s="2"/>
      <c r="C32" s="2">
        <v>11</v>
      </c>
      <c r="D32" s="2">
        <v>28</v>
      </c>
      <c r="E32" s="2">
        <v>720</v>
      </c>
      <c r="F32" s="2">
        <f t="shared" si="0"/>
        <v>16686</v>
      </c>
      <c r="G32" s="2">
        <f t="shared" si="1"/>
        <v>695.25</v>
      </c>
      <c r="H32" s="2">
        <f t="shared" si="2"/>
        <v>1.9034907597535935</v>
      </c>
      <c r="I32" s="2">
        <v>1.0575437999999999</v>
      </c>
      <c r="J32" s="3">
        <v>0.51829999999999998</v>
      </c>
      <c r="N32" s="58">
        <v>25</v>
      </c>
      <c r="O32" s="81">
        <f t="shared" si="10"/>
        <v>151.25</v>
      </c>
      <c r="P32" s="87">
        <v>1.355904</v>
      </c>
      <c r="Q32" s="58"/>
      <c r="R32" s="61">
        <f t="shared" si="11"/>
        <v>151.25</v>
      </c>
      <c r="S32" s="3">
        <v>1.5684469999999999</v>
      </c>
      <c r="T32" s="58"/>
      <c r="U32" s="61">
        <f t="shared" si="12"/>
        <v>151.25</v>
      </c>
      <c r="V32" s="88">
        <v>1.589005</v>
      </c>
      <c r="W32" s="58">
        <v>25</v>
      </c>
      <c r="X32" s="61">
        <f t="shared" si="13"/>
        <v>151.25</v>
      </c>
      <c r="Y32" s="88">
        <v>0.94956680000000004</v>
      </c>
      <c r="Z32" s="58">
        <v>25</v>
      </c>
      <c r="AA32" s="61">
        <f t="shared" si="14"/>
        <v>151.25</v>
      </c>
      <c r="AB32" s="87">
        <v>1.0078050000000001</v>
      </c>
      <c r="AE32" s="61">
        <f t="shared" si="9"/>
        <v>157.5</v>
      </c>
      <c r="AF32" s="25">
        <f t="shared" si="3"/>
        <v>225.9920814619</v>
      </c>
      <c r="AG32" s="25">
        <f t="shared" si="4"/>
        <v>149.91178959199999</v>
      </c>
      <c r="AH32" s="25">
        <f t="shared" si="5"/>
        <v>73.196062328400004</v>
      </c>
      <c r="AI32" s="37">
        <f t="shared" si="7"/>
        <v>72.463360403148002</v>
      </c>
      <c r="AJ32" s="25">
        <f t="shared" si="8"/>
        <v>73.444603276800009</v>
      </c>
    </row>
    <row r="33" spans="2:36" x14ac:dyDescent="0.25">
      <c r="B33" s="2"/>
      <c r="C33" s="2">
        <v>12</v>
      </c>
      <c r="D33" s="2">
        <v>29</v>
      </c>
      <c r="E33" s="2">
        <v>846</v>
      </c>
      <c r="F33" s="2">
        <f t="shared" si="0"/>
        <v>17532</v>
      </c>
      <c r="G33" s="2">
        <f t="shared" si="1"/>
        <v>730.5</v>
      </c>
      <c r="H33" s="2">
        <f t="shared" si="2"/>
        <v>2</v>
      </c>
      <c r="I33" s="2">
        <v>1.0540456</v>
      </c>
      <c r="J33" s="3">
        <v>0.52097400000000005</v>
      </c>
      <c r="M33" s="57"/>
      <c r="N33" s="60">
        <v>26</v>
      </c>
      <c r="O33" s="81">
        <f t="shared" si="10"/>
        <v>157.5</v>
      </c>
      <c r="P33" s="87">
        <v>1.302163</v>
      </c>
      <c r="Q33" s="60"/>
      <c r="R33" s="61">
        <f t="shared" si="11"/>
        <v>157.5</v>
      </c>
      <c r="S33" s="3">
        <v>1.4657199999999999</v>
      </c>
      <c r="T33" s="59"/>
      <c r="U33" s="61">
        <f t="shared" si="12"/>
        <v>157.5</v>
      </c>
      <c r="V33" s="88">
        <v>1.5110790000000001</v>
      </c>
      <c r="W33" s="59">
        <v>26</v>
      </c>
      <c r="X33" s="61">
        <f t="shared" si="13"/>
        <v>157.5</v>
      </c>
      <c r="Y33" s="88">
        <v>0.99447370000000002</v>
      </c>
      <c r="Z33" s="59">
        <v>26</v>
      </c>
      <c r="AA33" s="61">
        <f t="shared" si="14"/>
        <v>157.5</v>
      </c>
      <c r="AB33" s="87">
        <v>1.0438400000000001</v>
      </c>
      <c r="AE33" s="61">
        <f t="shared" si="9"/>
        <v>163.75</v>
      </c>
      <c r="AF33" s="25">
        <f t="shared" si="3"/>
        <v>214.70812303849999</v>
      </c>
      <c r="AG33" s="25">
        <f t="shared" si="4"/>
        <v>137.52994227599999</v>
      </c>
      <c r="AH33" s="25">
        <f t="shared" si="5"/>
        <v>67.570771580399992</v>
      </c>
      <c r="AI33" s="37">
        <f t="shared" si="7"/>
        <v>76.490615427720002</v>
      </c>
      <c r="AJ33" s="25">
        <f t="shared" si="8"/>
        <v>76.514340589380012</v>
      </c>
    </row>
    <row r="34" spans="2:36" x14ac:dyDescent="0.25">
      <c r="B34" s="2"/>
      <c r="C34" s="2">
        <v>13</v>
      </c>
      <c r="D34" s="2">
        <v>30</v>
      </c>
      <c r="E34" s="2">
        <v>720</v>
      </c>
      <c r="F34" s="2">
        <f t="shared" si="0"/>
        <v>18252</v>
      </c>
      <c r="G34" s="2">
        <f t="shared" si="1"/>
        <v>760.5</v>
      </c>
      <c r="H34" s="2">
        <f t="shared" si="2"/>
        <v>2.0821355236139629</v>
      </c>
      <c r="I34" s="2">
        <v>1.0503513</v>
      </c>
      <c r="J34" s="3">
        <v>0.52371900000000005</v>
      </c>
      <c r="M34" s="57"/>
      <c r="N34" s="58">
        <v>27</v>
      </c>
      <c r="O34" s="81">
        <f t="shared" si="10"/>
        <v>163.75</v>
      </c>
      <c r="P34" s="87">
        <v>1.2371449999999999</v>
      </c>
      <c r="Q34" s="58"/>
      <c r="R34" s="61">
        <f t="shared" si="11"/>
        <v>163.75</v>
      </c>
      <c r="S34" s="3">
        <v>1.34466</v>
      </c>
      <c r="T34" s="58"/>
      <c r="U34" s="61">
        <f t="shared" si="12"/>
        <v>163.75</v>
      </c>
      <c r="V34" s="88">
        <v>1.394949</v>
      </c>
      <c r="W34" s="58">
        <v>27</v>
      </c>
      <c r="X34" s="61">
        <f t="shared" si="13"/>
        <v>163.75</v>
      </c>
      <c r="Y34" s="88">
        <v>1.0497430000000001</v>
      </c>
      <c r="Z34" s="58">
        <v>27</v>
      </c>
      <c r="AA34" s="61">
        <f t="shared" si="14"/>
        <v>163.75</v>
      </c>
      <c r="AB34" s="87">
        <v>1.087469</v>
      </c>
      <c r="AE34" s="61">
        <f t="shared" si="9"/>
        <v>170</v>
      </c>
      <c r="AF34" s="25">
        <f t="shared" si="3"/>
        <v>201.55137253679999</v>
      </c>
      <c r="AG34" s="25">
        <f t="shared" si="4"/>
        <v>122.77625422599999</v>
      </c>
      <c r="AH34" s="25">
        <f t="shared" si="5"/>
        <v>59.156813060399998</v>
      </c>
      <c r="AI34" s="37">
        <f t="shared" si="7"/>
        <v>81.242355628199988</v>
      </c>
      <c r="AJ34" s="25">
        <f t="shared" si="8"/>
        <v>80.043669552600008</v>
      </c>
    </row>
    <row r="35" spans="2:36" x14ac:dyDescent="0.25">
      <c r="B35" s="2"/>
      <c r="C35" s="2">
        <v>14</v>
      </c>
      <c r="D35" s="2">
        <v>31</v>
      </c>
      <c r="E35" s="2">
        <v>720</v>
      </c>
      <c r="F35" s="2">
        <f t="shared" si="0"/>
        <v>18972</v>
      </c>
      <c r="G35" s="2">
        <f t="shared" si="1"/>
        <v>790.5</v>
      </c>
      <c r="H35" s="2">
        <f t="shared" si="2"/>
        <v>2.1642710472279263</v>
      </c>
      <c r="I35" s="2">
        <v>1.0474490000000001</v>
      </c>
      <c r="J35" s="3">
        <v>0.52587200000000001</v>
      </c>
      <c r="M35" s="57"/>
      <c r="N35" s="60">
        <v>28</v>
      </c>
      <c r="O35" s="81">
        <f t="shared" si="10"/>
        <v>170</v>
      </c>
      <c r="P35" s="87">
        <v>1.1613359999999999</v>
      </c>
      <c r="Q35" s="60"/>
      <c r="R35" s="61">
        <f t="shared" si="11"/>
        <v>170</v>
      </c>
      <c r="S35" s="3">
        <v>1.20041</v>
      </c>
      <c r="T35" s="59"/>
      <c r="U35" s="61">
        <f t="shared" si="12"/>
        <v>170</v>
      </c>
      <c r="V35" s="88">
        <v>1.221249</v>
      </c>
      <c r="W35" s="59">
        <v>28</v>
      </c>
      <c r="X35" s="61">
        <f t="shared" si="13"/>
        <v>170</v>
      </c>
      <c r="Y35" s="88">
        <v>1.1149549999999999</v>
      </c>
      <c r="Z35" s="59">
        <v>28</v>
      </c>
      <c r="AA35" s="61">
        <f t="shared" si="14"/>
        <v>170</v>
      </c>
      <c r="AB35" s="87">
        <v>1.1376299999999999</v>
      </c>
      <c r="AE35" s="61">
        <f t="shared" si="9"/>
        <v>176.25</v>
      </c>
      <c r="AF35" s="25">
        <f t="shared" si="3"/>
        <v>186.62665494199999</v>
      </c>
      <c r="AG35" s="25">
        <f t="shared" si="4"/>
        <v>79.114921102820006</v>
      </c>
      <c r="AH35" s="25">
        <f t="shared" si="5"/>
        <v>37.733891344599996</v>
      </c>
      <c r="AI35" s="37">
        <f t="shared" si="7"/>
        <v>90.59463899616</v>
      </c>
      <c r="AJ35" s="25">
        <f t="shared" si="8"/>
        <v>87.726631936500013</v>
      </c>
    </row>
    <row r="36" spans="2:36" x14ac:dyDescent="0.25">
      <c r="B36" s="2"/>
      <c r="C36" s="2">
        <v>15</v>
      </c>
      <c r="D36" s="2">
        <v>32</v>
      </c>
      <c r="E36" s="2">
        <v>720</v>
      </c>
      <c r="F36" s="2">
        <f t="shared" si="0"/>
        <v>19692</v>
      </c>
      <c r="G36" s="2">
        <f t="shared" si="1"/>
        <v>820.5</v>
      </c>
      <c r="H36" s="2">
        <f t="shared" si="2"/>
        <v>2.2464065708418892</v>
      </c>
      <c r="I36" s="2">
        <v>1.0447061</v>
      </c>
      <c r="J36" s="3">
        <v>0.52785099999999996</v>
      </c>
      <c r="M36" s="57"/>
      <c r="N36" s="58">
        <v>29</v>
      </c>
      <c r="O36" s="81">
        <f t="shared" si="10"/>
        <v>176.25</v>
      </c>
      <c r="P36" s="87">
        <v>1.07534</v>
      </c>
      <c r="Q36" s="85"/>
      <c r="R36" s="61">
        <f t="shared" si="11"/>
        <v>176.25</v>
      </c>
      <c r="S36" s="3">
        <v>0.77352370000000004</v>
      </c>
      <c r="T36" s="58"/>
      <c r="U36" s="61">
        <f t="shared" si="12"/>
        <v>176.25</v>
      </c>
      <c r="V36" s="88">
        <v>0.77898849999999997</v>
      </c>
      <c r="W36" s="58">
        <v>29</v>
      </c>
      <c r="X36" s="61">
        <f t="shared" si="13"/>
        <v>176.25</v>
      </c>
      <c r="Y36" s="88">
        <v>1.243304</v>
      </c>
      <c r="Z36" s="58">
        <v>29</v>
      </c>
      <c r="AA36" s="61">
        <f t="shared" si="14"/>
        <v>176.25</v>
      </c>
      <c r="AB36" s="90">
        <v>1.2468250000000001</v>
      </c>
      <c r="AE36" s="61">
        <f t="shared" si="9"/>
        <v>182.5</v>
      </c>
      <c r="AF36" s="25">
        <f t="shared" si="3"/>
        <v>170.05757348995999</v>
      </c>
      <c r="AG36" s="25">
        <f t="shared" si="4"/>
        <v>68.357247726959997</v>
      </c>
      <c r="AH36" s="25">
        <f t="shared" si="5"/>
        <v>31.583156879559997</v>
      </c>
      <c r="AI36" s="37">
        <f t="shared" si="7"/>
        <v>92.738139294839996</v>
      </c>
      <c r="AJ36" s="25">
        <f t="shared" si="8"/>
        <v>88.685427929040003</v>
      </c>
    </row>
    <row r="37" spans="2:36" x14ac:dyDescent="0.25">
      <c r="B37" s="2"/>
      <c r="C37" s="2">
        <v>16</v>
      </c>
      <c r="D37" s="2">
        <v>33</v>
      </c>
      <c r="E37" s="2">
        <v>720</v>
      </c>
      <c r="F37" s="2">
        <f t="shared" si="0"/>
        <v>20412</v>
      </c>
      <c r="G37" s="2">
        <f t="shared" si="1"/>
        <v>850.5</v>
      </c>
      <c r="H37" s="2">
        <f t="shared" si="2"/>
        <v>2.3285420944558521</v>
      </c>
      <c r="I37" s="2">
        <v>1.0425732000000001</v>
      </c>
      <c r="J37" s="3">
        <v>0.52928600000000003</v>
      </c>
      <c r="M37" s="57"/>
      <c r="N37" s="60">
        <v>30</v>
      </c>
      <c r="O37" s="81">
        <f t="shared" si="10"/>
        <v>182.5</v>
      </c>
      <c r="P37" s="87">
        <v>0.9798692</v>
      </c>
      <c r="Q37" s="60"/>
      <c r="R37" s="61">
        <f t="shared" si="11"/>
        <v>182.5</v>
      </c>
      <c r="S37" s="3">
        <v>0.66834360000000004</v>
      </c>
      <c r="T37" s="59"/>
      <c r="U37" s="61">
        <f t="shared" si="12"/>
        <v>182.5</v>
      </c>
      <c r="V37" s="89">
        <v>0.65201109999999995</v>
      </c>
      <c r="W37" s="59">
        <v>30</v>
      </c>
      <c r="X37" s="61">
        <f t="shared" si="13"/>
        <v>182.5</v>
      </c>
      <c r="Y37" s="89">
        <v>1.272721</v>
      </c>
      <c r="Z37" s="59">
        <v>30</v>
      </c>
      <c r="AA37" s="61">
        <f t="shared" si="14"/>
        <v>182.5</v>
      </c>
      <c r="AB37" s="87">
        <v>1.2604519999999999</v>
      </c>
      <c r="AE37" s="61">
        <f t="shared" si="9"/>
        <v>188.75</v>
      </c>
      <c r="AF37" s="25">
        <f t="shared" si="3"/>
        <v>151.98557249018</v>
      </c>
      <c r="AG37" s="25">
        <f t="shared" si="4"/>
        <v>58.779797800079997</v>
      </c>
      <c r="AH37" s="25">
        <f t="shared" si="5"/>
        <v>27.240319073439998</v>
      </c>
      <c r="AI37" s="37">
        <f t="shared" si="7"/>
        <v>91.172758157520008</v>
      </c>
      <c r="AJ37" s="25">
        <f t="shared" si="8"/>
        <v>86.3806447539</v>
      </c>
    </row>
    <row r="38" spans="2:36" x14ac:dyDescent="0.25">
      <c r="B38" s="2"/>
      <c r="C38" s="2">
        <v>17</v>
      </c>
      <c r="D38" s="2">
        <v>34</v>
      </c>
      <c r="E38" s="2">
        <v>720</v>
      </c>
      <c r="F38" s="2">
        <f t="shared" si="0"/>
        <v>21132</v>
      </c>
      <c r="G38" s="2">
        <f t="shared" si="1"/>
        <v>880.5</v>
      </c>
      <c r="H38" s="2">
        <f t="shared" si="2"/>
        <v>2.4106776180698151</v>
      </c>
      <c r="I38" s="2">
        <v>1.0401376</v>
      </c>
      <c r="J38" s="3">
        <v>0.53100599999999998</v>
      </c>
      <c r="N38" s="58">
        <v>31</v>
      </c>
      <c r="O38" s="81">
        <f t="shared" si="10"/>
        <v>188.75</v>
      </c>
      <c r="P38" s="87">
        <v>0.87573860000000003</v>
      </c>
      <c r="Q38" s="58"/>
      <c r="R38" s="61">
        <f t="shared" si="11"/>
        <v>188.75</v>
      </c>
      <c r="S38" s="3">
        <v>0.57470279999999996</v>
      </c>
      <c r="T38" s="58"/>
      <c r="U38" s="61">
        <f t="shared" si="12"/>
        <v>188.75</v>
      </c>
      <c r="V38" s="88">
        <v>0.56235639999999998</v>
      </c>
      <c r="W38" s="58">
        <v>31</v>
      </c>
      <c r="X38" s="61">
        <f t="shared" si="13"/>
        <v>188.75</v>
      </c>
      <c r="Y38" s="88">
        <v>1.2512380000000001</v>
      </c>
      <c r="Z38" s="58">
        <v>31</v>
      </c>
      <c r="AA38" s="61">
        <f t="shared" si="14"/>
        <v>188.75</v>
      </c>
      <c r="AB38" s="87">
        <v>1.227695</v>
      </c>
      <c r="AD38" s="64" t="s">
        <v>245</v>
      </c>
      <c r="AE38" s="61">
        <f t="shared" si="9"/>
        <v>195</v>
      </c>
      <c r="AF38" s="25">
        <f t="shared" si="3"/>
        <v>132.56766380376999</v>
      </c>
      <c r="AG38" s="25">
        <f t="shared" si="4"/>
        <v>49.693591988999998</v>
      </c>
      <c r="AH38" s="25">
        <f t="shared" si="5"/>
        <v>23.564528467040002</v>
      </c>
      <c r="AI38" s="37">
        <f t="shared" si="7"/>
        <v>85.88064340439999</v>
      </c>
      <c r="AJ38" s="25">
        <f t="shared" si="8"/>
        <v>80.794059165900009</v>
      </c>
    </row>
    <row r="39" spans="2:36" x14ac:dyDescent="0.25">
      <c r="B39" s="2"/>
      <c r="C39" s="2">
        <v>18</v>
      </c>
      <c r="D39" s="2">
        <v>35</v>
      </c>
      <c r="E39" s="2">
        <v>720</v>
      </c>
      <c r="F39" s="2">
        <f t="shared" si="0"/>
        <v>21852</v>
      </c>
      <c r="G39" s="2">
        <f t="shared" si="1"/>
        <v>910.5</v>
      </c>
      <c r="H39" s="2">
        <f t="shared" si="2"/>
        <v>2.4928131416837784</v>
      </c>
      <c r="I39" s="2">
        <v>1.0378569</v>
      </c>
      <c r="J39" s="3">
        <v>0.53264400000000001</v>
      </c>
      <c r="N39" s="60">
        <v>32</v>
      </c>
      <c r="O39" s="81">
        <f t="shared" si="10"/>
        <v>195</v>
      </c>
      <c r="P39" s="87">
        <v>0.76385289999999995</v>
      </c>
      <c r="Q39" s="60"/>
      <c r="R39" s="61">
        <f t="shared" si="11"/>
        <v>195</v>
      </c>
      <c r="S39" s="3">
        <v>0.48586499999999999</v>
      </c>
      <c r="T39" s="59"/>
      <c r="U39" s="61">
        <f t="shared" si="12"/>
        <v>195</v>
      </c>
      <c r="V39" s="88">
        <v>0.48647240000000003</v>
      </c>
      <c r="W39" s="59">
        <v>32</v>
      </c>
      <c r="X39" s="61">
        <f t="shared" si="13"/>
        <v>195</v>
      </c>
      <c r="Y39" s="88">
        <v>1.1786099999999999</v>
      </c>
      <c r="Z39" s="59">
        <v>32</v>
      </c>
      <c r="AA39" s="61">
        <f t="shared" si="14"/>
        <v>195</v>
      </c>
      <c r="AB39" s="87">
        <v>1.1482950000000001</v>
      </c>
      <c r="AE39" s="61">
        <f t="shared" si="9"/>
        <v>201.25</v>
      </c>
      <c r="AF39" s="25">
        <f t="shared" si="3"/>
        <v>111.97380621881999</v>
      </c>
      <c r="AG39" s="25">
        <f t="shared" si="4"/>
        <v>40.907942071879994</v>
      </c>
      <c r="AH39" s="25">
        <f t="shared" si="5"/>
        <v>19.99716506128</v>
      </c>
      <c r="AI39" s="37">
        <f t="shared" si="7"/>
        <v>77.046291848759992</v>
      </c>
      <c r="AJ39" s="25">
        <f t="shared" si="8"/>
        <v>72.108466497000009</v>
      </c>
    </row>
    <row r="40" spans="2:36" x14ac:dyDescent="0.25">
      <c r="B40" s="2"/>
      <c r="C40" s="2">
        <v>19</v>
      </c>
      <c r="D40" s="2">
        <v>36</v>
      </c>
      <c r="E40" s="2">
        <v>720</v>
      </c>
      <c r="F40" s="2">
        <f t="shared" si="0"/>
        <v>22572</v>
      </c>
      <c r="G40" s="2">
        <f t="shared" si="1"/>
        <v>940.5</v>
      </c>
      <c r="H40" s="2">
        <f t="shared" si="2"/>
        <v>2.5749486652977414</v>
      </c>
      <c r="I40" s="2">
        <v>1.0353406999999999</v>
      </c>
      <c r="J40" s="3">
        <v>0.53441000000000005</v>
      </c>
      <c r="N40" s="58">
        <v>33</v>
      </c>
      <c r="O40" s="81">
        <f t="shared" si="10"/>
        <v>201.25</v>
      </c>
      <c r="P40" s="87">
        <v>0.64519139999999997</v>
      </c>
      <c r="Q40" s="58"/>
      <c r="R40" s="61">
        <f t="shared" si="11"/>
        <v>201.25</v>
      </c>
      <c r="S40" s="3">
        <v>0.39996579999999998</v>
      </c>
      <c r="T40" s="58"/>
      <c r="U40" s="61">
        <f t="shared" si="12"/>
        <v>201.25</v>
      </c>
      <c r="V40" s="88">
        <v>0.41282679999999999</v>
      </c>
      <c r="W40" s="58">
        <v>33</v>
      </c>
      <c r="X40" s="61">
        <f t="shared" si="13"/>
        <v>201.25</v>
      </c>
      <c r="Y40" s="88">
        <v>1.057369</v>
      </c>
      <c r="Z40" s="58">
        <v>33</v>
      </c>
      <c r="AA40" s="61">
        <f t="shared" si="14"/>
        <v>201.25</v>
      </c>
      <c r="AB40" s="87">
        <v>1.02485</v>
      </c>
      <c r="AE40" s="61">
        <f t="shared" si="9"/>
        <v>207.5</v>
      </c>
      <c r="AF40" s="25">
        <f t="shared" si="3"/>
        <v>90.398151574639996</v>
      </c>
      <c r="AG40" s="25">
        <f t="shared" si="4"/>
        <v>32.326787987599999</v>
      </c>
      <c r="AH40" s="25">
        <f t="shared" si="5"/>
        <v>16.28039939724</v>
      </c>
      <c r="AI40" s="37">
        <f t="shared" si="7"/>
        <v>65.003342514552003</v>
      </c>
      <c r="AJ40" s="25">
        <f t="shared" si="8"/>
        <v>60.628898541906011</v>
      </c>
    </row>
    <row r="41" spans="2:36" x14ac:dyDescent="0.25">
      <c r="B41" s="2"/>
      <c r="C41" s="2">
        <v>20</v>
      </c>
      <c r="D41" s="2">
        <v>37</v>
      </c>
      <c r="E41" s="2">
        <v>720</v>
      </c>
      <c r="F41" s="2">
        <f t="shared" si="0"/>
        <v>23292</v>
      </c>
      <c r="G41" s="2">
        <f t="shared" si="1"/>
        <v>970.5</v>
      </c>
      <c r="H41" s="2">
        <f t="shared" si="2"/>
        <v>2.6570841889117043</v>
      </c>
      <c r="I41" s="2">
        <v>1.0330321</v>
      </c>
      <c r="J41" s="3">
        <v>0.53593999999999997</v>
      </c>
      <c r="N41" s="60">
        <v>34</v>
      </c>
      <c r="O41" s="81">
        <f t="shared" si="10"/>
        <v>207.5</v>
      </c>
      <c r="P41" s="87">
        <v>0.52087280000000002</v>
      </c>
      <c r="Q41" s="60"/>
      <c r="R41" s="61">
        <f t="shared" si="11"/>
        <v>207.5</v>
      </c>
      <c r="S41" s="3">
        <v>0.31606600000000001</v>
      </c>
      <c r="T41" s="59"/>
      <c r="U41" s="61">
        <f t="shared" si="12"/>
        <v>207.5</v>
      </c>
      <c r="V41" s="88">
        <v>0.33609689999999998</v>
      </c>
      <c r="W41" s="59">
        <v>34</v>
      </c>
      <c r="X41" s="61">
        <f t="shared" si="13"/>
        <v>207.5</v>
      </c>
      <c r="Y41" s="88">
        <v>0.89209380000000005</v>
      </c>
      <c r="Z41" s="59">
        <v>34</v>
      </c>
      <c r="AA41" s="61">
        <f t="shared" si="14"/>
        <v>207.5</v>
      </c>
      <c r="AB41" s="87">
        <v>0.86169530000000005</v>
      </c>
      <c r="AE41" s="61">
        <f t="shared" si="9"/>
        <v>213.75</v>
      </c>
      <c r="AF41" s="25">
        <f t="shared" si="3"/>
        <v>68.434349448009996</v>
      </c>
      <c r="AG41" s="25">
        <f t="shared" si="4"/>
        <v>23.93312080498</v>
      </c>
      <c r="AH41" s="25">
        <f t="shared" si="5"/>
        <v>12.35679179724</v>
      </c>
      <c r="AI41" s="37">
        <f t="shared" si="7"/>
        <v>50.338775073599997</v>
      </c>
      <c r="AJ41" s="25">
        <f t="shared" si="8"/>
        <v>46.880902434006003</v>
      </c>
    </row>
    <row r="42" spans="2:36" x14ac:dyDescent="0.25">
      <c r="B42" s="2"/>
      <c r="C42" s="2">
        <v>21</v>
      </c>
      <c r="D42" s="2">
        <v>38</v>
      </c>
      <c r="E42" s="2">
        <v>720</v>
      </c>
      <c r="F42" s="2">
        <f t="shared" si="0"/>
        <v>24012</v>
      </c>
      <c r="G42" s="2">
        <f t="shared" si="1"/>
        <v>1000.5</v>
      </c>
      <c r="H42" s="2">
        <f t="shared" si="2"/>
        <v>2.7392197125256672</v>
      </c>
      <c r="I42" s="2">
        <v>1.0311634999999999</v>
      </c>
      <c r="J42" s="3">
        <v>0.53699799999999998</v>
      </c>
      <c r="N42" s="58">
        <v>35</v>
      </c>
      <c r="O42" s="81">
        <f t="shared" si="10"/>
        <v>213.75</v>
      </c>
      <c r="P42" s="87">
        <v>0.39431769999999999</v>
      </c>
      <c r="Q42" s="58"/>
      <c r="R42" s="61">
        <f t="shared" si="11"/>
        <v>213.75</v>
      </c>
      <c r="S42" s="3">
        <v>0.23399929999999999</v>
      </c>
      <c r="T42" s="58"/>
      <c r="U42" s="61">
        <f t="shared" si="12"/>
        <v>213.75</v>
      </c>
      <c r="V42" s="88">
        <v>0.25509690000000002</v>
      </c>
      <c r="W42" s="58">
        <v>35</v>
      </c>
      <c r="X42" s="61">
        <f t="shared" si="13"/>
        <v>213.75</v>
      </c>
      <c r="Y42" s="88">
        <v>0.69084000000000001</v>
      </c>
      <c r="Z42" s="58">
        <v>35</v>
      </c>
      <c r="AA42" s="61">
        <f t="shared" si="14"/>
        <v>213.75</v>
      </c>
      <c r="AB42" s="87">
        <v>0.66630029999999996</v>
      </c>
      <c r="AE42" s="61">
        <f t="shared" si="9"/>
        <v>220</v>
      </c>
      <c r="AF42" s="25">
        <f t="shared" si="3"/>
        <v>53.094861601339993</v>
      </c>
      <c r="AG42" s="25">
        <f t="shared" si="4"/>
        <v>17.593085176039999</v>
      </c>
      <c r="AH42" s="25">
        <f t="shared" si="5"/>
        <v>9.0627633663600005</v>
      </c>
      <c r="AI42" s="37">
        <f t="shared" si="7"/>
        <v>36.545459586324</v>
      </c>
      <c r="AJ42" s="25">
        <f t="shared" si="8"/>
        <v>34.112754036630008</v>
      </c>
    </row>
    <row r="43" spans="2:36" x14ac:dyDescent="0.25">
      <c r="B43" s="2"/>
      <c r="C43" s="2">
        <v>22</v>
      </c>
      <c r="D43" s="2">
        <v>39</v>
      </c>
      <c r="E43" s="2">
        <v>720</v>
      </c>
      <c r="F43" s="2">
        <f t="shared" si="0"/>
        <v>24732</v>
      </c>
      <c r="G43" s="2">
        <f t="shared" si="1"/>
        <v>1030.5</v>
      </c>
      <c r="H43" s="2">
        <f t="shared" si="2"/>
        <v>2.8213552361396306</v>
      </c>
      <c r="I43" s="4">
        <v>1.0291526</v>
      </c>
      <c r="J43" s="3">
        <v>0.53817300000000001</v>
      </c>
      <c r="N43" s="60">
        <v>36</v>
      </c>
      <c r="O43" s="81">
        <f t="shared" si="10"/>
        <v>220</v>
      </c>
      <c r="P43" s="87">
        <v>0.30593179999999998</v>
      </c>
      <c r="Q43" s="60"/>
      <c r="R43" s="61">
        <f t="shared" si="11"/>
        <v>220</v>
      </c>
      <c r="S43" s="3">
        <v>0.17201140000000001</v>
      </c>
      <c r="T43" s="59"/>
      <c r="U43" s="61">
        <f t="shared" si="12"/>
        <v>220</v>
      </c>
      <c r="V43" s="88">
        <v>0.18709410000000001</v>
      </c>
      <c r="W43" s="59">
        <v>36</v>
      </c>
      <c r="X43" s="61">
        <f t="shared" si="13"/>
        <v>220</v>
      </c>
      <c r="Y43" s="88">
        <v>0.50154310000000002</v>
      </c>
      <c r="Z43" s="59">
        <v>36</v>
      </c>
      <c r="AA43" s="61">
        <f t="shared" si="14"/>
        <v>220</v>
      </c>
      <c r="AB43" s="87">
        <v>0.48483150000000003</v>
      </c>
      <c r="AE43" s="61">
        <f>AE42+5.2376</f>
        <v>225.23759999999999</v>
      </c>
      <c r="AF43" s="25">
        <f t="shared" si="3"/>
        <v>0</v>
      </c>
      <c r="AG43" s="25">
        <f t="shared" si="4"/>
        <v>0</v>
      </c>
      <c r="AH43" s="25">
        <f t="shared" si="5"/>
        <v>0</v>
      </c>
      <c r="AI43" s="37">
        <f t="shared" si="7"/>
        <v>0</v>
      </c>
      <c r="AJ43" s="25">
        <f t="shared" si="8"/>
        <v>0</v>
      </c>
    </row>
    <row r="44" spans="2:36" x14ac:dyDescent="0.25">
      <c r="B44" s="2"/>
      <c r="C44" s="2">
        <v>23</v>
      </c>
      <c r="D44" s="2">
        <v>40</v>
      </c>
      <c r="E44" s="2">
        <v>720</v>
      </c>
      <c r="F44" s="2">
        <f t="shared" si="0"/>
        <v>25452</v>
      </c>
      <c r="G44" s="2">
        <f t="shared" si="1"/>
        <v>1060.5</v>
      </c>
      <c r="H44" s="2">
        <f t="shared" si="2"/>
        <v>2.9034907597535935</v>
      </c>
      <c r="I44" s="2">
        <v>1.0268739</v>
      </c>
      <c r="J44" s="3">
        <v>0.53965399999999997</v>
      </c>
      <c r="N44" s="58">
        <v>37</v>
      </c>
      <c r="O44" s="81">
        <f>O43+5.2376</f>
        <v>225.23759999999999</v>
      </c>
      <c r="P44" s="87">
        <v>0</v>
      </c>
      <c r="Q44" s="58"/>
      <c r="R44" s="61">
        <f>R43+5.2376</f>
        <v>225.23759999999999</v>
      </c>
      <c r="S44" s="3">
        <v>0</v>
      </c>
      <c r="T44" s="58"/>
      <c r="U44" s="61">
        <f>U43+5.2376</f>
        <v>225.23759999999999</v>
      </c>
      <c r="V44" s="88">
        <v>0</v>
      </c>
      <c r="W44" s="58">
        <v>37</v>
      </c>
      <c r="X44" s="61">
        <f>X43+5.2376</f>
        <v>225.23759999999999</v>
      </c>
      <c r="Y44" s="88">
        <v>0</v>
      </c>
      <c r="Z44" s="58">
        <v>37</v>
      </c>
      <c r="AA44" s="61">
        <f>AA43+5.2376</f>
        <v>225.23759999999999</v>
      </c>
      <c r="AB44" s="87">
        <v>0</v>
      </c>
      <c r="AE44" s="61">
        <f>AE43+(14.7624/2)</f>
        <v>232.61879999999999</v>
      </c>
      <c r="AF44" s="25">
        <f t="shared" si="3"/>
        <v>0</v>
      </c>
      <c r="AG44" s="25">
        <f t="shared" si="4"/>
        <v>0</v>
      </c>
      <c r="AH44" s="25">
        <f t="shared" si="5"/>
        <v>0</v>
      </c>
      <c r="AI44" s="37">
        <f t="shared" si="7"/>
        <v>0</v>
      </c>
      <c r="AJ44" s="25">
        <f t="shared" si="8"/>
        <v>0</v>
      </c>
    </row>
    <row r="45" spans="2:36" x14ac:dyDescent="0.25">
      <c r="B45" s="2" t="s">
        <v>225</v>
      </c>
      <c r="C45" s="2">
        <v>24</v>
      </c>
      <c r="D45" s="2">
        <v>41</v>
      </c>
      <c r="E45" s="2">
        <v>846</v>
      </c>
      <c r="F45" s="2">
        <f t="shared" si="0"/>
        <v>26298</v>
      </c>
      <c r="G45" s="2">
        <f t="shared" si="1"/>
        <v>1095.75</v>
      </c>
      <c r="H45" s="2">
        <f t="shared" si="2"/>
        <v>3</v>
      </c>
      <c r="I45" s="2">
        <v>1.0250367</v>
      </c>
      <c r="J45" s="3">
        <v>0.54067100000000001</v>
      </c>
      <c r="N45" s="60">
        <v>38</v>
      </c>
      <c r="O45" s="81">
        <f>O44+(14.7624/2)</f>
        <v>232.61879999999999</v>
      </c>
      <c r="P45" s="87">
        <v>0</v>
      </c>
      <c r="Q45" s="84"/>
      <c r="R45" s="61">
        <f>R44+(14.7624/2)</f>
        <v>232.61879999999999</v>
      </c>
      <c r="S45" s="3">
        <v>0</v>
      </c>
      <c r="T45" s="59"/>
      <c r="U45" s="61">
        <f>U44+(14.7624/2)</f>
        <v>232.61879999999999</v>
      </c>
      <c r="V45" s="88">
        <v>0</v>
      </c>
      <c r="W45" s="59">
        <v>38</v>
      </c>
      <c r="X45" s="61">
        <f>X44+(14.7624/2)</f>
        <v>232.61879999999999</v>
      </c>
      <c r="Y45" s="88">
        <v>0</v>
      </c>
      <c r="Z45" s="59">
        <v>38</v>
      </c>
      <c r="AA45" s="61">
        <f>AA44+(14.7624/2)</f>
        <v>232.61879999999999</v>
      </c>
      <c r="AB45" s="87">
        <v>0</v>
      </c>
      <c r="AE45" s="2">
        <f>AE43+14.7624</f>
        <v>240</v>
      </c>
      <c r="AF45" s="25">
        <f t="shared" si="3"/>
        <v>0</v>
      </c>
      <c r="AG45" s="25">
        <f t="shared" si="4"/>
        <v>0</v>
      </c>
      <c r="AH45" s="25">
        <f t="shared" si="5"/>
        <v>0</v>
      </c>
      <c r="AI45" s="37">
        <f t="shared" si="7"/>
        <v>0</v>
      </c>
      <c r="AJ45" s="25">
        <f t="shared" si="8"/>
        <v>0</v>
      </c>
    </row>
    <row r="46" spans="2:36" x14ac:dyDescent="0.25">
      <c r="B46" s="2"/>
      <c r="C46" s="2">
        <v>1</v>
      </c>
      <c r="D46" s="2">
        <v>42</v>
      </c>
      <c r="E46" s="2">
        <v>720</v>
      </c>
      <c r="F46" s="2">
        <f t="shared" si="0"/>
        <v>27018</v>
      </c>
      <c r="G46" s="2">
        <f t="shared" si="1"/>
        <v>1125.75</v>
      </c>
      <c r="H46" s="2">
        <f t="shared" si="2"/>
        <v>3.0821355236139629</v>
      </c>
      <c r="I46" s="2">
        <v>1.0250587</v>
      </c>
      <c r="J46" s="3">
        <v>0.54073499999999997</v>
      </c>
      <c r="K46" t="s">
        <v>231</v>
      </c>
      <c r="N46" s="59">
        <v>39</v>
      </c>
      <c r="O46" s="80">
        <f>O44+14.7624</f>
        <v>240</v>
      </c>
      <c r="P46" s="87">
        <v>0</v>
      </c>
      <c r="Q46" s="59"/>
      <c r="R46" s="2">
        <f>R44+14.7624</f>
        <v>240</v>
      </c>
      <c r="S46" s="3">
        <v>0</v>
      </c>
      <c r="T46" s="59"/>
      <c r="U46" s="2">
        <f>U44+14.7624</f>
        <v>240</v>
      </c>
      <c r="V46" s="88">
        <v>0</v>
      </c>
      <c r="W46" s="59">
        <v>39</v>
      </c>
      <c r="X46" s="2">
        <f>X44+14.7624</f>
        <v>240</v>
      </c>
      <c r="Y46" s="88">
        <v>0</v>
      </c>
      <c r="Z46" s="59">
        <v>39</v>
      </c>
      <c r="AA46" s="2">
        <f>AA44+14.7624</f>
        <v>240</v>
      </c>
      <c r="AB46" s="87">
        <v>0</v>
      </c>
    </row>
    <row r="47" spans="2:36" x14ac:dyDescent="0.25">
      <c r="B47" s="2"/>
      <c r="C47" s="2">
        <v>2</v>
      </c>
      <c r="D47" s="2">
        <v>43</v>
      </c>
      <c r="E47" s="2">
        <v>720</v>
      </c>
      <c r="F47" s="2">
        <f t="shared" si="0"/>
        <v>27738</v>
      </c>
      <c r="G47" s="2">
        <f t="shared" si="1"/>
        <v>1155.75</v>
      </c>
      <c r="H47" s="2">
        <f t="shared" si="2"/>
        <v>3.1642710472279263</v>
      </c>
      <c r="I47" s="2">
        <v>1.0225519000000001</v>
      </c>
      <c r="J47" s="54">
        <v>0.54238299999999995</v>
      </c>
      <c r="P47" s="82"/>
    </row>
    <row r="48" spans="2:36" x14ac:dyDescent="0.25">
      <c r="B48" s="2"/>
      <c r="C48" s="2">
        <v>3</v>
      </c>
      <c r="D48" s="2">
        <v>44</v>
      </c>
      <c r="E48" s="2">
        <v>720</v>
      </c>
      <c r="F48" s="2">
        <f t="shared" si="0"/>
        <v>28458</v>
      </c>
      <c r="G48" s="2">
        <f t="shared" si="1"/>
        <v>1185.75</v>
      </c>
      <c r="H48" s="2">
        <f t="shared" si="2"/>
        <v>3.2464065708418892</v>
      </c>
      <c r="I48" s="2">
        <v>1.020472</v>
      </c>
      <c r="J48" s="3">
        <v>0.54359900000000005</v>
      </c>
    </row>
    <row r="49" spans="2:10" x14ac:dyDescent="0.25">
      <c r="B49" s="2"/>
      <c r="C49" s="2">
        <v>4</v>
      </c>
      <c r="D49" s="2">
        <v>45</v>
      </c>
      <c r="E49" s="2">
        <v>720</v>
      </c>
      <c r="F49" s="2">
        <f t="shared" si="0"/>
        <v>29178</v>
      </c>
      <c r="G49" s="2">
        <f t="shared" si="1"/>
        <v>1215.75</v>
      </c>
      <c r="H49" s="2">
        <f t="shared" si="2"/>
        <v>3.3285420944558521</v>
      </c>
      <c r="I49" s="2">
        <v>1.0181636000000001</v>
      </c>
      <c r="J49" s="3">
        <v>0.54525100000000004</v>
      </c>
    </row>
    <row r="50" spans="2:10" x14ac:dyDescent="0.25">
      <c r="B50" s="2"/>
      <c r="C50" s="2">
        <v>5</v>
      </c>
      <c r="D50" s="2">
        <v>46</v>
      </c>
      <c r="E50" s="2">
        <v>720</v>
      </c>
      <c r="F50" s="2">
        <f t="shared" si="0"/>
        <v>29898</v>
      </c>
      <c r="G50" s="2">
        <f t="shared" si="1"/>
        <v>1245.75</v>
      </c>
      <c r="H50" s="2">
        <f t="shared" si="2"/>
        <v>3.4106776180698151</v>
      </c>
      <c r="I50" s="2">
        <v>1.0158895999999999</v>
      </c>
      <c r="J50" s="3">
        <v>0.54680399999999996</v>
      </c>
    </row>
    <row r="51" spans="2:10" x14ac:dyDescent="0.25">
      <c r="B51" s="2"/>
      <c r="C51" s="2">
        <v>6</v>
      </c>
      <c r="D51" s="2">
        <v>47</v>
      </c>
      <c r="E51" s="2">
        <v>720</v>
      </c>
      <c r="F51" s="2">
        <f t="shared" si="0"/>
        <v>30618</v>
      </c>
      <c r="G51" s="2">
        <f t="shared" si="1"/>
        <v>1275.75</v>
      </c>
      <c r="H51" s="2">
        <f t="shared" si="2"/>
        <v>3.4928131416837784</v>
      </c>
      <c r="I51" s="2">
        <v>1.0137388000000001</v>
      </c>
      <c r="J51" s="3">
        <v>0.54811500000000002</v>
      </c>
    </row>
    <row r="52" spans="2:10" x14ac:dyDescent="0.25">
      <c r="B52" s="2"/>
      <c r="C52" s="2">
        <v>7</v>
      </c>
      <c r="D52" s="2">
        <v>48</v>
      </c>
      <c r="E52" s="2">
        <v>720</v>
      </c>
      <c r="F52" s="2">
        <f t="shared" si="0"/>
        <v>31338</v>
      </c>
      <c r="G52" s="2">
        <f t="shared" si="1"/>
        <v>1305.75</v>
      </c>
      <c r="H52" s="2">
        <f t="shared" si="2"/>
        <v>3.5749486652977414</v>
      </c>
      <c r="I52" s="2">
        <v>1.0113713</v>
      </c>
      <c r="J52" s="3">
        <v>0.54981800000000003</v>
      </c>
    </row>
    <row r="53" spans="2:10" x14ac:dyDescent="0.25">
      <c r="B53" s="2"/>
      <c r="C53" s="2">
        <v>8</v>
      </c>
      <c r="D53" s="2">
        <v>49</v>
      </c>
      <c r="E53" s="2">
        <v>720</v>
      </c>
      <c r="F53" s="2">
        <f t="shared" si="0"/>
        <v>32058</v>
      </c>
      <c r="G53" s="2">
        <f t="shared" si="1"/>
        <v>1335.75</v>
      </c>
      <c r="H53" s="2">
        <f t="shared" si="2"/>
        <v>3.6570841889117043</v>
      </c>
      <c r="I53" s="2">
        <v>1.0090014</v>
      </c>
      <c r="J53" s="3">
        <v>0.55155299999999996</v>
      </c>
    </row>
    <row r="54" spans="2:10" x14ac:dyDescent="0.25">
      <c r="B54" s="2"/>
      <c r="C54" s="2">
        <v>9</v>
      </c>
      <c r="D54" s="2">
        <v>50</v>
      </c>
      <c r="E54" s="2">
        <v>720</v>
      </c>
      <c r="F54" s="2">
        <f t="shared" si="0"/>
        <v>32778</v>
      </c>
      <c r="G54" s="2">
        <f t="shared" si="1"/>
        <v>1365.75</v>
      </c>
      <c r="H54" s="2">
        <f t="shared" si="2"/>
        <v>3.7392197125256672</v>
      </c>
      <c r="I54" s="2">
        <v>1.0065010000000001</v>
      </c>
      <c r="J54" s="3">
        <v>0.55346099999999998</v>
      </c>
    </row>
    <row r="55" spans="2:10" x14ac:dyDescent="0.25">
      <c r="B55" s="2"/>
      <c r="C55" s="2">
        <v>10</v>
      </c>
      <c r="D55" s="2">
        <v>51</v>
      </c>
      <c r="E55" s="2">
        <v>720</v>
      </c>
      <c r="F55" s="2">
        <f t="shared" si="0"/>
        <v>33498</v>
      </c>
      <c r="G55" s="2">
        <f t="shared" si="1"/>
        <v>1395.75</v>
      </c>
      <c r="H55" s="2">
        <f t="shared" si="2"/>
        <v>3.8213552361396306</v>
      </c>
      <c r="I55" s="2">
        <v>1.0039393000000001</v>
      </c>
      <c r="J55" s="3">
        <v>0.55540800000000001</v>
      </c>
    </row>
    <row r="56" spans="2:10" x14ac:dyDescent="0.25">
      <c r="B56" s="2"/>
      <c r="C56" s="2">
        <v>11</v>
      </c>
      <c r="D56" s="2">
        <v>52</v>
      </c>
      <c r="E56" s="2">
        <v>720</v>
      </c>
      <c r="F56" s="2">
        <f t="shared" si="0"/>
        <v>34218</v>
      </c>
      <c r="G56" s="2">
        <f t="shared" si="1"/>
        <v>1425.75</v>
      </c>
      <c r="H56" s="2">
        <f t="shared" si="2"/>
        <v>3.9034907597535935</v>
      </c>
      <c r="I56" s="30">
        <v>1.0015129</v>
      </c>
      <c r="J56" s="3">
        <v>0.55720800000000004</v>
      </c>
    </row>
    <row r="57" spans="2:10" x14ac:dyDescent="0.25">
      <c r="B57" s="2"/>
      <c r="C57" s="2">
        <v>12</v>
      </c>
      <c r="D57" s="2">
        <v>53</v>
      </c>
      <c r="E57" s="2">
        <v>846</v>
      </c>
      <c r="F57" s="2">
        <f t="shared" si="0"/>
        <v>35064</v>
      </c>
      <c r="G57" s="2">
        <f t="shared" si="1"/>
        <v>1461</v>
      </c>
      <c r="H57" s="2">
        <f t="shared" si="2"/>
        <v>4</v>
      </c>
      <c r="I57" s="2">
        <v>0.99908710000000001</v>
      </c>
      <c r="J57" s="3">
        <v>0.55902200000000002</v>
      </c>
    </row>
    <row r="58" spans="2:10" x14ac:dyDescent="0.25">
      <c r="B58" s="2"/>
      <c r="C58" s="2">
        <v>13</v>
      </c>
      <c r="D58" s="2">
        <v>54</v>
      </c>
      <c r="E58" s="2">
        <v>720</v>
      </c>
      <c r="F58" s="2">
        <f t="shared" si="0"/>
        <v>35784</v>
      </c>
      <c r="G58" s="2">
        <f t="shared" si="1"/>
        <v>1491</v>
      </c>
      <c r="H58" s="2">
        <f t="shared" si="2"/>
        <v>4.0821355236139629</v>
      </c>
      <c r="I58" s="2">
        <v>0.99624159999999995</v>
      </c>
      <c r="J58" s="3">
        <v>0.56111</v>
      </c>
    </row>
    <row r="59" spans="2:10" x14ac:dyDescent="0.25">
      <c r="B59" s="2"/>
      <c r="C59" s="2">
        <v>14</v>
      </c>
      <c r="D59" s="2">
        <v>55</v>
      </c>
      <c r="E59" s="2">
        <v>720</v>
      </c>
      <c r="F59" s="2">
        <f t="shared" si="0"/>
        <v>36504</v>
      </c>
      <c r="G59" s="2">
        <f t="shared" si="1"/>
        <v>1521</v>
      </c>
      <c r="H59" s="2">
        <f t="shared" si="2"/>
        <v>4.1642710472279258</v>
      </c>
      <c r="I59" s="2">
        <v>0.9936526</v>
      </c>
      <c r="J59" s="3">
        <v>0.56318699999999999</v>
      </c>
    </row>
    <row r="60" spans="2:10" x14ac:dyDescent="0.25">
      <c r="B60" s="2"/>
      <c r="C60" s="2">
        <v>15</v>
      </c>
      <c r="D60" s="2">
        <v>56</v>
      </c>
      <c r="E60" s="2">
        <v>720</v>
      </c>
      <c r="F60" s="2">
        <f t="shared" si="0"/>
        <v>37224</v>
      </c>
      <c r="G60" s="2">
        <f t="shared" si="1"/>
        <v>1551</v>
      </c>
      <c r="H60" s="2">
        <f t="shared" si="2"/>
        <v>4.2464065708418888</v>
      </c>
      <c r="I60" s="2">
        <v>0.99117449999999996</v>
      </c>
      <c r="J60" s="3">
        <v>0.56511199999999995</v>
      </c>
    </row>
    <row r="61" spans="2:10" x14ac:dyDescent="0.25">
      <c r="B61" s="2"/>
      <c r="C61" s="2">
        <v>16</v>
      </c>
      <c r="D61" s="2">
        <v>57</v>
      </c>
      <c r="E61" s="2">
        <v>720</v>
      </c>
      <c r="F61" s="2">
        <f t="shared" si="0"/>
        <v>37944</v>
      </c>
      <c r="G61" s="2">
        <f t="shared" si="1"/>
        <v>1581</v>
      </c>
      <c r="H61" s="2">
        <f t="shared" si="2"/>
        <v>4.3285420944558526</v>
      </c>
      <c r="I61" s="2">
        <v>0.9884406</v>
      </c>
      <c r="J61" s="3">
        <v>0.56748900000000002</v>
      </c>
    </row>
    <row r="62" spans="2:10" x14ac:dyDescent="0.25">
      <c r="B62" s="2"/>
      <c r="C62" s="2">
        <v>17</v>
      </c>
      <c r="D62" s="2">
        <v>58</v>
      </c>
      <c r="E62" s="2">
        <v>720</v>
      </c>
      <c r="F62" s="2">
        <f t="shared" si="0"/>
        <v>38664</v>
      </c>
      <c r="G62" s="2">
        <f t="shared" si="1"/>
        <v>1611</v>
      </c>
      <c r="H62" s="2">
        <f t="shared" si="2"/>
        <v>4.4106776180698155</v>
      </c>
      <c r="I62" s="2">
        <v>0.98535010000000001</v>
      </c>
      <c r="J62" s="3">
        <v>0.57041500000000001</v>
      </c>
    </row>
    <row r="63" spans="2:10" x14ac:dyDescent="0.25">
      <c r="B63" s="2"/>
      <c r="C63" s="2">
        <v>18</v>
      </c>
      <c r="D63" s="2">
        <v>59</v>
      </c>
      <c r="E63" s="2">
        <v>720</v>
      </c>
      <c r="F63" s="2">
        <f t="shared" si="0"/>
        <v>39384</v>
      </c>
      <c r="G63" s="2">
        <f t="shared" si="1"/>
        <v>1641</v>
      </c>
      <c r="H63" s="2">
        <f t="shared" si="2"/>
        <v>4.4928131416837784</v>
      </c>
      <c r="I63" s="2">
        <v>0.98233159999999997</v>
      </c>
      <c r="J63" s="3">
        <v>0.573237</v>
      </c>
    </row>
    <row r="64" spans="2:10" x14ac:dyDescent="0.25">
      <c r="B64" s="2"/>
      <c r="C64" s="2">
        <v>19</v>
      </c>
      <c r="D64" s="2">
        <v>60</v>
      </c>
      <c r="E64" s="2">
        <v>720</v>
      </c>
      <c r="F64" s="2">
        <f t="shared" si="0"/>
        <v>40104</v>
      </c>
      <c r="G64" s="2">
        <f t="shared" si="1"/>
        <v>1671</v>
      </c>
      <c r="H64" s="2">
        <f t="shared" si="2"/>
        <v>4.5749486652977414</v>
      </c>
      <c r="I64" s="2">
        <v>0.97935530000000004</v>
      </c>
      <c r="J64" s="3">
        <v>0.57601400000000003</v>
      </c>
    </row>
    <row r="65" spans="2:10" x14ac:dyDescent="0.25">
      <c r="B65" s="2"/>
      <c r="C65" s="2">
        <v>20</v>
      </c>
      <c r="D65" s="2">
        <v>61</v>
      </c>
      <c r="E65" s="2">
        <v>720</v>
      </c>
      <c r="F65" s="2">
        <f t="shared" si="0"/>
        <v>40824</v>
      </c>
      <c r="G65" s="2">
        <f t="shared" si="1"/>
        <v>1701</v>
      </c>
      <c r="H65" s="2">
        <f t="shared" si="2"/>
        <v>4.6570841889117043</v>
      </c>
      <c r="I65" s="2">
        <v>0.97600469999999995</v>
      </c>
      <c r="J65" s="3">
        <v>0.57943999999999996</v>
      </c>
    </row>
    <row r="66" spans="2:10" x14ac:dyDescent="0.25">
      <c r="B66" s="2"/>
      <c r="C66" s="2">
        <v>21</v>
      </c>
      <c r="D66" s="2">
        <v>62</v>
      </c>
      <c r="E66" s="2">
        <v>720</v>
      </c>
      <c r="F66" s="2">
        <f t="shared" si="0"/>
        <v>41544</v>
      </c>
      <c r="G66" s="2">
        <f t="shared" si="1"/>
        <v>1731</v>
      </c>
      <c r="H66" s="2">
        <f t="shared" si="2"/>
        <v>4.7392197125256672</v>
      </c>
      <c r="I66" s="2">
        <v>0.97261629999999999</v>
      </c>
      <c r="J66" s="3">
        <v>0.58291999999999999</v>
      </c>
    </row>
    <row r="67" spans="2:10" x14ac:dyDescent="0.25">
      <c r="B67" s="2"/>
      <c r="C67" s="2">
        <v>22</v>
      </c>
      <c r="D67" s="2">
        <v>63</v>
      </c>
      <c r="E67" s="2">
        <v>720</v>
      </c>
      <c r="F67" s="2">
        <f t="shared" si="0"/>
        <v>42264</v>
      </c>
      <c r="G67" s="2">
        <f t="shared" si="1"/>
        <v>1761</v>
      </c>
      <c r="H67" s="2">
        <f t="shared" si="2"/>
        <v>4.8213552361396301</v>
      </c>
      <c r="I67" s="2">
        <v>0.96926179999999995</v>
      </c>
      <c r="J67" s="3">
        <v>0.58638599999999996</v>
      </c>
    </row>
    <row r="68" spans="2:10" x14ac:dyDescent="0.25">
      <c r="B68" s="2"/>
      <c r="C68" s="2">
        <v>23</v>
      </c>
      <c r="D68" s="2">
        <v>64</v>
      </c>
      <c r="E68" s="2">
        <v>720</v>
      </c>
      <c r="F68" s="2">
        <f t="shared" si="0"/>
        <v>42984</v>
      </c>
      <c r="G68" s="2">
        <f t="shared" si="1"/>
        <v>1791</v>
      </c>
      <c r="H68" s="2">
        <f t="shared" si="2"/>
        <v>4.9034907597535931</v>
      </c>
      <c r="I68" s="2">
        <v>0.96584119999999996</v>
      </c>
      <c r="J68" s="3">
        <v>0.58995399999999998</v>
      </c>
    </row>
    <row r="69" spans="2:10" x14ac:dyDescent="0.25">
      <c r="B69" s="2" t="s">
        <v>226</v>
      </c>
      <c r="C69" s="2">
        <v>24</v>
      </c>
      <c r="D69" s="2">
        <v>65</v>
      </c>
      <c r="E69" s="2">
        <v>846</v>
      </c>
      <c r="F69" s="2">
        <f>F68+E69</f>
        <v>43830</v>
      </c>
      <c r="G69" s="2">
        <f t="shared" si="1"/>
        <v>1826.25</v>
      </c>
      <c r="H69" s="2">
        <f t="shared" si="2"/>
        <v>5</v>
      </c>
      <c r="I69" s="2">
        <v>0.96243809999999996</v>
      </c>
      <c r="J69" s="3">
        <v>0.59353400000000001</v>
      </c>
    </row>
    <row r="70" spans="2:10" x14ac:dyDescent="0.25">
      <c r="B70" s="2"/>
      <c r="C70" s="2">
        <v>1</v>
      </c>
      <c r="D70" s="2">
        <v>42</v>
      </c>
      <c r="E70" s="2">
        <v>720</v>
      </c>
      <c r="F70" s="2">
        <f t="shared" ref="F70:F93" si="15">F69+E70</f>
        <v>44550</v>
      </c>
      <c r="G70" s="2">
        <f t="shared" si="1"/>
        <v>1856.25</v>
      </c>
      <c r="H70" s="2">
        <f t="shared" si="2"/>
        <v>5.0821355236139629</v>
      </c>
      <c r="I70" s="2">
        <v>0.9624066</v>
      </c>
      <c r="J70" s="3">
        <v>0.59353800000000001</v>
      </c>
    </row>
    <row r="71" spans="2:10" x14ac:dyDescent="0.25">
      <c r="B71" s="2"/>
      <c r="C71" s="2">
        <v>2</v>
      </c>
      <c r="D71" s="2">
        <v>43</v>
      </c>
      <c r="E71" s="2">
        <v>720</v>
      </c>
      <c r="F71" s="2">
        <f t="shared" si="15"/>
        <v>45270</v>
      </c>
      <c r="G71" s="2">
        <f t="shared" ref="G71:G93" si="16">F71/24</f>
        <v>1886.25</v>
      </c>
      <c r="H71" s="2">
        <f t="shared" ref="H71:H93" si="17">G71/365.25</f>
        <v>5.1642710472279258</v>
      </c>
      <c r="I71" s="2">
        <v>0.95904140000000004</v>
      </c>
      <c r="J71" s="3">
        <v>0.59712299999999996</v>
      </c>
    </row>
    <row r="72" spans="2:10" x14ac:dyDescent="0.25">
      <c r="B72" s="2"/>
      <c r="C72" s="2">
        <v>3</v>
      </c>
      <c r="D72" s="2">
        <v>44</v>
      </c>
      <c r="E72" s="2">
        <v>720</v>
      </c>
      <c r="F72" s="2">
        <f t="shared" si="15"/>
        <v>45990</v>
      </c>
      <c r="G72" s="2">
        <f t="shared" si="16"/>
        <v>1916.25</v>
      </c>
      <c r="H72" s="2">
        <f t="shared" si="17"/>
        <v>5.2464065708418888</v>
      </c>
      <c r="I72" s="2">
        <v>0.95571200000000001</v>
      </c>
      <c r="J72" s="3">
        <v>0.60065900000000005</v>
      </c>
    </row>
    <row r="73" spans="2:10" x14ac:dyDescent="0.25">
      <c r="B73" s="2"/>
      <c r="C73" s="2">
        <v>4</v>
      </c>
      <c r="D73" s="2">
        <v>45</v>
      </c>
      <c r="E73" s="2">
        <v>720</v>
      </c>
      <c r="F73" s="2">
        <f t="shared" si="15"/>
        <v>46710</v>
      </c>
      <c r="G73" s="2">
        <f t="shared" si="16"/>
        <v>1946.25</v>
      </c>
      <c r="H73" s="2">
        <f t="shared" si="17"/>
        <v>5.3285420944558526</v>
      </c>
      <c r="I73" s="2">
        <v>0.95238210000000001</v>
      </c>
      <c r="J73" s="3">
        <v>0.604186</v>
      </c>
    </row>
    <row r="74" spans="2:10" x14ac:dyDescent="0.25">
      <c r="B74" s="2"/>
      <c r="C74" s="2">
        <v>5</v>
      </c>
      <c r="D74" s="2">
        <v>46</v>
      </c>
      <c r="E74" s="2">
        <v>720</v>
      </c>
      <c r="F74" s="2">
        <f t="shared" si="15"/>
        <v>47430</v>
      </c>
      <c r="G74" s="2">
        <f t="shared" si="16"/>
        <v>1976.25</v>
      </c>
      <c r="H74" s="2">
        <f t="shared" si="17"/>
        <v>5.4106776180698155</v>
      </c>
      <c r="I74" s="2">
        <v>0.94907160000000002</v>
      </c>
      <c r="J74" s="3">
        <v>0.60772099999999996</v>
      </c>
    </row>
    <row r="75" spans="2:10" x14ac:dyDescent="0.25">
      <c r="B75" s="2"/>
      <c r="C75" s="2">
        <v>6</v>
      </c>
      <c r="D75" s="2">
        <v>47</v>
      </c>
      <c r="E75" s="2">
        <v>720</v>
      </c>
      <c r="F75" s="2">
        <f t="shared" si="15"/>
        <v>48150</v>
      </c>
      <c r="G75" s="2">
        <f t="shared" si="16"/>
        <v>2006.25</v>
      </c>
      <c r="H75" s="2">
        <f t="shared" si="17"/>
        <v>5.4928131416837784</v>
      </c>
      <c r="I75" s="2">
        <v>0.94576099999999996</v>
      </c>
      <c r="J75" s="3">
        <v>0.61127299999999996</v>
      </c>
    </row>
    <row r="76" spans="2:10" x14ac:dyDescent="0.25">
      <c r="B76" s="2"/>
      <c r="C76" s="2">
        <v>7</v>
      </c>
      <c r="D76" s="2">
        <v>48</v>
      </c>
      <c r="E76" s="2">
        <v>720</v>
      </c>
      <c r="F76" s="2">
        <f t="shared" si="15"/>
        <v>48870</v>
      </c>
      <c r="G76" s="2">
        <f t="shared" si="16"/>
        <v>2036.25</v>
      </c>
      <c r="H76" s="2">
        <f t="shared" si="17"/>
        <v>5.5749486652977414</v>
      </c>
      <c r="I76" s="2">
        <v>0.94250120000000004</v>
      </c>
      <c r="J76" s="3">
        <v>0.61480299999999999</v>
      </c>
    </row>
    <row r="77" spans="2:10" x14ac:dyDescent="0.25">
      <c r="B77" s="2"/>
      <c r="C77" s="2">
        <v>8</v>
      </c>
      <c r="D77" s="2">
        <v>49</v>
      </c>
      <c r="E77" s="2">
        <v>720</v>
      </c>
      <c r="F77" s="2">
        <f t="shared" si="15"/>
        <v>49590</v>
      </c>
      <c r="G77" s="2">
        <f t="shared" si="16"/>
        <v>2066.25</v>
      </c>
      <c r="H77" s="2">
        <f t="shared" si="17"/>
        <v>5.6570841889117043</v>
      </c>
      <c r="I77" s="2">
        <v>0.93927400000000005</v>
      </c>
      <c r="J77" s="3">
        <v>0.61830799999999997</v>
      </c>
    </row>
    <row r="78" spans="2:10" x14ac:dyDescent="0.25">
      <c r="B78" s="2"/>
      <c r="C78" s="2">
        <v>9</v>
      </c>
      <c r="D78" s="2">
        <v>50</v>
      </c>
      <c r="E78" s="2">
        <v>720</v>
      </c>
      <c r="F78" s="2">
        <f t="shared" si="15"/>
        <v>50310</v>
      </c>
      <c r="G78" s="2">
        <f t="shared" si="16"/>
        <v>2096.25</v>
      </c>
      <c r="H78" s="2">
        <f t="shared" si="17"/>
        <v>5.7392197125256672</v>
      </c>
      <c r="I78" s="2">
        <v>0.93608769999999997</v>
      </c>
      <c r="J78" s="3">
        <v>0.62177899999999997</v>
      </c>
    </row>
    <row r="79" spans="2:10" x14ac:dyDescent="0.25">
      <c r="B79" s="2"/>
      <c r="C79" s="2">
        <v>10</v>
      </c>
      <c r="D79" s="2">
        <v>51</v>
      </c>
      <c r="E79" s="2">
        <v>720</v>
      </c>
      <c r="F79" s="2">
        <f t="shared" si="15"/>
        <v>51030</v>
      </c>
      <c r="G79" s="2">
        <f t="shared" si="16"/>
        <v>2126.25</v>
      </c>
      <c r="H79" s="2">
        <f t="shared" si="17"/>
        <v>5.8213552361396301</v>
      </c>
      <c r="I79" s="2">
        <v>0.93293420000000005</v>
      </c>
      <c r="J79" s="3">
        <v>0.62520299999999995</v>
      </c>
    </row>
    <row r="80" spans="2:10" x14ac:dyDescent="0.25">
      <c r="B80" s="2"/>
      <c r="C80" s="2">
        <v>11</v>
      </c>
      <c r="D80" s="2">
        <v>52</v>
      </c>
      <c r="E80" s="2">
        <v>720</v>
      </c>
      <c r="F80" s="2">
        <f t="shared" si="15"/>
        <v>51750</v>
      </c>
      <c r="G80" s="2">
        <f t="shared" si="16"/>
        <v>2156.25</v>
      </c>
      <c r="H80" s="2">
        <f t="shared" si="17"/>
        <v>5.9034907597535931</v>
      </c>
      <c r="I80" s="2">
        <v>0.92983130000000003</v>
      </c>
      <c r="J80" s="3">
        <v>0.62856500000000004</v>
      </c>
    </row>
    <row r="81" spans="2:10" x14ac:dyDescent="0.25">
      <c r="B81" s="2"/>
      <c r="C81" s="2">
        <v>12</v>
      </c>
      <c r="D81" s="2">
        <v>53</v>
      </c>
      <c r="E81" s="2">
        <v>846</v>
      </c>
      <c r="F81" s="2">
        <f t="shared" si="15"/>
        <v>52596</v>
      </c>
      <c r="G81" s="2">
        <f t="shared" si="16"/>
        <v>2191.5</v>
      </c>
      <c r="H81" s="2">
        <f t="shared" si="17"/>
        <v>6</v>
      </c>
      <c r="I81" s="2">
        <v>0.92673689999999997</v>
      </c>
      <c r="J81" s="3">
        <v>0.63192899999999996</v>
      </c>
    </row>
    <row r="82" spans="2:10" x14ac:dyDescent="0.25">
      <c r="B82" s="2"/>
      <c r="C82" s="2">
        <v>13</v>
      </c>
      <c r="D82" s="2">
        <v>54</v>
      </c>
      <c r="E82" s="2">
        <v>720</v>
      </c>
      <c r="F82" s="2">
        <f t="shared" si="15"/>
        <v>53316</v>
      </c>
      <c r="G82" s="2">
        <f t="shared" si="16"/>
        <v>2221.5</v>
      </c>
      <c r="H82" s="2">
        <f t="shared" si="17"/>
        <v>6.0821355236139629</v>
      </c>
      <c r="I82" s="2">
        <v>0.92312320000000003</v>
      </c>
      <c r="J82" s="3">
        <v>0.63589499999999999</v>
      </c>
    </row>
    <row r="83" spans="2:10" x14ac:dyDescent="0.25">
      <c r="B83" s="2"/>
      <c r="C83" s="2">
        <v>14</v>
      </c>
      <c r="D83" s="2">
        <v>55</v>
      </c>
      <c r="E83" s="2">
        <v>720</v>
      </c>
      <c r="F83" s="2">
        <f t="shared" si="15"/>
        <v>54036</v>
      </c>
      <c r="G83" s="2">
        <f t="shared" si="16"/>
        <v>2251.5</v>
      </c>
      <c r="H83" s="2">
        <f t="shared" si="17"/>
        <v>6.1642710472279258</v>
      </c>
      <c r="I83" s="2">
        <v>0.92004819999999998</v>
      </c>
      <c r="J83" s="3">
        <v>0.63929000000000002</v>
      </c>
    </row>
    <row r="84" spans="2:10" x14ac:dyDescent="0.25">
      <c r="B84" s="2"/>
      <c r="C84" s="2">
        <v>15</v>
      </c>
      <c r="D84" s="2">
        <v>56</v>
      </c>
      <c r="E84" s="2">
        <v>720</v>
      </c>
      <c r="F84" s="2">
        <f t="shared" si="15"/>
        <v>54756</v>
      </c>
      <c r="G84" s="2">
        <f t="shared" si="16"/>
        <v>2281.5</v>
      </c>
      <c r="H84" s="2">
        <f t="shared" si="17"/>
        <v>6.2464065708418888</v>
      </c>
      <c r="I84" s="2">
        <v>0.91699450000000005</v>
      </c>
      <c r="J84" s="3">
        <v>0.64268800000000004</v>
      </c>
    </row>
    <row r="85" spans="2:10" x14ac:dyDescent="0.25">
      <c r="B85" s="2"/>
      <c r="C85" s="2">
        <v>16</v>
      </c>
      <c r="D85" s="2">
        <v>57</v>
      </c>
      <c r="E85" s="2">
        <v>720</v>
      </c>
      <c r="F85" s="2">
        <f t="shared" si="15"/>
        <v>55476</v>
      </c>
      <c r="G85" s="2">
        <f t="shared" si="16"/>
        <v>2311.5</v>
      </c>
      <c r="H85" s="2">
        <f t="shared" si="17"/>
        <v>6.3285420944558526</v>
      </c>
      <c r="I85" s="2">
        <v>0.91396049999999995</v>
      </c>
      <c r="J85" s="3">
        <v>0.64607499999999995</v>
      </c>
    </row>
    <row r="86" spans="2:10" x14ac:dyDescent="0.25">
      <c r="B86" s="2"/>
      <c r="C86" s="2">
        <v>17</v>
      </c>
      <c r="D86" s="2">
        <v>58</v>
      </c>
      <c r="E86" s="2">
        <v>720</v>
      </c>
      <c r="F86" s="2">
        <f t="shared" si="15"/>
        <v>56196</v>
      </c>
      <c r="G86" s="2">
        <f t="shared" si="16"/>
        <v>2341.5</v>
      </c>
      <c r="H86" s="2">
        <f t="shared" si="17"/>
        <v>6.4106776180698155</v>
      </c>
      <c r="I86" s="2">
        <v>0.91094560000000002</v>
      </c>
      <c r="J86" s="3">
        <v>0.64944400000000002</v>
      </c>
    </row>
    <row r="87" spans="2:10" x14ac:dyDescent="0.25">
      <c r="B87" s="2"/>
      <c r="C87" s="2">
        <v>18</v>
      </c>
      <c r="D87" s="2">
        <v>59</v>
      </c>
      <c r="E87" s="2">
        <v>720</v>
      </c>
      <c r="F87" s="2">
        <f t="shared" si="15"/>
        <v>56916</v>
      </c>
      <c r="G87" s="2">
        <f t="shared" si="16"/>
        <v>2371.5</v>
      </c>
      <c r="H87" s="2">
        <f t="shared" si="17"/>
        <v>6.4928131416837784</v>
      </c>
      <c r="I87" s="2">
        <v>0.90795170000000003</v>
      </c>
      <c r="J87" s="3">
        <v>0.65278599999999998</v>
      </c>
    </row>
    <row r="88" spans="2:10" x14ac:dyDescent="0.25">
      <c r="B88" s="2"/>
      <c r="C88" s="2">
        <v>19</v>
      </c>
      <c r="D88" s="2">
        <v>60</v>
      </c>
      <c r="E88" s="2">
        <v>720</v>
      </c>
      <c r="F88" s="2">
        <f t="shared" si="15"/>
        <v>57636</v>
      </c>
      <c r="G88" s="2">
        <f t="shared" si="16"/>
        <v>2401.5</v>
      </c>
      <c r="H88" s="2">
        <f t="shared" si="17"/>
        <v>6.5749486652977414</v>
      </c>
      <c r="I88" s="2">
        <v>0.90496719999999997</v>
      </c>
      <c r="J88" s="3">
        <v>0.65614099999999997</v>
      </c>
    </row>
    <row r="89" spans="2:10" x14ac:dyDescent="0.25">
      <c r="B89" s="2"/>
      <c r="C89" s="2">
        <v>20</v>
      </c>
      <c r="D89" s="2">
        <v>61</v>
      </c>
      <c r="E89" s="2">
        <v>720</v>
      </c>
      <c r="F89" s="2">
        <f t="shared" si="15"/>
        <v>58356</v>
      </c>
      <c r="G89" s="2">
        <f t="shared" si="16"/>
        <v>2431.5</v>
      </c>
      <c r="H89" s="2">
        <f t="shared" si="17"/>
        <v>6.6570841889117043</v>
      </c>
      <c r="I89" s="2">
        <v>0.90201229999999999</v>
      </c>
      <c r="J89" s="3">
        <v>0.65951099999999996</v>
      </c>
    </row>
    <row r="90" spans="2:10" x14ac:dyDescent="0.25">
      <c r="B90" s="2"/>
      <c r="C90" s="2">
        <v>21</v>
      </c>
      <c r="D90" s="2">
        <v>62</v>
      </c>
      <c r="E90" s="2">
        <v>720</v>
      </c>
      <c r="F90" s="2">
        <f t="shared" si="15"/>
        <v>59076</v>
      </c>
      <c r="G90" s="2">
        <f t="shared" si="16"/>
        <v>2461.5</v>
      </c>
      <c r="H90" s="2">
        <f t="shared" si="17"/>
        <v>6.7392197125256672</v>
      </c>
      <c r="I90" s="2">
        <v>0.89907700000000002</v>
      </c>
      <c r="J90" s="3">
        <v>0.66288999999999998</v>
      </c>
    </row>
    <row r="91" spans="2:10" x14ac:dyDescent="0.25">
      <c r="B91" s="2"/>
      <c r="C91" s="2">
        <v>22</v>
      </c>
      <c r="D91" s="2">
        <v>63</v>
      </c>
      <c r="E91" s="2">
        <v>720</v>
      </c>
      <c r="F91" s="2">
        <f t="shared" si="15"/>
        <v>59796</v>
      </c>
      <c r="G91" s="2">
        <f t="shared" si="16"/>
        <v>2491.5</v>
      </c>
      <c r="H91" s="2">
        <f t="shared" si="17"/>
        <v>6.8213552361396301</v>
      </c>
      <c r="I91" s="2">
        <v>0.89615370000000005</v>
      </c>
      <c r="J91" s="3">
        <v>0.66627099999999995</v>
      </c>
    </row>
    <row r="92" spans="2:10" x14ac:dyDescent="0.25">
      <c r="B92" s="2"/>
      <c r="C92" s="2">
        <v>23</v>
      </c>
      <c r="D92" s="2">
        <v>64</v>
      </c>
      <c r="E92" s="2">
        <v>720</v>
      </c>
      <c r="F92" s="2">
        <f t="shared" si="15"/>
        <v>60516</v>
      </c>
      <c r="G92" s="2">
        <f t="shared" si="16"/>
        <v>2521.5</v>
      </c>
      <c r="H92" s="2">
        <f t="shared" si="17"/>
        <v>6.9034907597535931</v>
      </c>
      <c r="I92" s="2">
        <v>0.89327769999999995</v>
      </c>
      <c r="J92" s="3">
        <v>0.66962699999999997</v>
      </c>
    </row>
    <row r="93" spans="2:10" x14ac:dyDescent="0.25">
      <c r="B93" s="2" t="s">
        <v>341</v>
      </c>
      <c r="C93" s="2">
        <v>24</v>
      </c>
      <c r="D93" s="2">
        <v>65</v>
      </c>
      <c r="E93" s="2">
        <v>846</v>
      </c>
      <c r="F93" s="2">
        <f t="shared" si="15"/>
        <v>61362</v>
      </c>
      <c r="G93" s="2">
        <f t="shared" si="16"/>
        <v>2556.75</v>
      </c>
      <c r="H93" s="2">
        <f t="shared" si="17"/>
        <v>7</v>
      </c>
      <c r="I93" s="2">
        <v>0.89047149999999997</v>
      </c>
      <c r="J93" s="3">
        <v>0.67290399999999995</v>
      </c>
    </row>
  </sheetData>
  <mergeCells count="8">
    <mergeCell ref="AM8:AM12"/>
    <mergeCell ref="AO6:AU6"/>
    <mergeCell ref="AE5:AJ5"/>
    <mergeCell ref="N5:AB5"/>
    <mergeCell ref="N4:AJ4"/>
    <mergeCell ref="AN6:AN7"/>
    <mergeCell ref="AM6:AM7"/>
    <mergeCell ref="AM5:AU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Core Parameter</vt:lpstr>
      <vt:lpstr>Geometri</vt:lpstr>
      <vt:lpstr>Suhu Gap dan Cladding</vt:lpstr>
      <vt:lpstr>Fraksi Volume</vt:lpstr>
      <vt:lpstr>HD FIX</vt:lpstr>
      <vt:lpstr>Nuklida FA 1</vt:lpstr>
      <vt:lpstr>Nuklida FA 2</vt:lpstr>
      <vt:lpstr>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Ardiansyah</dc:creator>
  <cp:lastModifiedBy>Harun Ardiansyah</cp:lastModifiedBy>
  <dcterms:created xsi:type="dcterms:W3CDTF">2017-12-14T12:09:29Z</dcterms:created>
  <dcterms:modified xsi:type="dcterms:W3CDTF">2019-07-17T10:21:13Z</dcterms:modified>
</cp:coreProperties>
</file>