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KRIPSI!!!!!!!!!!!!!!!!!!!\Skripsi Harun\Fixed Excels\"/>
    </mc:Choice>
  </mc:AlternateContent>
  <bookViews>
    <workbookView xWindow="0" yWindow="0" windowWidth="20490" windowHeight="7755" firstSheet="6" activeTab="7"/>
  </bookViews>
  <sheets>
    <sheet name="Core parameters" sheetId="4" r:id="rId1"/>
    <sheet name="Geometri" sheetId="1" r:id="rId2"/>
    <sheet name="Suhu Gap &amp; Cladding" sheetId="7" r:id="rId3"/>
    <sheet name="Fraksi Volume" sheetId="6" r:id="rId4"/>
    <sheet name="HD FIX" sheetId="8" r:id="rId5"/>
    <sheet name="Nuklida FA1" sheetId="2" r:id="rId6"/>
    <sheet name="Nuklida FA2" sheetId="3" r:id="rId7"/>
    <sheet name="Hasil" sheetId="5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M4" i="6" l="1"/>
  <c r="R4" i="6" l="1"/>
  <c r="O4" i="6"/>
  <c r="N4" i="6"/>
  <c r="L4" i="6"/>
  <c r="J4" i="6"/>
  <c r="Y6" i="5" l="1"/>
  <c r="Z6" i="5" s="1"/>
  <c r="AA6" i="5" s="1"/>
  <c r="AN15" i="3" l="1"/>
  <c r="AD11" i="3"/>
  <c r="U7" i="2" l="1"/>
  <c r="V7" i="2"/>
  <c r="W7" i="2"/>
  <c r="X7" i="2"/>
  <c r="Y7" i="2"/>
  <c r="Z7" i="2"/>
  <c r="AA7" i="2"/>
  <c r="U8" i="2"/>
  <c r="V8" i="2"/>
  <c r="W8" i="2"/>
  <c r="X8" i="2"/>
  <c r="Y8" i="2"/>
  <c r="Z8" i="2"/>
  <c r="AA8" i="2"/>
  <c r="U9" i="2"/>
  <c r="V9" i="2"/>
  <c r="W9" i="2"/>
  <c r="X9" i="2"/>
  <c r="Y9" i="2"/>
  <c r="Z9" i="2"/>
  <c r="AA9" i="2"/>
  <c r="U10" i="2"/>
  <c r="V10" i="2"/>
  <c r="W10" i="2"/>
  <c r="X10" i="2"/>
  <c r="Y10" i="2"/>
  <c r="Z10" i="2"/>
  <c r="AA10" i="2"/>
  <c r="U11" i="2"/>
  <c r="V11" i="2"/>
  <c r="W11" i="2"/>
  <c r="X11" i="2"/>
  <c r="Y11" i="2"/>
  <c r="Z11" i="2"/>
  <c r="AA11" i="2"/>
  <c r="U12" i="2"/>
  <c r="V12" i="2"/>
  <c r="W12" i="2"/>
  <c r="X12" i="2"/>
  <c r="Y12" i="2"/>
  <c r="Z12" i="2"/>
  <c r="AA12" i="2"/>
  <c r="U13" i="2"/>
  <c r="V13" i="2"/>
  <c r="W13" i="2"/>
  <c r="X13" i="2"/>
  <c r="Y13" i="2"/>
  <c r="Z13" i="2"/>
  <c r="AA13" i="2"/>
  <c r="U14" i="2"/>
  <c r="V14" i="2"/>
  <c r="W14" i="2"/>
  <c r="X14" i="2"/>
  <c r="Y14" i="2"/>
  <c r="Z14" i="2"/>
  <c r="AA14" i="2"/>
  <c r="U15" i="2"/>
  <c r="V15" i="2"/>
  <c r="W15" i="2"/>
  <c r="X15" i="2"/>
  <c r="Y15" i="2"/>
  <c r="Z15" i="2"/>
  <c r="AA15" i="2"/>
  <c r="V6" i="2"/>
  <c r="W6" i="2"/>
  <c r="X6" i="2"/>
  <c r="Y6" i="2"/>
  <c r="Z6" i="2"/>
  <c r="AA6" i="2"/>
  <c r="U6" i="2"/>
  <c r="F12" i="8"/>
  <c r="D16" i="8"/>
  <c r="C10" i="8"/>
  <c r="B10" i="8"/>
  <c r="T14" i="8"/>
  <c r="T15" i="8" s="1"/>
  <c r="U6" i="8"/>
  <c r="U16" i="8" s="1"/>
  <c r="T6" i="8"/>
  <c r="T16" i="8" s="1"/>
  <c r="U3" i="8"/>
  <c r="T3" i="8"/>
  <c r="R14" i="8"/>
  <c r="R15" i="8" s="1"/>
  <c r="R11" i="8"/>
  <c r="S6" i="8"/>
  <c r="S11" i="8" s="1"/>
  <c r="R6" i="8"/>
  <c r="R16" i="8" s="1"/>
  <c r="S3" i="8"/>
  <c r="R3" i="8"/>
  <c r="P14" i="8"/>
  <c r="P15" i="8" s="1"/>
  <c r="P11" i="8"/>
  <c r="Q6" i="8"/>
  <c r="Q16" i="8" s="1"/>
  <c r="P6" i="8"/>
  <c r="P16" i="8" s="1"/>
  <c r="P17" i="8" s="1"/>
  <c r="Q3" i="8"/>
  <c r="P3" i="8"/>
  <c r="N14" i="8"/>
  <c r="N15" i="8" s="1"/>
  <c r="O6" i="8"/>
  <c r="O11" i="8" s="1"/>
  <c r="N6" i="8"/>
  <c r="N11" i="8" s="1"/>
  <c r="O3" i="8"/>
  <c r="N3" i="8"/>
  <c r="L14" i="8"/>
  <c r="L15" i="8" s="1"/>
  <c r="M6" i="8"/>
  <c r="M16" i="8" s="1"/>
  <c r="L6" i="8"/>
  <c r="L11" i="8" s="1"/>
  <c r="M3" i="8"/>
  <c r="L3" i="8"/>
  <c r="J14" i="8"/>
  <c r="J15" i="8" s="1"/>
  <c r="J11" i="8"/>
  <c r="J12" i="8" s="1"/>
  <c r="K6" i="8"/>
  <c r="K11" i="8" s="1"/>
  <c r="J6" i="8"/>
  <c r="J16" i="8" s="1"/>
  <c r="J17" i="8" s="1"/>
  <c r="K3" i="8"/>
  <c r="J3" i="8"/>
  <c r="H14" i="8"/>
  <c r="H15" i="8" s="1"/>
  <c r="H11" i="8"/>
  <c r="I6" i="8"/>
  <c r="I11" i="8" s="1"/>
  <c r="H6" i="8"/>
  <c r="H16" i="8" s="1"/>
  <c r="H17" i="8" s="1"/>
  <c r="I3" i="8"/>
  <c r="H3" i="8"/>
  <c r="F14" i="8"/>
  <c r="F15" i="8" s="1"/>
  <c r="G6" i="8"/>
  <c r="G16" i="8" s="1"/>
  <c r="F6" i="8"/>
  <c r="F16" i="8" s="1"/>
  <c r="G3" i="8"/>
  <c r="F3" i="8"/>
  <c r="D14" i="8"/>
  <c r="D15" i="8" s="1"/>
  <c r="E6" i="8"/>
  <c r="E16" i="8" s="1"/>
  <c r="D6" i="8"/>
  <c r="E3" i="8"/>
  <c r="D3" i="8"/>
  <c r="B6" i="8"/>
  <c r="B16" i="8" s="1"/>
  <c r="B14" i="8"/>
  <c r="B15" i="8" s="1"/>
  <c r="C6" i="8"/>
  <c r="C16" i="8" s="1"/>
  <c r="C3" i="8"/>
  <c r="B3" i="8"/>
  <c r="N16" i="8" l="1"/>
  <c r="N17" i="8" s="1"/>
  <c r="T17" i="8"/>
  <c r="B17" i="8"/>
  <c r="E17" i="8"/>
  <c r="L16" i="8"/>
  <c r="L17" i="8" s="1"/>
  <c r="D11" i="8"/>
  <c r="F17" i="8"/>
  <c r="M17" i="8"/>
  <c r="R17" i="8"/>
  <c r="T11" i="8"/>
  <c r="C17" i="8"/>
  <c r="G17" i="8"/>
  <c r="Q17" i="8"/>
  <c r="R12" i="8"/>
  <c r="N12" i="8"/>
  <c r="H12" i="8"/>
  <c r="B11" i="8"/>
  <c r="D17" i="8"/>
  <c r="G11" i="8"/>
  <c r="U17" i="8"/>
  <c r="U11" i="8"/>
  <c r="S16" i="8"/>
  <c r="S17" i="8" s="1"/>
  <c r="Q11" i="8"/>
  <c r="P12" i="8" s="1"/>
  <c r="O16" i="8"/>
  <c r="O17" i="8" s="1"/>
  <c r="M11" i="8"/>
  <c r="L12" i="8" s="1"/>
  <c r="K16" i="8"/>
  <c r="K17" i="8" s="1"/>
  <c r="I16" i="8"/>
  <c r="I17" i="8" s="1"/>
  <c r="F11" i="8"/>
  <c r="E11" i="8"/>
  <c r="D12" i="8" s="1"/>
  <c r="C11" i="8"/>
  <c r="B12" i="8" s="1"/>
  <c r="T12" i="8" l="1"/>
  <c r="AO6" i="5" l="1"/>
  <c r="AO56" i="5" l="1"/>
  <c r="AO51" i="5"/>
  <c r="AO46" i="5"/>
  <c r="AO41" i="5"/>
  <c r="AO31" i="5"/>
  <c r="AO26" i="5"/>
  <c r="AO21" i="5"/>
  <c r="AO16" i="5"/>
  <c r="AO11" i="5"/>
  <c r="AO36" i="5"/>
  <c r="CB19" i="5" l="1"/>
  <c r="CC19" i="5"/>
  <c r="CD19" i="5"/>
  <c r="CE19" i="5"/>
  <c r="CF19" i="5"/>
  <c r="CG19" i="5"/>
  <c r="CH19" i="5"/>
  <c r="CI19" i="5"/>
  <c r="CJ19" i="5"/>
  <c r="CK19" i="5"/>
  <c r="CA19" i="5"/>
  <c r="CB10" i="5"/>
  <c r="CC10" i="5"/>
  <c r="CD10" i="5"/>
  <c r="CE10" i="5"/>
  <c r="CF10" i="5"/>
  <c r="CG10" i="5"/>
  <c r="CH10" i="5"/>
  <c r="CI10" i="5"/>
  <c r="CJ10" i="5"/>
  <c r="CK10" i="5"/>
  <c r="CA10" i="5"/>
  <c r="N248" i="6" l="1"/>
  <c r="N245" i="6"/>
  <c r="N239" i="6"/>
  <c r="N223" i="6"/>
  <c r="N220" i="6"/>
  <c r="N214" i="6"/>
  <c r="N198" i="6"/>
  <c r="N195" i="6"/>
  <c r="N189" i="6"/>
  <c r="N173" i="6"/>
  <c r="N170" i="6"/>
  <c r="N164" i="6"/>
  <c r="N148" i="6"/>
  <c r="N145" i="6"/>
  <c r="N139" i="6"/>
  <c r="N123" i="6"/>
  <c r="N120" i="6"/>
  <c r="N114" i="6"/>
  <c r="N98" i="6"/>
  <c r="N95" i="6"/>
  <c r="N89" i="6"/>
  <c r="N73" i="6"/>
  <c r="N70" i="6"/>
  <c r="N64" i="6"/>
  <c r="N48" i="6"/>
  <c r="N45" i="6"/>
  <c r="N39" i="6"/>
  <c r="N23" i="6"/>
  <c r="N20" i="6"/>
  <c r="N14" i="6"/>
  <c r="N235" i="6"/>
  <c r="N229" i="6"/>
  <c r="N210" i="6"/>
  <c r="N204" i="6"/>
  <c r="N185" i="6"/>
  <c r="N179" i="6"/>
  <c r="N160" i="6"/>
  <c r="N154" i="6"/>
  <c r="N135" i="6"/>
  <c r="N129" i="6"/>
  <c r="N110" i="6"/>
  <c r="N104" i="6"/>
  <c r="N85" i="6"/>
  <c r="N79" i="6"/>
  <c r="N60" i="6"/>
  <c r="N54" i="6"/>
  <c r="N35" i="6"/>
  <c r="N29" i="6"/>
  <c r="N10" i="6"/>
  <c r="M248" i="6"/>
  <c r="M245" i="6"/>
  <c r="M239" i="6"/>
  <c r="M223" i="6"/>
  <c r="M220" i="6"/>
  <c r="M214" i="6"/>
  <c r="M198" i="6"/>
  <c r="M195" i="6"/>
  <c r="M189" i="6"/>
  <c r="M173" i="6"/>
  <c r="M170" i="6"/>
  <c r="M164" i="6"/>
  <c r="M148" i="6"/>
  <c r="M145" i="6"/>
  <c r="M139" i="6"/>
  <c r="M123" i="6"/>
  <c r="M120" i="6"/>
  <c r="M114" i="6"/>
  <c r="M98" i="6"/>
  <c r="M95" i="6"/>
  <c r="M89" i="6"/>
  <c r="M73" i="6"/>
  <c r="M70" i="6"/>
  <c r="M64" i="6"/>
  <c r="M48" i="6"/>
  <c r="M45" i="6"/>
  <c r="M39" i="6"/>
  <c r="M23" i="6"/>
  <c r="M20" i="6"/>
  <c r="M14" i="6"/>
  <c r="M235" i="6"/>
  <c r="M229" i="6"/>
  <c r="M210" i="6"/>
  <c r="M204" i="6"/>
  <c r="M185" i="6"/>
  <c r="M179" i="6"/>
  <c r="M160" i="6"/>
  <c r="M154" i="6"/>
  <c r="M135" i="6"/>
  <c r="M129" i="6"/>
  <c r="M110" i="6"/>
  <c r="M104" i="6"/>
  <c r="M85" i="6"/>
  <c r="M79" i="6"/>
  <c r="M60" i="6"/>
  <c r="M54" i="6"/>
  <c r="M35" i="6"/>
  <c r="M29" i="6"/>
  <c r="M10" i="6"/>
  <c r="P261" i="6"/>
  <c r="Q280" i="6"/>
  <c r="Q277" i="6"/>
  <c r="Q271" i="6"/>
  <c r="Q267" i="6"/>
  <c r="Q261" i="6"/>
  <c r="C246" i="6" l="1"/>
  <c r="C236" i="6"/>
  <c r="C221" i="6"/>
  <c r="C211" i="6"/>
  <c r="C196" i="6"/>
  <c r="C186" i="6"/>
  <c r="C171" i="6"/>
  <c r="C161" i="6"/>
  <c r="C146" i="6"/>
  <c r="C136" i="6"/>
  <c r="C121" i="6"/>
  <c r="C111" i="6"/>
  <c r="C96" i="6"/>
  <c r="C86" i="6"/>
  <c r="C71" i="6"/>
  <c r="C61" i="6"/>
  <c r="C46" i="6"/>
  <c r="C36" i="6"/>
  <c r="C21" i="6"/>
  <c r="C11" i="6"/>
  <c r="I261" i="6" l="1"/>
  <c r="F281" i="6" l="1"/>
  <c r="O280" i="6"/>
  <c r="F280" i="6"/>
  <c r="F279" i="6"/>
  <c r="C278" i="6"/>
  <c r="F276" i="6"/>
  <c r="C275" i="6"/>
  <c r="C274" i="6"/>
  <c r="C273" i="6"/>
  <c r="C272" i="6"/>
  <c r="K271" i="6"/>
  <c r="H271" i="6"/>
  <c r="I271" i="6" s="1"/>
  <c r="O271" i="6" s="1"/>
  <c r="C271" i="6"/>
  <c r="F269" i="6"/>
  <c r="C268" i="6"/>
  <c r="H267" i="6"/>
  <c r="F266" i="6"/>
  <c r="C265" i="6"/>
  <c r="C264" i="6"/>
  <c r="C263" i="6"/>
  <c r="C262" i="6"/>
  <c r="K261" i="6"/>
  <c r="O261" i="6"/>
  <c r="R261" i="6" s="1"/>
  <c r="C261" i="6"/>
  <c r="H277" i="6" l="1"/>
  <c r="I277" i="6" s="1"/>
  <c r="O277" i="6" s="1"/>
  <c r="I267" i="6"/>
  <c r="R277" i="6"/>
  <c r="F267" i="6"/>
  <c r="D268" i="6"/>
  <c r="F277" i="6"/>
  <c r="D277" i="6" s="1"/>
  <c r="R271" i="6"/>
  <c r="R280" i="6"/>
  <c r="G280" i="6"/>
  <c r="P280" i="6" s="1"/>
  <c r="F261" i="6"/>
  <c r="G261" i="6" s="1"/>
  <c r="F271" i="6"/>
  <c r="G271" i="6" s="1"/>
  <c r="P271" i="6" s="1"/>
  <c r="O267" i="6"/>
  <c r="BS7" i="5"/>
  <c r="BT7" i="5"/>
  <c r="BU7" i="5"/>
  <c r="BV7" i="5"/>
  <c r="BW7" i="5"/>
  <c r="BS8" i="5"/>
  <c r="BT8" i="5"/>
  <c r="BU8" i="5"/>
  <c r="BV8" i="5"/>
  <c r="BW8" i="5"/>
  <c r="BS9" i="5"/>
  <c r="BT9" i="5"/>
  <c r="BU9" i="5"/>
  <c r="BV9" i="5"/>
  <c r="BW9" i="5"/>
  <c r="BS10" i="5"/>
  <c r="BT10" i="5"/>
  <c r="BU10" i="5"/>
  <c r="BV10" i="5"/>
  <c r="BW10" i="5"/>
  <c r="BS11" i="5"/>
  <c r="BT11" i="5"/>
  <c r="BU11" i="5"/>
  <c r="BV11" i="5"/>
  <c r="BW11" i="5"/>
  <c r="BS12" i="5"/>
  <c r="BT12" i="5"/>
  <c r="BU12" i="5"/>
  <c r="BV12" i="5"/>
  <c r="BW12" i="5"/>
  <c r="BS13" i="5"/>
  <c r="BT13" i="5"/>
  <c r="BU13" i="5"/>
  <c r="BV13" i="5"/>
  <c r="BW13" i="5"/>
  <c r="BS14" i="5"/>
  <c r="BT14" i="5"/>
  <c r="BU14" i="5"/>
  <c r="BV14" i="5"/>
  <c r="BW14" i="5"/>
  <c r="BS15" i="5"/>
  <c r="BT15" i="5"/>
  <c r="BU15" i="5"/>
  <c r="BV15" i="5"/>
  <c r="BW15" i="5"/>
  <c r="BS16" i="5"/>
  <c r="BT16" i="5"/>
  <c r="BU16" i="5"/>
  <c r="BV16" i="5"/>
  <c r="BW16" i="5"/>
  <c r="BS17" i="5"/>
  <c r="BT17" i="5"/>
  <c r="BU17" i="5"/>
  <c r="BV17" i="5"/>
  <c r="BW17" i="5"/>
  <c r="BS18" i="5"/>
  <c r="BT18" i="5"/>
  <c r="BU18" i="5"/>
  <c r="BV18" i="5"/>
  <c r="BW18" i="5"/>
  <c r="BS19" i="5"/>
  <c r="BT19" i="5"/>
  <c r="BU19" i="5"/>
  <c r="BV19" i="5"/>
  <c r="BW19" i="5"/>
  <c r="BS20" i="5"/>
  <c r="BT20" i="5"/>
  <c r="BU20" i="5"/>
  <c r="BV20" i="5"/>
  <c r="BW20" i="5"/>
  <c r="BS21" i="5"/>
  <c r="BT21" i="5"/>
  <c r="BU21" i="5"/>
  <c r="BV21" i="5"/>
  <c r="BW21" i="5"/>
  <c r="BS22" i="5"/>
  <c r="BT22" i="5"/>
  <c r="BU22" i="5"/>
  <c r="BV22" i="5"/>
  <c r="BW22" i="5"/>
  <c r="BS23" i="5"/>
  <c r="BT23" i="5"/>
  <c r="BU23" i="5"/>
  <c r="BV23" i="5"/>
  <c r="BW23" i="5"/>
  <c r="BS24" i="5"/>
  <c r="BT24" i="5"/>
  <c r="BU24" i="5"/>
  <c r="BV24" i="5"/>
  <c r="BW24" i="5"/>
  <c r="BS25" i="5"/>
  <c r="BT25" i="5"/>
  <c r="BU25" i="5"/>
  <c r="BV25" i="5"/>
  <c r="BW25" i="5"/>
  <c r="BS26" i="5"/>
  <c r="BT26" i="5"/>
  <c r="BU26" i="5"/>
  <c r="BV26" i="5"/>
  <c r="BW26" i="5"/>
  <c r="BS27" i="5"/>
  <c r="BT27" i="5"/>
  <c r="BU27" i="5"/>
  <c r="BV27" i="5"/>
  <c r="BW27" i="5"/>
  <c r="BS28" i="5"/>
  <c r="BT28" i="5"/>
  <c r="BU28" i="5"/>
  <c r="BV28" i="5"/>
  <c r="BW28" i="5"/>
  <c r="BS29" i="5"/>
  <c r="BT29" i="5"/>
  <c r="BU29" i="5"/>
  <c r="BV29" i="5"/>
  <c r="BW29" i="5"/>
  <c r="BS30" i="5"/>
  <c r="BT30" i="5"/>
  <c r="BU30" i="5"/>
  <c r="BV30" i="5"/>
  <c r="BW30" i="5"/>
  <c r="BS31" i="5"/>
  <c r="BT31" i="5"/>
  <c r="BU31" i="5"/>
  <c r="BV31" i="5"/>
  <c r="BW31" i="5"/>
  <c r="BS32" i="5"/>
  <c r="BT32" i="5"/>
  <c r="BU32" i="5"/>
  <c r="BV32" i="5"/>
  <c r="BW32" i="5"/>
  <c r="BS33" i="5"/>
  <c r="BT33" i="5"/>
  <c r="BU33" i="5"/>
  <c r="BV33" i="5"/>
  <c r="BW33" i="5"/>
  <c r="BS34" i="5"/>
  <c r="BT34" i="5"/>
  <c r="BU34" i="5"/>
  <c r="BV34" i="5"/>
  <c r="BW34" i="5"/>
  <c r="BS35" i="5"/>
  <c r="BT35" i="5"/>
  <c r="BU35" i="5"/>
  <c r="BV35" i="5"/>
  <c r="BW35" i="5"/>
  <c r="BS36" i="5"/>
  <c r="BT36" i="5"/>
  <c r="BU36" i="5"/>
  <c r="BV36" i="5"/>
  <c r="BW36" i="5"/>
  <c r="BS37" i="5"/>
  <c r="BT37" i="5"/>
  <c r="BU37" i="5"/>
  <c r="BV37" i="5"/>
  <c r="BW37" i="5"/>
  <c r="BS38" i="5"/>
  <c r="BT38" i="5"/>
  <c r="BU38" i="5"/>
  <c r="BV38" i="5"/>
  <c r="BW38" i="5"/>
  <c r="BS39" i="5"/>
  <c r="BT39" i="5"/>
  <c r="BU39" i="5"/>
  <c r="BV39" i="5"/>
  <c r="BW39" i="5"/>
  <c r="BS40" i="5"/>
  <c r="BT40" i="5"/>
  <c r="BU40" i="5"/>
  <c r="BV40" i="5"/>
  <c r="BW40" i="5"/>
  <c r="BS41" i="5"/>
  <c r="BT41" i="5"/>
  <c r="BU41" i="5"/>
  <c r="BV41" i="5"/>
  <c r="BW41" i="5"/>
  <c r="BS42" i="5"/>
  <c r="BT42" i="5"/>
  <c r="BU42" i="5"/>
  <c r="BV42" i="5"/>
  <c r="BW42" i="5"/>
  <c r="BS43" i="5"/>
  <c r="BT43" i="5"/>
  <c r="BU43" i="5"/>
  <c r="BV43" i="5"/>
  <c r="BW43" i="5"/>
  <c r="BS44" i="5"/>
  <c r="BT44" i="5"/>
  <c r="BU44" i="5"/>
  <c r="BV44" i="5"/>
  <c r="BW44" i="5"/>
  <c r="BW6" i="5"/>
  <c r="BV6" i="5"/>
  <c r="BU6" i="5"/>
  <c r="BT6" i="5"/>
  <c r="BS6" i="5"/>
  <c r="BN8" i="5"/>
  <c r="BN9" i="5" s="1"/>
  <c r="BN10" i="5" s="1"/>
  <c r="BN11" i="5" s="1"/>
  <c r="BN12" i="5" s="1"/>
  <c r="BN13" i="5" s="1"/>
  <c r="BN14" i="5" s="1"/>
  <c r="BN15" i="5" s="1"/>
  <c r="BN16" i="5" s="1"/>
  <c r="BN17" i="5" s="1"/>
  <c r="BN18" i="5" s="1"/>
  <c r="BN19" i="5" s="1"/>
  <c r="BN20" i="5" s="1"/>
  <c r="BN21" i="5" s="1"/>
  <c r="BN22" i="5" s="1"/>
  <c r="BN23" i="5" s="1"/>
  <c r="BN24" i="5" s="1"/>
  <c r="BN25" i="5" s="1"/>
  <c r="BN26" i="5" s="1"/>
  <c r="BN27" i="5" s="1"/>
  <c r="BN28" i="5" s="1"/>
  <c r="BN29" i="5" s="1"/>
  <c r="BN30" i="5" s="1"/>
  <c r="BN31" i="5" s="1"/>
  <c r="BN32" i="5" s="1"/>
  <c r="BN33" i="5" s="1"/>
  <c r="BN34" i="5" s="1"/>
  <c r="BN35" i="5" s="1"/>
  <c r="BN36" i="5" s="1"/>
  <c r="BN37" i="5" s="1"/>
  <c r="BN38" i="5" s="1"/>
  <c r="BN39" i="5" s="1"/>
  <c r="BN40" i="5" s="1"/>
  <c r="BN41" i="5" s="1"/>
  <c r="BN42" i="5" s="1"/>
  <c r="BN43" i="5" s="1"/>
  <c r="BK8" i="5"/>
  <c r="BK9" i="5" s="1"/>
  <c r="BK10" i="5" s="1"/>
  <c r="BK11" i="5" s="1"/>
  <c r="BK12" i="5" s="1"/>
  <c r="BK13" i="5" s="1"/>
  <c r="BK14" i="5" s="1"/>
  <c r="BK15" i="5" s="1"/>
  <c r="BK16" i="5" s="1"/>
  <c r="BK17" i="5" s="1"/>
  <c r="BK18" i="5" s="1"/>
  <c r="BK19" i="5" s="1"/>
  <c r="BK20" i="5" s="1"/>
  <c r="BK21" i="5" s="1"/>
  <c r="BK22" i="5" s="1"/>
  <c r="BK23" i="5" s="1"/>
  <c r="BK24" i="5" s="1"/>
  <c r="BK25" i="5" s="1"/>
  <c r="BK26" i="5" s="1"/>
  <c r="BK27" i="5" s="1"/>
  <c r="BK28" i="5" s="1"/>
  <c r="BK29" i="5" s="1"/>
  <c r="BK30" i="5" s="1"/>
  <c r="BK31" i="5" s="1"/>
  <c r="BK32" i="5" s="1"/>
  <c r="BK33" i="5" s="1"/>
  <c r="BK34" i="5" s="1"/>
  <c r="BK35" i="5" s="1"/>
  <c r="BK36" i="5" s="1"/>
  <c r="BK37" i="5" s="1"/>
  <c r="BK38" i="5" s="1"/>
  <c r="BK39" i="5" s="1"/>
  <c r="BK40" i="5" s="1"/>
  <c r="BK41" i="5" s="1"/>
  <c r="BK42" i="5" s="1"/>
  <c r="BK43" i="5" s="1"/>
  <c r="BH8" i="5"/>
  <c r="BH9" i="5" s="1"/>
  <c r="BH10" i="5" s="1"/>
  <c r="BH11" i="5" s="1"/>
  <c r="BH12" i="5" s="1"/>
  <c r="BH13" i="5" s="1"/>
  <c r="BH14" i="5" s="1"/>
  <c r="BH15" i="5" s="1"/>
  <c r="BH16" i="5" s="1"/>
  <c r="BH17" i="5" s="1"/>
  <c r="BH18" i="5" s="1"/>
  <c r="BH19" i="5" s="1"/>
  <c r="BH20" i="5" s="1"/>
  <c r="BH21" i="5" s="1"/>
  <c r="BH22" i="5" s="1"/>
  <c r="BH23" i="5" s="1"/>
  <c r="BH24" i="5" s="1"/>
  <c r="BH25" i="5" s="1"/>
  <c r="BH26" i="5" s="1"/>
  <c r="BH27" i="5" s="1"/>
  <c r="BH28" i="5" s="1"/>
  <c r="BH29" i="5" s="1"/>
  <c r="BH30" i="5" s="1"/>
  <c r="BH31" i="5" s="1"/>
  <c r="BH32" i="5" s="1"/>
  <c r="BH33" i="5" s="1"/>
  <c r="BH34" i="5" s="1"/>
  <c r="BH35" i="5" s="1"/>
  <c r="BH36" i="5" s="1"/>
  <c r="BH37" i="5" s="1"/>
  <c r="BH38" i="5" s="1"/>
  <c r="BH39" i="5" s="1"/>
  <c r="BH40" i="5" s="1"/>
  <c r="BH41" i="5" s="1"/>
  <c r="BH42" i="5" s="1"/>
  <c r="BH43" i="5" s="1"/>
  <c r="BE8" i="5"/>
  <c r="BE9" i="5" s="1"/>
  <c r="BE10" i="5" s="1"/>
  <c r="BE11" i="5" s="1"/>
  <c r="BE12" i="5" s="1"/>
  <c r="BE13" i="5" s="1"/>
  <c r="BE14" i="5" s="1"/>
  <c r="BE15" i="5" s="1"/>
  <c r="BE16" i="5" s="1"/>
  <c r="BE17" i="5" s="1"/>
  <c r="BE18" i="5" s="1"/>
  <c r="BE19" i="5" s="1"/>
  <c r="BE20" i="5" s="1"/>
  <c r="BE21" i="5" s="1"/>
  <c r="BE22" i="5" s="1"/>
  <c r="BE23" i="5" s="1"/>
  <c r="BE24" i="5" s="1"/>
  <c r="BE25" i="5" s="1"/>
  <c r="BE26" i="5" s="1"/>
  <c r="BE27" i="5" s="1"/>
  <c r="BE28" i="5" s="1"/>
  <c r="BE29" i="5" s="1"/>
  <c r="BE30" i="5" s="1"/>
  <c r="BE31" i="5" s="1"/>
  <c r="BE32" i="5" s="1"/>
  <c r="BE33" i="5" s="1"/>
  <c r="BE34" i="5" s="1"/>
  <c r="BE35" i="5" s="1"/>
  <c r="BE36" i="5" s="1"/>
  <c r="BE37" i="5" s="1"/>
  <c r="BE38" i="5" s="1"/>
  <c r="BE39" i="5" s="1"/>
  <c r="BE40" i="5" s="1"/>
  <c r="BE41" i="5" s="1"/>
  <c r="BE42" i="5" s="1"/>
  <c r="BE43" i="5" s="1"/>
  <c r="BB8" i="5"/>
  <c r="BB9" i="5" s="1"/>
  <c r="BB10" i="5" s="1"/>
  <c r="BB11" i="5" s="1"/>
  <c r="BB12" i="5" s="1"/>
  <c r="BB13" i="5" s="1"/>
  <c r="BB14" i="5" s="1"/>
  <c r="BB15" i="5" s="1"/>
  <c r="BB16" i="5" s="1"/>
  <c r="BB17" i="5" s="1"/>
  <c r="BB18" i="5" s="1"/>
  <c r="BB19" i="5" s="1"/>
  <c r="BB20" i="5" s="1"/>
  <c r="BB21" i="5" s="1"/>
  <c r="BB22" i="5" s="1"/>
  <c r="BB23" i="5" s="1"/>
  <c r="BB24" i="5" s="1"/>
  <c r="BB25" i="5" s="1"/>
  <c r="BB26" i="5" s="1"/>
  <c r="BB27" i="5" s="1"/>
  <c r="BB28" i="5" s="1"/>
  <c r="BB29" i="5" s="1"/>
  <c r="BB30" i="5" s="1"/>
  <c r="BB31" i="5" s="1"/>
  <c r="BB32" i="5" s="1"/>
  <c r="BB33" i="5" s="1"/>
  <c r="BB34" i="5" s="1"/>
  <c r="BB35" i="5" s="1"/>
  <c r="BB36" i="5" s="1"/>
  <c r="BB37" i="5" s="1"/>
  <c r="BB38" i="5" s="1"/>
  <c r="BB39" i="5" s="1"/>
  <c r="BB40" i="5" s="1"/>
  <c r="BB41" i="5" s="1"/>
  <c r="BB42" i="5" s="1"/>
  <c r="BB43" i="5" s="1"/>
  <c r="BR7" i="5"/>
  <c r="BR8" i="5" s="1"/>
  <c r="BR9" i="5" s="1"/>
  <c r="BR10" i="5" s="1"/>
  <c r="BR11" i="5" s="1"/>
  <c r="BR12" i="5" s="1"/>
  <c r="BR13" i="5" s="1"/>
  <c r="BR14" i="5" s="1"/>
  <c r="BR15" i="5" s="1"/>
  <c r="BR16" i="5" s="1"/>
  <c r="BR17" i="5" s="1"/>
  <c r="BR18" i="5" s="1"/>
  <c r="BR19" i="5" s="1"/>
  <c r="BR20" i="5" s="1"/>
  <c r="BR21" i="5" s="1"/>
  <c r="BR22" i="5" s="1"/>
  <c r="BR23" i="5" s="1"/>
  <c r="BR24" i="5" s="1"/>
  <c r="BR25" i="5" s="1"/>
  <c r="BR26" i="5" s="1"/>
  <c r="BR27" i="5" s="1"/>
  <c r="BR28" i="5" s="1"/>
  <c r="BR29" i="5" s="1"/>
  <c r="BR30" i="5" s="1"/>
  <c r="BR31" i="5" s="1"/>
  <c r="BR32" i="5" s="1"/>
  <c r="BR33" i="5" s="1"/>
  <c r="BR34" i="5" s="1"/>
  <c r="BR35" i="5" s="1"/>
  <c r="BR36" i="5" s="1"/>
  <c r="BR37" i="5" s="1"/>
  <c r="BR38" i="5" s="1"/>
  <c r="BR39" i="5" s="1"/>
  <c r="BR40" i="5" s="1"/>
  <c r="BR41" i="5" s="1"/>
  <c r="BR42" i="5" s="1"/>
  <c r="D264" i="6" l="1"/>
  <c r="D262" i="6"/>
  <c r="D274" i="6"/>
  <c r="G277" i="6"/>
  <c r="J271" i="6" s="1"/>
  <c r="D261" i="6"/>
  <c r="S271" i="6"/>
  <c r="T277" i="6" s="1"/>
  <c r="D278" i="6"/>
  <c r="D272" i="6"/>
  <c r="D275" i="6"/>
  <c r="D265" i="6"/>
  <c r="D263" i="6"/>
  <c r="D271" i="6"/>
  <c r="G267" i="6"/>
  <c r="J261" i="6" s="1"/>
  <c r="D267" i="6"/>
  <c r="D273" i="6"/>
  <c r="R267" i="6"/>
  <c r="S261" i="6" s="1"/>
  <c r="T261" i="6" s="1"/>
  <c r="T280" i="6"/>
  <c r="BB45" i="5"/>
  <c r="BB44" i="5"/>
  <c r="BE45" i="5"/>
  <c r="BE44" i="5"/>
  <c r="BK44" i="5"/>
  <c r="BK45" i="5"/>
  <c r="BR43" i="5"/>
  <c r="BR44" i="5"/>
  <c r="BH44" i="5"/>
  <c r="BH45" i="5"/>
  <c r="BN45" i="5"/>
  <c r="BN44" i="5"/>
  <c r="P277" i="6" l="1"/>
  <c r="P267" i="6"/>
  <c r="T271" i="6"/>
  <c r="U271" i="6" s="1"/>
  <c r="V271" i="6" s="1"/>
  <c r="T267" i="6"/>
  <c r="U261" i="6" s="1"/>
  <c r="V261" i="6" s="1"/>
  <c r="U19" i="7" l="1"/>
  <c r="U21" i="7" s="1"/>
  <c r="U18" i="7"/>
  <c r="O17" i="7"/>
  <c r="N17" i="7"/>
  <c r="M17" i="7"/>
  <c r="J17" i="7"/>
  <c r="G17" i="7"/>
  <c r="H17" i="7" s="1"/>
  <c r="I17" i="7" s="1"/>
  <c r="E17" i="7"/>
  <c r="C17" i="7"/>
  <c r="B9" i="7"/>
  <c r="G3" i="7" s="1"/>
  <c r="B6" i="7"/>
  <c r="T5" i="7" s="1"/>
  <c r="B5" i="7"/>
  <c r="T4" i="7"/>
  <c r="U17" i="7" s="1"/>
  <c r="T3" i="7"/>
  <c r="G2" i="7"/>
  <c r="G1" i="7"/>
  <c r="C36" i="1"/>
  <c r="C33" i="1"/>
  <c r="C34" i="1" s="1"/>
  <c r="C35" i="1" s="1"/>
  <c r="C32" i="1"/>
  <c r="C24" i="1"/>
  <c r="C28" i="1" s="1"/>
  <c r="K17" i="7" l="1"/>
  <c r="P17" i="7"/>
  <c r="D17" i="7"/>
  <c r="F17" i="7" s="1"/>
  <c r="B18" i="7" s="1"/>
  <c r="U24" i="7"/>
  <c r="C25" i="1"/>
  <c r="C29" i="1"/>
  <c r="C26" i="1"/>
  <c r="C30" i="1"/>
  <c r="C27" i="1"/>
  <c r="C31" i="1"/>
  <c r="E18" i="7" l="1"/>
  <c r="C18" i="7"/>
  <c r="D18" i="7" s="1"/>
  <c r="F18" i="7" s="1"/>
  <c r="L18" i="7"/>
  <c r="G18" i="7" s="1"/>
  <c r="F16" i="1"/>
  <c r="F19" i="1" s="1"/>
  <c r="J18" i="7" l="1"/>
  <c r="Q18" i="7"/>
  <c r="H18" i="7"/>
  <c r="I18" i="7" s="1"/>
  <c r="M18" i="7"/>
  <c r="N18" i="7" s="1"/>
  <c r="P18" i="7" s="1"/>
  <c r="O18" i="7"/>
  <c r="B67" i="3"/>
  <c r="K18" i="7" l="1"/>
  <c r="L19" i="7" l="1"/>
  <c r="B19" i="7"/>
  <c r="E19" i="7" l="1"/>
  <c r="G19" i="7"/>
  <c r="C19" i="7"/>
  <c r="D19" i="7" s="1"/>
  <c r="F19" i="7" s="1"/>
  <c r="M19" i="7"/>
  <c r="N19" i="7" s="1"/>
  <c r="O19" i="7"/>
  <c r="F69" i="3"/>
  <c r="P19" i="7" l="1"/>
  <c r="Q19" i="7"/>
  <c r="H19" i="7"/>
  <c r="I19" i="7" s="1"/>
  <c r="K19" i="7" s="1"/>
  <c r="L20" i="7" s="1"/>
  <c r="J19" i="7"/>
  <c r="F22" i="1"/>
  <c r="O20" i="7" l="1"/>
  <c r="M20" i="7"/>
  <c r="N20" i="7" s="1"/>
  <c r="P20" i="7" s="1"/>
  <c r="B20" i="7"/>
  <c r="G20" i="7" l="1"/>
  <c r="C20" i="7"/>
  <c r="D20" i="7" s="1"/>
  <c r="E20" i="7"/>
  <c r="D81" i="3"/>
  <c r="D80" i="3"/>
  <c r="D79" i="3"/>
  <c r="D78" i="3"/>
  <c r="D77" i="3"/>
  <c r="D76" i="3"/>
  <c r="D75" i="3"/>
  <c r="D74" i="3"/>
  <c r="F20" i="7" l="1"/>
  <c r="H20" i="7"/>
  <c r="I20" i="7" s="1"/>
  <c r="J20" i="7"/>
  <c r="Q20" i="7"/>
  <c r="D82" i="3"/>
  <c r="N30" i="3" s="1"/>
  <c r="K20" i="7" l="1"/>
  <c r="L21" i="7" s="1"/>
  <c r="P34" i="3"/>
  <c r="P38" i="3"/>
  <c r="P40" i="3"/>
  <c r="P33" i="3"/>
  <c r="P35" i="3"/>
  <c r="P39" i="3"/>
  <c r="P36" i="3"/>
  <c r="P37" i="3"/>
  <c r="B21" i="7" l="1"/>
  <c r="O21" i="7"/>
  <c r="M21" i="7"/>
  <c r="N21" i="7" s="1"/>
  <c r="P21" i="7" s="1"/>
  <c r="F51" i="4"/>
  <c r="I6" i="2"/>
  <c r="E249" i="6"/>
  <c r="L248" i="6"/>
  <c r="O248" i="6" s="1"/>
  <c r="E248" i="6"/>
  <c r="E247" i="6"/>
  <c r="E245" i="6"/>
  <c r="F245" i="6" s="1"/>
  <c r="E244" i="6"/>
  <c r="C243" i="6"/>
  <c r="C242" i="6"/>
  <c r="C241" i="6"/>
  <c r="C240" i="6"/>
  <c r="J239" i="6"/>
  <c r="G239" i="6"/>
  <c r="H239" i="6" s="1"/>
  <c r="L239" i="6" s="1"/>
  <c r="C239" i="6"/>
  <c r="E237" i="6"/>
  <c r="E235" i="6"/>
  <c r="G235" i="6"/>
  <c r="H235" i="6" s="1"/>
  <c r="L235" i="6" s="1"/>
  <c r="O235" i="6" s="1"/>
  <c r="E234" i="6"/>
  <c r="C233" i="6"/>
  <c r="C232" i="6"/>
  <c r="C231" i="6"/>
  <c r="C230" i="6"/>
  <c r="J229" i="6"/>
  <c r="H229" i="6"/>
  <c r="L229" i="6" s="1"/>
  <c r="C229" i="6"/>
  <c r="E224" i="6"/>
  <c r="L223" i="6"/>
  <c r="O223" i="6" s="1"/>
  <c r="E223" i="6"/>
  <c r="E222" i="6"/>
  <c r="E220" i="6"/>
  <c r="E219" i="6"/>
  <c r="C218" i="6"/>
  <c r="C217" i="6"/>
  <c r="C216" i="6"/>
  <c r="C215" i="6"/>
  <c r="J214" i="6"/>
  <c r="G214" i="6"/>
  <c r="H214" i="6" s="1"/>
  <c r="C214" i="6"/>
  <c r="E212" i="6"/>
  <c r="E210" i="6"/>
  <c r="G210" i="6"/>
  <c r="G220" i="6" s="1"/>
  <c r="H220" i="6" s="1"/>
  <c r="L220" i="6" s="1"/>
  <c r="O220" i="6" s="1"/>
  <c r="E209" i="6"/>
  <c r="C208" i="6"/>
  <c r="C207" i="6"/>
  <c r="C206" i="6"/>
  <c r="C205" i="6"/>
  <c r="J204" i="6"/>
  <c r="H204" i="6"/>
  <c r="L204" i="6" s="1"/>
  <c r="C204" i="6"/>
  <c r="E199" i="6"/>
  <c r="L198" i="6"/>
  <c r="O198" i="6" s="1"/>
  <c r="E198" i="6"/>
  <c r="F198" i="6" s="1"/>
  <c r="E197" i="6"/>
  <c r="E195" i="6"/>
  <c r="E194" i="6"/>
  <c r="C193" i="6"/>
  <c r="C192" i="6"/>
  <c r="C191" i="6"/>
  <c r="C190" i="6"/>
  <c r="J189" i="6"/>
  <c r="G189" i="6"/>
  <c r="H189" i="6" s="1"/>
  <c r="L189" i="6" s="1"/>
  <c r="C189" i="6"/>
  <c r="E187" i="6"/>
  <c r="E185" i="6"/>
  <c r="G185" i="6"/>
  <c r="G195" i="6" s="1"/>
  <c r="H195" i="6" s="1"/>
  <c r="L195" i="6" s="1"/>
  <c r="O195" i="6" s="1"/>
  <c r="E184" i="6"/>
  <c r="C183" i="6"/>
  <c r="C182" i="6"/>
  <c r="C181" i="6"/>
  <c r="C180" i="6"/>
  <c r="J179" i="6"/>
  <c r="H179" i="6"/>
  <c r="L179" i="6" s="1"/>
  <c r="C179" i="6"/>
  <c r="E174" i="6"/>
  <c r="L173" i="6"/>
  <c r="O173" i="6" s="1"/>
  <c r="E173" i="6"/>
  <c r="E172" i="6"/>
  <c r="E170" i="6"/>
  <c r="E169" i="6"/>
  <c r="C168" i="6"/>
  <c r="C167" i="6"/>
  <c r="C166" i="6"/>
  <c r="C165" i="6"/>
  <c r="J164" i="6"/>
  <c r="G164" i="6"/>
  <c r="H164" i="6" s="1"/>
  <c r="L164" i="6" s="1"/>
  <c r="C164" i="6"/>
  <c r="E162" i="6"/>
  <c r="E160" i="6"/>
  <c r="G160" i="6"/>
  <c r="G170" i="6" s="1"/>
  <c r="H170" i="6" s="1"/>
  <c r="L170" i="6" s="1"/>
  <c r="O170" i="6" s="1"/>
  <c r="E159" i="6"/>
  <c r="C158" i="6"/>
  <c r="C157" i="6"/>
  <c r="C156" i="6"/>
  <c r="C155" i="6"/>
  <c r="J154" i="6"/>
  <c r="H154" i="6"/>
  <c r="L154" i="6" s="1"/>
  <c r="C154" i="6"/>
  <c r="E149" i="6"/>
  <c r="L148" i="6"/>
  <c r="O148" i="6" s="1"/>
  <c r="E148" i="6"/>
  <c r="E147" i="6"/>
  <c r="E145" i="6"/>
  <c r="E144" i="6"/>
  <c r="C143" i="6"/>
  <c r="C142" i="6"/>
  <c r="C141" i="6"/>
  <c r="C140" i="6"/>
  <c r="J139" i="6"/>
  <c r="G139" i="6"/>
  <c r="H139" i="6" s="1"/>
  <c r="L139" i="6" s="1"/>
  <c r="C139" i="6"/>
  <c r="E137" i="6"/>
  <c r="E135" i="6"/>
  <c r="G135" i="6"/>
  <c r="G145" i="6" s="1"/>
  <c r="H145" i="6" s="1"/>
  <c r="L145" i="6" s="1"/>
  <c r="O145" i="6" s="1"/>
  <c r="E134" i="6"/>
  <c r="C133" i="6"/>
  <c r="C132" i="6"/>
  <c r="C131" i="6"/>
  <c r="C130" i="6"/>
  <c r="J129" i="6"/>
  <c r="H129" i="6"/>
  <c r="L129" i="6" s="1"/>
  <c r="C129" i="6"/>
  <c r="E124" i="6"/>
  <c r="L123" i="6"/>
  <c r="O123" i="6" s="1"/>
  <c r="E123" i="6"/>
  <c r="E122" i="6"/>
  <c r="E120" i="6"/>
  <c r="E119" i="6"/>
  <c r="C118" i="6"/>
  <c r="C117" i="6"/>
  <c r="C116" i="6"/>
  <c r="C115" i="6"/>
  <c r="J114" i="6"/>
  <c r="G114" i="6"/>
  <c r="H114" i="6" s="1"/>
  <c r="L114" i="6" s="1"/>
  <c r="C114" i="6"/>
  <c r="E112" i="6"/>
  <c r="E110" i="6"/>
  <c r="G110" i="6"/>
  <c r="G120" i="6" s="1"/>
  <c r="H120" i="6" s="1"/>
  <c r="L120" i="6" s="1"/>
  <c r="O120" i="6" s="1"/>
  <c r="E109" i="6"/>
  <c r="C108" i="6"/>
  <c r="C107" i="6"/>
  <c r="C106" i="6"/>
  <c r="C105" i="6"/>
  <c r="J104" i="6"/>
  <c r="H104" i="6"/>
  <c r="L104" i="6" s="1"/>
  <c r="C104" i="6"/>
  <c r="E99" i="6"/>
  <c r="L98" i="6"/>
  <c r="O98" i="6" s="1"/>
  <c r="E98" i="6"/>
  <c r="E97" i="6"/>
  <c r="E95" i="6"/>
  <c r="E94" i="6"/>
  <c r="C93" i="6"/>
  <c r="C92" i="6"/>
  <c r="C91" i="6"/>
  <c r="C90" i="6"/>
  <c r="J89" i="6"/>
  <c r="G89" i="6"/>
  <c r="H89" i="6" s="1"/>
  <c r="L89" i="6" s="1"/>
  <c r="C89" i="6"/>
  <c r="E87" i="6"/>
  <c r="E85" i="6"/>
  <c r="G85" i="6"/>
  <c r="G95" i="6" s="1"/>
  <c r="H95" i="6" s="1"/>
  <c r="L95" i="6" s="1"/>
  <c r="O95" i="6" s="1"/>
  <c r="E84" i="6"/>
  <c r="C83" i="6"/>
  <c r="C82" i="6"/>
  <c r="C81" i="6"/>
  <c r="C80" i="6"/>
  <c r="J79" i="6"/>
  <c r="H79" i="6"/>
  <c r="L79" i="6" s="1"/>
  <c r="C79" i="6"/>
  <c r="E74" i="6"/>
  <c r="L73" i="6"/>
  <c r="O73" i="6" s="1"/>
  <c r="E73" i="6"/>
  <c r="F73" i="6" s="1"/>
  <c r="E72" i="6"/>
  <c r="E70" i="6"/>
  <c r="E69" i="6"/>
  <c r="C68" i="6"/>
  <c r="C67" i="6"/>
  <c r="C66" i="6"/>
  <c r="C65" i="6"/>
  <c r="J64" i="6"/>
  <c r="G64" i="6"/>
  <c r="H64" i="6" s="1"/>
  <c r="L64" i="6" s="1"/>
  <c r="C64" i="6"/>
  <c r="E62" i="6"/>
  <c r="E60" i="6"/>
  <c r="G60" i="6"/>
  <c r="G70" i="6" s="1"/>
  <c r="H70" i="6" s="1"/>
  <c r="L70" i="6" s="1"/>
  <c r="O70" i="6" s="1"/>
  <c r="E59" i="6"/>
  <c r="C58" i="6"/>
  <c r="C57" i="6"/>
  <c r="C56" i="6"/>
  <c r="C55" i="6"/>
  <c r="J54" i="6"/>
  <c r="H54" i="6"/>
  <c r="L54" i="6" s="1"/>
  <c r="C54" i="6"/>
  <c r="E49" i="6"/>
  <c r="L48" i="6"/>
  <c r="O48" i="6" s="1"/>
  <c r="E48" i="6"/>
  <c r="E47" i="6"/>
  <c r="E45" i="6"/>
  <c r="E44" i="6"/>
  <c r="C43" i="6"/>
  <c r="C42" i="6"/>
  <c r="C41" i="6"/>
  <c r="C40" i="6"/>
  <c r="J39" i="6"/>
  <c r="G39" i="6"/>
  <c r="H39" i="6" s="1"/>
  <c r="C39" i="6"/>
  <c r="E37" i="6"/>
  <c r="E35" i="6"/>
  <c r="F35" i="6" s="1"/>
  <c r="G35" i="6"/>
  <c r="G45" i="6" s="1"/>
  <c r="H45" i="6" s="1"/>
  <c r="L45" i="6" s="1"/>
  <c r="O45" i="6" s="1"/>
  <c r="E34" i="6"/>
  <c r="C33" i="6"/>
  <c r="C32" i="6"/>
  <c r="C31" i="6"/>
  <c r="C30" i="6"/>
  <c r="J29" i="6"/>
  <c r="H29" i="6"/>
  <c r="L29" i="6" s="1"/>
  <c r="O29" i="6" s="1"/>
  <c r="C29" i="6"/>
  <c r="G14" i="6"/>
  <c r="G10" i="6"/>
  <c r="H10" i="6" s="1"/>
  <c r="H4" i="6"/>
  <c r="E54" i="6" l="1"/>
  <c r="F54" i="6" s="1"/>
  <c r="O64" i="6"/>
  <c r="O89" i="6"/>
  <c r="F170" i="6"/>
  <c r="F48" i="6"/>
  <c r="O154" i="6"/>
  <c r="O179" i="6"/>
  <c r="H185" i="6"/>
  <c r="L185" i="6" s="1"/>
  <c r="O185" i="6" s="1"/>
  <c r="O189" i="6"/>
  <c r="O54" i="6"/>
  <c r="O79" i="6"/>
  <c r="H135" i="6"/>
  <c r="L135" i="6" s="1"/>
  <c r="O135" i="6" s="1"/>
  <c r="E154" i="6"/>
  <c r="F154" i="6" s="1"/>
  <c r="F148" i="6"/>
  <c r="F173" i="6"/>
  <c r="E179" i="6"/>
  <c r="F179" i="6" s="1"/>
  <c r="E204" i="6"/>
  <c r="F204" i="6" s="1"/>
  <c r="E114" i="6"/>
  <c r="F114" i="6" s="1"/>
  <c r="F120" i="6"/>
  <c r="F185" i="6"/>
  <c r="O204" i="6"/>
  <c r="O229" i="6"/>
  <c r="E79" i="6"/>
  <c r="F79" i="6" s="1"/>
  <c r="H85" i="6"/>
  <c r="L85" i="6" s="1"/>
  <c r="O85" i="6" s="1"/>
  <c r="E104" i="6"/>
  <c r="F104" i="6" s="1"/>
  <c r="F210" i="6"/>
  <c r="O239" i="6"/>
  <c r="E129" i="6"/>
  <c r="F129" i="6" s="1"/>
  <c r="I129" i="6" s="1"/>
  <c r="X11" i="6" s="1"/>
  <c r="J11" i="2" s="1"/>
  <c r="E164" i="6"/>
  <c r="F164" i="6" s="1"/>
  <c r="F248" i="6"/>
  <c r="E64" i="6"/>
  <c r="F64" i="6" s="1"/>
  <c r="F70" i="6"/>
  <c r="F135" i="6"/>
  <c r="O164" i="6"/>
  <c r="E214" i="6"/>
  <c r="F214" i="6" s="1"/>
  <c r="F220" i="6"/>
  <c r="G21" i="7"/>
  <c r="C21" i="7"/>
  <c r="D21" i="7" s="1"/>
  <c r="E21" i="7"/>
  <c r="H60" i="6"/>
  <c r="L60" i="6" s="1"/>
  <c r="O60" i="6" s="1"/>
  <c r="P54" i="6" s="1"/>
  <c r="Q54" i="6" s="1"/>
  <c r="F85" i="6"/>
  <c r="F98" i="6"/>
  <c r="O114" i="6"/>
  <c r="P114" i="6" s="1"/>
  <c r="Q120" i="6" s="1"/>
  <c r="H160" i="6"/>
  <c r="L160" i="6" s="1"/>
  <c r="O160" i="6" s="1"/>
  <c r="P154" i="6" s="1"/>
  <c r="Q154" i="6" s="1"/>
  <c r="H210" i="6"/>
  <c r="L210" i="6" s="1"/>
  <c r="O210" i="6" s="1"/>
  <c r="E229" i="6"/>
  <c r="F229" i="6" s="1"/>
  <c r="F235" i="6"/>
  <c r="E239" i="6"/>
  <c r="F239" i="6" s="1"/>
  <c r="G20" i="6"/>
  <c r="E39" i="6"/>
  <c r="F39" i="6" s="1"/>
  <c r="F45" i="6"/>
  <c r="F60" i="6"/>
  <c r="O104" i="6"/>
  <c r="F110" i="6"/>
  <c r="F123" i="6"/>
  <c r="E139" i="6"/>
  <c r="F139" i="6" s="1"/>
  <c r="I139" i="6" s="1"/>
  <c r="Y11" i="6" s="1"/>
  <c r="J11" i="3" s="1"/>
  <c r="F145" i="6"/>
  <c r="F160" i="6"/>
  <c r="F223" i="6"/>
  <c r="I54" i="6"/>
  <c r="X8" i="6" s="1"/>
  <c r="J8" i="2" s="1"/>
  <c r="E29" i="6"/>
  <c r="F29" i="6" s="1"/>
  <c r="I29" i="6" s="1"/>
  <c r="X7" i="6" s="1"/>
  <c r="J7" i="2" s="1"/>
  <c r="E89" i="6"/>
  <c r="F89" i="6" s="1"/>
  <c r="F95" i="6"/>
  <c r="O129" i="6"/>
  <c r="O139" i="6"/>
  <c r="E189" i="6"/>
  <c r="F189" i="6" s="1"/>
  <c r="F195" i="6"/>
  <c r="G245" i="6"/>
  <c r="H245" i="6" s="1"/>
  <c r="L245" i="6" s="1"/>
  <c r="O245" i="6" s="1"/>
  <c r="H110" i="6"/>
  <c r="L110" i="6" s="1"/>
  <c r="O110" i="6" s="1"/>
  <c r="H35" i="6"/>
  <c r="L35" i="6" s="1"/>
  <c r="O35" i="6" s="1"/>
  <c r="P29" i="6" s="1"/>
  <c r="Q29" i="6" s="1"/>
  <c r="P229" i="6"/>
  <c r="Q235" i="6" s="1"/>
  <c r="P204" i="6"/>
  <c r="Q204" i="6" s="1"/>
  <c r="L214" i="6"/>
  <c r="O214" i="6" s="1"/>
  <c r="P189" i="6"/>
  <c r="Q195" i="6" s="1"/>
  <c r="P164" i="6"/>
  <c r="Q170" i="6" s="1"/>
  <c r="P139" i="6"/>
  <c r="Q145" i="6" s="1"/>
  <c r="P104" i="6"/>
  <c r="Q104" i="6" s="1"/>
  <c r="P79" i="6"/>
  <c r="Q79" i="6" s="1"/>
  <c r="P89" i="6"/>
  <c r="Q95" i="6" s="1"/>
  <c r="P64" i="6"/>
  <c r="Q70" i="6" s="1"/>
  <c r="L39" i="6"/>
  <c r="O39" i="6" s="1"/>
  <c r="L23" i="6"/>
  <c r="O23" i="6" s="1"/>
  <c r="J14" i="6"/>
  <c r="L10" i="6"/>
  <c r="I39" i="6" l="1"/>
  <c r="Y7" i="6" s="1"/>
  <c r="J7" i="3" s="1"/>
  <c r="Q229" i="6"/>
  <c r="R229" i="6" s="1"/>
  <c r="I214" i="6"/>
  <c r="Y14" i="6" s="1"/>
  <c r="J14" i="3" s="1"/>
  <c r="I64" i="6"/>
  <c r="Y8" i="6" s="1"/>
  <c r="J8" i="3" s="1"/>
  <c r="I114" i="6"/>
  <c r="Y10" i="6" s="1"/>
  <c r="J10" i="3" s="1"/>
  <c r="P179" i="6"/>
  <c r="Q179" i="6" s="1"/>
  <c r="P129" i="6"/>
  <c r="Q129" i="6" s="1"/>
  <c r="Q110" i="6"/>
  <c r="P239" i="6"/>
  <c r="Q245" i="6" s="1"/>
  <c r="I164" i="6"/>
  <c r="Y12" i="6" s="1"/>
  <c r="J12" i="3" s="1"/>
  <c r="I179" i="6"/>
  <c r="X13" i="6" s="1"/>
  <c r="J13" i="2" s="1"/>
  <c r="I154" i="6"/>
  <c r="X12" i="6" s="1"/>
  <c r="J12" i="2" s="1"/>
  <c r="I104" i="6"/>
  <c r="X10" i="6" s="1"/>
  <c r="J10" i="2" s="1"/>
  <c r="I79" i="6"/>
  <c r="X9" i="6" s="1"/>
  <c r="J9" i="2" s="1"/>
  <c r="I239" i="6"/>
  <c r="Y15" i="6" s="1"/>
  <c r="J15" i="3" s="1"/>
  <c r="I204" i="6"/>
  <c r="X14" i="6" s="1"/>
  <c r="J14" i="2" s="1"/>
  <c r="I189" i="6"/>
  <c r="Y13" i="6" s="1"/>
  <c r="J13" i="3" s="1"/>
  <c r="I89" i="6"/>
  <c r="Y9" i="6" s="1"/>
  <c r="J9" i="3" s="1"/>
  <c r="I229" i="6"/>
  <c r="X15" i="6" s="1"/>
  <c r="J15" i="2" s="1"/>
  <c r="F21" i="7"/>
  <c r="H21" i="7"/>
  <c r="I21" i="7" s="1"/>
  <c r="J21" i="7"/>
  <c r="Q21" i="7"/>
  <c r="Q210" i="6"/>
  <c r="Q239" i="6"/>
  <c r="Q248" i="6"/>
  <c r="S229" i="6"/>
  <c r="V15" i="6" s="1"/>
  <c r="K15" i="2" s="1"/>
  <c r="R204" i="6"/>
  <c r="S204" i="6" s="1"/>
  <c r="V14" i="6" s="1"/>
  <c r="K14" i="2" s="1"/>
  <c r="Q123" i="6"/>
  <c r="P214" i="6"/>
  <c r="Q214" i="6" s="1"/>
  <c r="Q189" i="6"/>
  <c r="Q198" i="6"/>
  <c r="Q164" i="6"/>
  <c r="Q173" i="6"/>
  <c r="Q160" i="6"/>
  <c r="R154" i="6" s="1"/>
  <c r="S154" i="6" s="1"/>
  <c r="V12" i="6" s="1"/>
  <c r="K12" i="2" s="1"/>
  <c r="Q139" i="6"/>
  <c r="Q148" i="6"/>
  <c r="Q135" i="6"/>
  <c r="R129" i="6" s="1"/>
  <c r="S129" i="6" s="1"/>
  <c r="V11" i="6" s="1"/>
  <c r="K11" i="2" s="1"/>
  <c r="S11" i="2" s="1"/>
  <c r="R104" i="6"/>
  <c r="S104" i="6" s="1"/>
  <c r="Q114" i="6"/>
  <c r="Q89" i="6"/>
  <c r="Q98" i="6"/>
  <c r="Q85" i="6"/>
  <c r="R79" i="6" s="1"/>
  <c r="S79" i="6" s="1"/>
  <c r="V9" i="6" s="1"/>
  <c r="K9" i="2" s="1"/>
  <c r="Q64" i="6"/>
  <c r="Q73" i="6"/>
  <c r="Q60" i="6"/>
  <c r="R54" i="6" s="1"/>
  <c r="S54" i="6" s="1"/>
  <c r="V8" i="6" s="1"/>
  <c r="K8" i="2" s="1"/>
  <c r="S8" i="2" s="1"/>
  <c r="P39" i="6"/>
  <c r="Q39" i="6" s="1"/>
  <c r="Q35" i="6"/>
  <c r="R29" i="6" s="1"/>
  <c r="S29" i="6" s="1"/>
  <c r="V7" i="6" s="1"/>
  <c r="K7" i="2" s="1"/>
  <c r="S7" i="2" s="1"/>
  <c r="O10" i="6"/>
  <c r="S14" i="2" l="1"/>
  <c r="S12" i="2"/>
  <c r="R239" i="6"/>
  <c r="S239" i="6" s="1"/>
  <c r="W15" i="6" s="1"/>
  <c r="K15" i="3" s="1"/>
  <c r="X15" i="3" s="1"/>
  <c r="Q185" i="6"/>
  <c r="R179" i="6" s="1"/>
  <c r="S179" i="6" s="1"/>
  <c r="V13" i="6" s="1"/>
  <c r="K13" i="2" s="1"/>
  <c r="S13" i="2" s="1"/>
  <c r="S9" i="2"/>
  <c r="R114" i="6"/>
  <c r="S114" i="6" s="1"/>
  <c r="W10" i="6" s="1"/>
  <c r="K10" i="3" s="1"/>
  <c r="U10" i="3" s="1"/>
  <c r="AK10" i="3" s="1"/>
  <c r="S15" i="3"/>
  <c r="AI15" i="3" s="1"/>
  <c r="V10" i="6"/>
  <c r="K10" i="2" s="1"/>
  <c r="S10" i="2" s="1"/>
  <c r="U15" i="3"/>
  <c r="AK15" i="3" s="1"/>
  <c r="T10" i="3"/>
  <c r="AJ10" i="3" s="1"/>
  <c r="X10" i="3"/>
  <c r="AN10" i="3" s="1"/>
  <c r="S15" i="2"/>
  <c r="Y10" i="3"/>
  <c r="AO10" i="3" s="1"/>
  <c r="K21" i="7"/>
  <c r="L22" i="7" s="1"/>
  <c r="Q220" i="6"/>
  <c r="Q223" i="6"/>
  <c r="R189" i="6"/>
  <c r="S189" i="6" s="1"/>
  <c r="W13" i="6" s="1"/>
  <c r="K13" i="3" s="1"/>
  <c r="Y13" i="3" s="1"/>
  <c r="AO13" i="3" s="1"/>
  <c r="R164" i="6"/>
  <c r="S164" i="6" s="1"/>
  <c r="W12" i="6" s="1"/>
  <c r="K12" i="3" s="1"/>
  <c r="R139" i="6"/>
  <c r="S139" i="6" s="1"/>
  <c r="W11" i="6" s="1"/>
  <c r="K11" i="3" s="1"/>
  <c r="R89" i="6"/>
  <c r="S89" i="6" s="1"/>
  <c r="W9" i="6" s="1"/>
  <c r="K9" i="3" s="1"/>
  <c r="R64" i="6"/>
  <c r="S64" i="6" s="1"/>
  <c r="W8" i="6" s="1"/>
  <c r="K8" i="3" s="1"/>
  <c r="Q48" i="6"/>
  <c r="Q45" i="6"/>
  <c r="Y15" i="3" l="1"/>
  <c r="AO15" i="3" s="1"/>
  <c r="V15" i="3"/>
  <c r="AL15" i="3" s="1"/>
  <c r="W15" i="3"/>
  <c r="AM15" i="3" s="1"/>
  <c r="Z15" i="3"/>
  <c r="T15" i="3"/>
  <c r="AJ15" i="3" s="1"/>
  <c r="W10" i="3"/>
  <c r="AM10" i="3" s="1"/>
  <c r="S10" i="3"/>
  <c r="AI10" i="3" s="1"/>
  <c r="Z10" i="3"/>
  <c r="V10" i="3"/>
  <c r="AL10" i="3" s="1"/>
  <c r="X12" i="3"/>
  <c r="AN12" i="3" s="1"/>
  <c r="Z12" i="3"/>
  <c r="S12" i="3"/>
  <c r="AI12" i="3" s="1"/>
  <c r="Y12" i="3"/>
  <c r="AO12" i="3" s="1"/>
  <c r="W12" i="3"/>
  <c r="AM12" i="3" s="1"/>
  <c r="T12" i="3"/>
  <c r="AJ12" i="3" s="1"/>
  <c r="V12" i="3"/>
  <c r="AL12" i="3" s="1"/>
  <c r="U12" i="3"/>
  <c r="AK12" i="3" s="1"/>
  <c r="S8" i="3"/>
  <c r="AI8" i="3" s="1"/>
  <c r="T8" i="3"/>
  <c r="AJ8" i="3" s="1"/>
  <c r="Y8" i="3"/>
  <c r="AO8" i="3" s="1"/>
  <c r="V8" i="3"/>
  <c r="AL8" i="3" s="1"/>
  <c r="U8" i="3"/>
  <c r="AK8" i="3" s="1"/>
  <c r="Z8" i="3"/>
  <c r="W8" i="3"/>
  <c r="AM8" i="3" s="1"/>
  <c r="X8" i="3"/>
  <c r="AN8" i="3" s="1"/>
  <c r="T11" i="3"/>
  <c r="AJ11" i="3" s="1"/>
  <c r="W11" i="3"/>
  <c r="AM11" i="3" s="1"/>
  <c r="S11" i="3"/>
  <c r="AI11" i="3" s="1"/>
  <c r="X11" i="3"/>
  <c r="AN11" i="3" s="1"/>
  <c r="V11" i="3"/>
  <c r="AL11" i="3" s="1"/>
  <c r="U11" i="3"/>
  <c r="AK11" i="3" s="1"/>
  <c r="Y11" i="3"/>
  <c r="AO11" i="3" s="1"/>
  <c r="Z11" i="3"/>
  <c r="W13" i="3"/>
  <c r="AM13" i="3" s="1"/>
  <c r="T13" i="3"/>
  <c r="AJ13" i="3" s="1"/>
  <c r="X13" i="3"/>
  <c r="AN13" i="3" s="1"/>
  <c r="S13" i="3"/>
  <c r="AI13" i="3" s="1"/>
  <c r="U13" i="3"/>
  <c r="AK13" i="3" s="1"/>
  <c r="V13" i="3"/>
  <c r="AL13" i="3" s="1"/>
  <c r="Z13" i="3"/>
  <c r="Y9" i="3"/>
  <c r="AO9" i="3" s="1"/>
  <c r="T9" i="3"/>
  <c r="AJ9" i="3" s="1"/>
  <c r="U9" i="3"/>
  <c r="AK9" i="3" s="1"/>
  <c r="S9" i="3"/>
  <c r="AI9" i="3" s="1"/>
  <c r="W9" i="3"/>
  <c r="AM9" i="3" s="1"/>
  <c r="X9" i="3"/>
  <c r="AN9" i="3" s="1"/>
  <c r="Z9" i="3"/>
  <c r="V9" i="3"/>
  <c r="AL9" i="3" s="1"/>
  <c r="B22" i="7"/>
  <c r="O22" i="7"/>
  <c r="M22" i="7"/>
  <c r="N22" i="7" s="1"/>
  <c r="P22" i="7" s="1"/>
  <c r="R39" i="6"/>
  <c r="S39" i="6" s="1"/>
  <c r="W7" i="6" s="1"/>
  <c r="K7" i="3" s="1"/>
  <c r="R214" i="6"/>
  <c r="S214" i="6" s="1"/>
  <c r="W14" i="6" s="1"/>
  <c r="K14" i="3" s="1"/>
  <c r="T7" i="3" l="1"/>
  <c r="AJ7" i="3" s="1"/>
  <c r="V7" i="3"/>
  <c r="AL7" i="3" s="1"/>
  <c r="U7" i="3"/>
  <c r="AK7" i="3" s="1"/>
  <c r="Z7" i="3"/>
  <c r="W7" i="3"/>
  <c r="AM7" i="3" s="1"/>
  <c r="Y7" i="3"/>
  <c r="AO7" i="3" s="1"/>
  <c r="S7" i="3"/>
  <c r="AI7" i="3" s="1"/>
  <c r="X7" i="3"/>
  <c r="AN7" i="3" s="1"/>
  <c r="Y14" i="3"/>
  <c r="AO14" i="3" s="1"/>
  <c r="W14" i="3"/>
  <c r="AM14" i="3" s="1"/>
  <c r="T14" i="3"/>
  <c r="AJ14" i="3" s="1"/>
  <c r="Z14" i="3"/>
  <c r="X14" i="3"/>
  <c r="AN14" i="3" s="1"/>
  <c r="U14" i="3"/>
  <c r="AK14" i="3" s="1"/>
  <c r="S14" i="3"/>
  <c r="AI14" i="3" s="1"/>
  <c r="V14" i="3"/>
  <c r="AL14" i="3" s="1"/>
  <c r="G22" i="7"/>
  <c r="C22" i="7"/>
  <c r="D22" i="7" s="1"/>
  <c r="E22" i="7"/>
  <c r="P4" i="6"/>
  <c r="Q10" i="6" s="1"/>
  <c r="E24" i="6"/>
  <c r="C28" i="3"/>
  <c r="E23" i="6"/>
  <c r="H20" i="6"/>
  <c r="L20" i="6" s="1"/>
  <c r="O20" i="6" s="1"/>
  <c r="H14" i="6"/>
  <c r="E22" i="6"/>
  <c r="E20" i="6"/>
  <c r="E19" i="6"/>
  <c r="C18" i="6"/>
  <c r="C17" i="6"/>
  <c r="C16" i="6"/>
  <c r="C15" i="6"/>
  <c r="C14" i="6"/>
  <c r="L14" i="6" l="1"/>
  <c r="O14" i="6" s="1"/>
  <c r="P14" i="6" s="1"/>
  <c r="Q23" i="6" s="1"/>
  <c r="F22" i="7"/>
  <c r="J22" i="7"/>
  <c r="Q22" i="7"/>
  <c r="H22" i="7"/>
  <c r="I22" i="7" s="1"/>
  <c r="K22" i="7" s="1"/>
  <c r="L23" i="7" s="1"/>
  <c r="F20" i="6"/>
  <c r="F23" i="6"/>
  <c r="Q4" i="6"/>
  <c r="S4" i="6" s="1"/>
  <c r="V6" i="6" s="1"/>
  <c r="K6" i="2" s="1"/>
  <c r="E14" i="6"/>
  <c r="F14" i="6" s="1"/>
  <c r="E9" i="6"/>
  <c r="C8" i="6"/>
  <c r="C7" i="6"/>
  <c r="C6" i="6"/>
  <c r="C5" i="6"/>
  <c r="C4" i="6"/>
  <c r="E10" i="6"/>
  <c r="E12" i="6"/>
  <c r="I14" i="6" l="1"/>
  <c r="Y6" i="6" s="1"/>
  <c r="J6" i="3" s="1"/>
  <c r="F10" i="6"/>
  <c r="O23" i="7"/>
  <c r="M23" i="7"/>
  <c r="N23" i="7" s="1"/>
  <c r="P23" i="7" s="1"/>
  <c r="B23" i="7"/>
  <c r="Q20" i="6"/>
  <c r="Q14" i="6"/>
  <c r="E4" i="6"/>
  <c r="F4" i="6" s="1"/>
  <c r="I4" i="6" l="1"/>
  <c r="X6" i="6" s="1"/>
  <c r="J6" i="2" s="1"/>
  <c r="G23" i="7"/>
  <c r="C23" i="7"/>
  <c r="D23" i="7" s="1"/>
  <c r="F23" i="7" s="1"/>
  <c r="E23" i="7"/>
  <c r="R14" i="6"/>
  <c r="S14" i="6" s="1"/>
  <c r="W6" i="6" s="1"/>
  <c r="K6" i="3" s="1"/>
  <c r="S6" i="2" l="1"/>
  <c r="T6" i="3"/>
  <c r="AJ6" i="3" s="1"/>
  <c r="Y6" i="3"/>
  <c r="AO6" i="3" s="1"/>
  <c r="U6" i="3"/>
  <c r="AK6" i="3" s="1"/>
  <c r="Z6" i="3"/>
  <c r="V6" i="3"/>
  <c r="AL6" i="3" s="1"/>
  <c r="S6" i="3"/>
  <c r="AI6" i="3" s="1"/>
  <c r="W6" i="3"/>
  <c r="AM6" i="3" s="1"/>
  <c r="X6" i="3"/>
  <c r="AN6" i="3" s="1"/>
  <c r="J23" i="7"/>
  <c r="Q23" i="7"/>
  <c r="H23" i="7"/>
  <c r="I23" i="7" s="1"/>
  <c r="K23" i="7" s="1"/>
  <c r="L24" i="7" s="1"/>
  <c r="C27" i="3"/>
  <c r="O24" i="7" l="1"/>
  <c r="M24" i="7"/>
  <c r="N24" i="7" s="1"/>
  <c r="P24" i="7" s="1"/>
  <c r="B24" i="7"/>
  <c r="E6" i="5"/>
  <c r="F6" i="5" s="1"/>
  <c r="G6" i="5" s="1"/>
  <c r="G24" i="7" l="1"/>
  <c r="C24" i="7"/>
  <c r="D24" i="7" s="1"/>
  <c r="E24" i="7"/>
  <c r="Y7" i="5"/>
  <c r="Y8" i="5" s="1"/>
  <c r="Y9" i="5" s="1"/>
  <c r="E7" i="5"/>
  <c r="Z7" i="5" l="1"/>
  <c r="AA7" i="5" s="1"/>
  <c r="Z8" i="5"/>
  <c r="AA8" i="5" s="1"/>
  <c r="F24" i="7"/>
  <c r="J24" i="7"/>
  <c r="Q24" i="7"/>
  <c r="H24" i="7"/>
  <c r="I24" i="7" s="1"/>
  <c r="K24" i="7" s="1"/>
  <c r="L25" i="7" s="1"/>
  <c r="Z9" i="5"/>
  <c r="AA9" i="5" s="1"/>
  <c r="Y10" i="5"/>
  <c r="F7" i="5"/>
  <c r="G7" i="5" s="1"/>
  <c r="E8" i="5"/>
  <c r="M25" i="7" l="1"/>
  <c r="N25" i="7" s="1"/>
  <c r="O25" i="7"/>
  <c r="B25" i="7"/>
  <c r="Z10" i="5"/>
  <c r="AA10" i="5" s="1"/>
  <c r="Y11" i="5"/>
  <c r="E9" i="5"/>
  <c r="F8" i="5"/>
  <c r="G8" i="5" s="1"/>
  <c r="P25" i="7" l="1"/>
  <c r="E25" i="7"/>
  <c r="G25" i="7"/>
  <c r="C25" i="7"/>
  <c r="D25" i="7" s="1"/>
  <c r="F25" i="7" s="1"/>
  <c r="Y12" i="5"/>
  <c r="Z11" i="5"/>
  <c r="AA11" i="5" s="1"/>
  <c r="E10" i="5"/>
  <c r="F9" i="5"/>
  <c r="G9" i="5" s="1"/>
  <c r="J25" i="7" l="1"/>
  <c r="Q25" i="7"/>
  <c r="H25" i="7"/>
  <c r="I25" i="7" s="1"/>
  <c r="K25" i="7" s="1"/>
  <c r="L26" i="7" s="1"/>
  <c r="Y13" i="5"/>
  <c r="Z12" i="5"/>
  <c r="AA12" i="5" s="1"/>
  <c r="F10" i="5"/>
  <c r="G10" i="5" s="1"/>
  <c r="E11" i="5"/>
  <c r="M26" i="7" l="1"/>
  <c r="N26" i="7" s="1"/>
  <c r="P26" i="7" s="1"/>
  <c r="O26" i="7"/>
  <c r="B26" i="7"/>
  <c r="Z13" i="5"/>
  <c r="AA13" i="5" s="1"/>
  <c r="Y14" i="5"/>
  <c r="F11" i="5"/>
  <c r="G11" i="5" s="1"/>
  <c r="E12" i="5"/>
  <c r="E26" i="7" l="1"/>
  <c r="G26" i="7"/>
  <c r="C26" i="7"/>
  <c r="D26" i="7" s="1"/>
  <c r="F26" i="7" s="1"/>
  <c r="Z14" i="5"/>
  <c r="AA14" i="5" s="1"/>
  <c r="Y15" i="5"/>
  <c r="E13" i="5"/>
  <c r="F12" i="5"/>
  <c r="G12" i="5" s="1"/>
  <c r="J26" i="7" l="1"/>
  <c r="Q26" i="7"/>
  <c r="H26" i="7"/>
  <c r="I26" i="7" s="1"/>
  <c r="K26" i="7" s="1"/>
  <c r="L27" i="7" s="1"/>
  <c r="Y16" i="5"/>
  <c r="Z15" i="5"/>
  <c r="AA15" i="5" s="1"/>
  <c r="E14" i="5"/>
  <c r="F13" i="5"/>
  <c r="G13" i="5" s="1"/>
  <c r="M27" i="7" l="1"/>
  <c r="N27" i="7" s="1"/>
  <c r="P27" i="7" s="1"/>
  <c r="O27" i="7"/>
  <c r="B27" i="7"/>
  <c r="Y17" i="5"/>
  <c r="Z16" i="5"/>
  <c r="AA16" i="5" s="1"/>
  <c r="F14" i="5"/>
  <c r="G14" i="5" s="1"/>
  <c r="E15" i="5"/>
  <c r="E27" i="7" l="1"/>
  <c r="G27" i="7"/>
  <c r="C27" i="7"/>
  <c r="D27" i="7" s="1"/>
  <c r="F27" i="7" s="1"/>
  <c r="Z17" i="5"/>
  <c r="AA17" i="5" s="1"/>
  <c r="Y18" i="5"/>
  <c r="F15" i="5"/>
  <c r="G15" i="5" s="1"/>
  <c r="E16" i="5"/>
  <c r="Q27" i="7" l="1"/>
  <c r="H27" i="7"/>
  <c r="I27" i="7" s="1"/>
  <c r="J27" i="7"/>
  <c r="Z18" i="5"/>
  <c r="AA18" i="5" s="1"/>
  <c r="Y19" i="5"/>
  <c r="E17" i="5"/>
  <c r="F16" i="5"/>
  <c r="G16" i="5" s="1"/>
  <c r="K27" i="7" l="1"/>
  <c r="Y20" i="5"/>
  <c r="Z19" i="5"/>
  <c r="AA19" i="5" s="1"/>
  <c r="E18" i="5"/>
  <c r="F17" i="5"/>
  <c r="G17" i="5" s="1"/>
  <c r="L28" i="7" l="1"/>
  <c r="B28" i="7"/>
  <c r="Z20" i="5"/>
  <c r="AA20" i="5" s="1"/>
  <c r="Y21" i="5"/>
  <c r="F18" i="5"/>
  <c r="G18" i="5" s="1"/>
  <c r="E19" i="5"/>
  <c r="E28" i="7" l="1"/>
  <c r="G28" i="7"/>
  <c r="C28" i="7"/>
  <c r="D28" i="7" s="1"/>
  <c r="F28" i="7" s="1"/>
  <c r="M28" i="7"/>
  <c r="N28" i="7" s="1"/>
  <c r="P28" i="7" s="1"/>
  <c r="O28" i="7"/>
  <c r="Z21" i="5"/>
  <c r="AA21" i="5" s="1"/>
  <c r="Y22" i="5"/>
  <c r="E20" i="5"/>
  <c r="F19" i="5"/>
  <c r="G19" i="5" s="1"/>
  <c r="Q28" i="7" l="1"/>
  <c r="H28" i="7"/>
  <c r="I28" i="7" s="1"/>
  <c r="J28" i="7"/>
  <c r="Y23" i="5"/>
  <c r="Z22" i="5"/>
  <c r="AA22" i="5" s="1"/>
  <c r="E21" i="5"/>
  <c r="F20" i="5"/>
  <c r="G20" i="5" s="1"/>
  <c r="K28" i="7" l="1"/>
  <c r="Y24" i="5"/>
  <c r="Z23" i="5"/>
  <c r="AA23" i="5" s="1"/>
  <c r="E22" i="5"/>
  <c r="F21" i="5"/>
  <c r="G21" i="5" s="1"/>
  <c r="L29" i="7" l="1"/>
  <c r="B29" i="7"/>
  <c r="Y25" i="5"/>
  <c r="Z24" i="5"/>
  <c r="AA24" i="5" s="1"/>
  <c r="F22" i="5"/>
  <c r="G22" i="5" s="1"/>
  <c r="E23" i="5"/>
  <c r="E29" i="7" l="1"/>
  <c r="G29" i="7"/>
  <c r="C29" i="7"/>
  <c r="D29" i="7" s="1"/>
  <c r="F29" i="7" s="1"/>
  <c r="M29" i="7"/>
  <c r="N29" i="7" s="1"/>
  <c r="P29" i="7" s="1"/>
  <c r="O29" i="7"/>
  <c r="Z25" i="5"/>
  <c r="AA25" i="5" s="1"/>
  <c r="Y26" i="5"/>
  <c r="E24" i="5"/>
  <c r="F23" i="5"/>
  <c r="G23" i="5" s="1"/>
  <c r="Q29" i="7" l="1"/>
  <c r="H29" i="7"/>
  <c r="I29" i="7" s="1"/>
  <c r="K29" i="7" s="1"/>
  <c r="L30" i="7" s="1"/>
  <c r="J29" i="7"/>
  <c r="Y27" i="5"/>
  <c r="Z26" i="5"/>
  <c r="AA26" i="5" s="1"/>
  <c r="E25" i="5"/>
  <c r="F24" i="5"/>
  <c r="G24" i="5" s="1"/>
  <c r="M30" i="7" l="1"/>
  <c r="N30" i="7" s="1"/>
  <c r="O30" i="7"/>
  <c r="B30" i="7"/>
  <c r="Y28" i="5"/>
  <c r="Z27" i="5"/>
  <c r="AA27" i="5" s="1"/>
  <c r="E26" i="5"/>
  <c r="F25" i="5"/>
  <c r="G25" i="5" s="1"/>
  <c r="E30" i="7" l="1"/>
  <c r="C30" i="7"/>
  <c r="D30" i="7" s="1"/>
  <c r="F30" i="7" s="1"/>
  <c r="G30" i="7"/>
  <c r="P30" i="7"/>
  <c r="Y29" i="5"/>
  <c r="Z28" i="5"/>
  <c r="AA28" i="5" s="1"/>
  <c r="F26" i="5"/>
  <c r="G26" i="5" s="1"/>
  <c r="E27" i="5"/>
  <c r="Q30" i="7" l="1"/>
  <c r="J30" i="7"/>
  <c r="H30" i="7"/>
  <c r="I30" i="7" s="1"/>
  <c r="K30" i="7" s="1"/>
  <c r="L31" i="7" s="1"/>
  <c r="Z29" i="5"/>
  <c r="AA29" i="5" s="1"/>
  <c r="Y30" i="5"/>
  <c r="E28" i="5"/>
  <c r="F27" i="5"/>
  <c r="G27" i="5" s="1"/>
  <c r="M31" i="7" l="1"/>
  <c r="N31" i="7" s="1"/>
  <c r="P31" i="7" s="1"/>
  <c r="O31" i="7"/>
  <c r="B31" i="7"/>
  <c r="Y31" i="5"/>
  <c r="Z30" i="5"/>
  <c r="AA30" i="5" s="1"/>
  <c r="E29" i="5"/>
  <c r="F28" i="5"/>
  <c r="G28" i="5" s="1"/>
  <c r="E31" i="7" l="1"/>
  <c r="G31" i="7"/>
  <c r="C31" i="7"/>
  <c r="D31" i="7" s="1"/>
  <c r="Y32" i="5"/>
  <c r="Z31" i="5"/>
  <c r="AA31" i="5" s="1"/>
  <c r="E30" i="5"/>
  <c r="F29" i="5"/>
  <c r="G29" i="5" s="1"/>
  <c r="F31" i="7" l="1"/>
  <c r="Q31" i="7"/>
  <c r="H31" i="7"/>
  <c r="I31" i="7" s="1"/>
  <c r="J31" i="7"/>
  <c r="Y33" i="5"/>
  <c r="Z32" i="5"/>
  <c r="AA32" i="5" s="1"/>
  <c r="F30" i="5"/>
  <c r="G30" i="5" s="1"/>
  <c r="E31" i="5"/>
  <c r="K31" i="7" l="1"/>
  <c r="L32" i="7" s="1"/>
  <c r="Z33" i="5"/>
  <c r="AA33" i="5" s="1"/>
  <c r="Y34" i="5"/>
  <c r="E32" i="5"/>
  <c r="F31" i="5"/>
  <c r="G31" i="5" s="1"/>
  <c r="B32" i="7" l="1"/>
  <c r="M32" i="7"/>
  <c r="N32" i="7" s="1"/>
  <c r="O32" i="7"/>
  <c r="Y35" i="5"/>
  <c r="Z34" i="5"/>
  <c r="AA34" i="5" s="1"/>
  <c r="E33" i="5"/>
  <c r="F32" i="5"/>
  <c r="G32" i="5" s="1"/>
  <c r="P32" i="7" l="1"/>
  <c r="E32" i="7"/>
  <c r="G32" i="7"/>
  <c r="C32" i="7"/>
  <c r="D32" i="7" s="1"/>
  <c r="F32" i="7" s="1"/>
  <c r="Y36" i="5"/>
  <c r="Z35" i="5"/>
  <c r="AA35" i="5" s="1"/>
  <c r="E34" i="5"/>
  <c r="F33" i="5"/>
  <c r="G33" i="5" s="1"/>
  <c r="Q32" i="7" l="1"/>
  <c r="H32" i="7"/>
  <c r="I32" i="7" s="1"/>
  <c r="J32" i="7"/>
  <c r="Y37" i="5"/>
  <c r="Z36" i="5"/>
  <c r="AA36" i="5" s="1"/>
  <c r="F34" i="5"/>
  <c r="G34" i="5" s="1"/>
  <c r="E35" i="5"/>
  <c r="K32" i="7" l="1"/>
  <c r="Z37" i="5"/>
  <c r="AA37" i="5" s="1"/>
  <c r="Y38" i="5"/>
  <c r="E36" i="5"/>
  <c r="F35" i="5"/>
  <c r="G35" i="5" s="1"/>
  <c r="L33" i="7" l="1"/>
  <c r="B33" i="7"/>
  <c r="Z38" i="5"/>
  <c r="AA38" i="5" s="1"/>
  <c r="Y39" i="5"/>
  <c r="E37" i="5"/>
  <c r="F36" i="5"/>
  <c r="G36" i="5" s="1"/>
  <c r="E33" i="7" l="1"/>
  <c r="G33" i="7"/>
  <c r="C33" i="7"/>
  <c r="D33" i="7" s="1"/>
  <c r="F33" i="7" s="1"/>
  <c r="M33" i="7"/>
  <c r="N33" i="7" s="1"/>
  <c r="P33" i="7" s="1"/>
  <c r="O33" i="7"/>
  <c r="Y40" i="5"/>
  <c r="Z39" i="5"/>
  <c r="AA39" i="5" s="1"/>
  <c r="E38" i="5"/>
  <c r="F37" i="5"/>
  <c r="G37" i="5" s="1"/>
  <c r="Q33" i="7" l="1"/>
  <c r="H33" i="7"/>
  <c r="I33" i="7" s="1"/>
  <c r="J33" i="7"/>
  <c r="Y41" i="5"/>
  <c r="Z40" i="5"/>
  <c r="AA40" i="5" s="1"/>
  <c r="F38" i="5"/>
  <c r="G38" i="5" s="1"/>
  <c r="E39" i="5"/>
  <c r="K33" i="7" l="1"/>
  <c r="Z41" i="5"/>
  <c r="AA41" i="5" s="1"/>
  <c r="Y42" i="5"/>
  <c r="E40" i="5"/>
  <c r="F39" i="5"/>
  <c r="G39" i="5" s="1"/>
  <c r="L34" i="7" l="1"/>
  <c r="B34" i="7"/>
  <c r="Z42" i="5"/>
  <c r="AA42" i="5" s="1"/>
  <c r="Y43" i="5"/>
  <c r="E41" i="5"/>
  <c r="F40" i="5"/>
  <c r="G40" i="5" s="1"/>
  <c r="E34" i="7" l="1"/>
  <c r="G34" i="7"/>
  <c r="C34" i="7"/>
  <c r="D34" i="7" s="1"/>
  <c r="M34" i="7"/>
  <c r="N34" i="7" s="1"/>
  <c r="O34" i="7"/>
  <c r="Y44" i="5"/>
  <c r="Z43" i="5"/>
  <c r="AA43" i="5" s="1"/>
  <c r="E42" i="5"/>
  <c r="F41" i="5"/>
  <c r="G41" i="5" s="1"/>
  <c r="P34" i="7" l="1"/>
  <c r="F34" i="7"/>
  <c r="Q34" i="7"/>
  <c r="H34" i="7"/>
  <c r="I34" i="7" s="1"/>
  <c r="K34" i="7" s="1"/>
  <c r="L35" i="7" s="1"/>
  <c r="J34" i="7"/>
  <c r="Y45" i="5"/>
  <c r="Z44" i="5"/>
  <c r="AA44" i="5" s="1"/>
  <c r="F42" i="5"/>
  <c r="G42" i="5" s="1"/>
  <c r="E43" i="5"/>
  <c r="M35" i="7" l="1"/>
  <c r="N35" i="7" s="1"/>
  <c r="P35" i="7" s="1"/>
  <c r="O35" i="7"/>
  <c r="B35" i="7"/>
  <c r="Z45" i="5"/>
  <c r="AA45" i="5" s="1"/>
  <c r="Y46" i="5"/>
  <c r="E44" i="5"/>
  <c r="F43" i="5"/>
  <c r="G43" i="5" s="1"/>
  <c r="E35" i="7" l="1"/>
  <c r="G35" i="7"/>
  <c r="C35" i="7"/>
  <c r="D35" i="7" s="1"/>
  <c r="Z46" i="5"/>
  <c r="AA46" i="5" s="1"/>
  <c r="Y47" i="5"/>
  <c r="E45" i="5"/>
  <c r="F44" i="5"/>
  <c r="G44" i="5" s="1"/>
  <c r="F35" i="7" l="1"/>
  <c r="Q35" i="7"/>
  <c r="H35" i="7"/>
  <c r="I35" i="7" s="1"/>
  <c r="J35" i="7"/>
  <c r="Y48" i="5"/>
  <c r="Z47" i="5"/>
  <c r="AA47" i="5" s="1"/>
  <c r="E46" i="5"/>
  <c r="F45" i="5"/>
  <c r="G45" i="5" s="1"/>
  <c r="K35" i="7" l="1"/>
  <c r="L36" i="7" s="1"/>
  <c r="Y49" i="5"/>
  <c r="Z48" i="5"/>
  <c r="AA48" i="5" s="1"/>
  <c r="F46" i="5"/>
  <c r="G46" i="5" s="1"/>
  <c r="E47" i="5"/>
  <c r="M36" i="7" l="1"/>
  <c r="N36" i="7" s="1"/>
  <c r="P36" i="7" s="1"/>
  <c r="O36" i="7"/>
  <c r="B36" i="7"/>
  <c r="Z49" i="5"/>
  <c r="AA49" i="5" s="1"/>
  <c r="Y50" i="5"/>
  <c r="E48" i="5"/>
  <c r="F47" i="5"/>
  <c r="G47" i="5" s="1"/>
  <c r="E36" i="7" l="1"/>
  <c r="G36" i="7"/>
  <c r="C36" i="7"/>
  <c r="D36" i="7" s="1"/>
  <c r="Z50" i="5"/>
  <c r="AA50" i="5" s="1"/>
  <c r="Y51" i="5"/>
  <c r="E49" i="5"/>
  <c r="F48" i="5"/>
  <c r="G48" i="5" s="1"/>
  <c r="F36" i="7" l="1"/>
  <c r="Q36" i="7"/>
  <c r="H36" i="7"/>
  <c r="I36" i="7" s="1"/>
  <c r="J36" i="7"/>
  <c r="Y52" i="5"/>
  <c r="Z51" i="5"/>
  <c r="AA51" i="5" s="1"/>
  <c r="E50" i="5"/>
  <c r="F49" i="5"/>
  <c r="G49" i="5" s="1"/>
  <c r="K36" i="7" l="1"/>
  <c r="L37" i="7" s="1"/>
  <c r="Y53" i="5"/>
  <c r="Z52" i="5"/>
  <c r="AA52" i="5" s="1"/>
  <c r="F50" i="5"/>
  <c r="G50" i="5" s="1"/>
  <c r="E51" i="5"/>
  <c r="M37" i="7" l="1"/>
  <c r="N37" i="7" s="1"/>
  <c r="P37" i="7" s="1"/>
  <c r="O37" i="7"/>
  <c r="B37" i="7"/>
  <c r="Z53" i="5"/>
  <c r="AA53" i="5" s="1"/>
  <c r="Y54" i="5"/>
  <c r="F51" i="5"/>
  <c r="G51" i="5" s="1"/>
  <c r="E52" i="5"/>
  <c r="E37" i="7" l="1"/>
  <c r="G37" i="7"/>
  <c r="C37" i="7"/>
  <c r="D37" i="7" s="1"/>
  <c r="Z54" i="5"/>
  <c r="AA54" i="5" s="1"/>
  <c r="Y55" i="5"/>
  <c r="E53" i="5"/>
  <c r="F52" i="5"/>
  <c r="G52" i="5" s="1"/>
  <c r="F37" i="7" l="1"/>
  <c r="Q37" i="7"/>
  <c r="H37" i="7"/>
  <c r="I37" i="7" s="1"/>
  <c r="J37" i="7"/>
  <c r="Y56" i="5"/>
  <c r="Z55" i="5"/>
  <c r="AA55" i="5" s="1"/>
  <c r="E54" i="5"/>
  <c r="F53" i="5"/>
  <c r="G53" i="5" s="1"/>
  <c r="K37" i="7" l="1"/>
  <c r="L38" i="7" s="1"/>
  <c r="Z56" i="5"/>
  <c r="AA56" i="5" s="1"/>
  <c r="Y57" i="5"/>
  <c r="F54" i="5"/>
  <c r="G54" i="5" s="1"/>
  <c r="E55" i="5"/>
  <c r="M38" i="7" l="1"/>
  <c r="N38" i="7" s="1"/>
  <c r="P38" i="7" s="1"/>
  <c r="O38" i="7"/>
  <c r="B38" i="7"/>
  <c r="Z57" i="5"/>
  <c r="AA57" i="5" s="1"/>
  <c r="Y58" i="5"/>
  <c r="F55" i="5"/>
  <c r="G55" i="5" s="1"/>
  <c r="E56" i="5"/>
  <c r="E38" i="7" l="1"/>
  <c r="G38" i="7"/>
  <c r="C38" i="7"/>
  <c r="D38" i="7" s="1"/>
  <c r="Y59" i="5"/>
  <c r="Z58" i="5"/>
  <c r="AA58" i="5" s="1"/>
  <c r="E57" i="5"/>
  <c r="F56" i="5"/>
  <c r="G56" i="5" s="1"/>
  <c r="F38" i="7" l="1"/>
  <c r="Q38" i="7"/>
  <c r="H38" i="7"/>
  <c r="I38" i="7" s="1"/>
  <c r="J38" i="7"/>
  <c r="Y60" i="5"/>
  <c r="Z59" i="5"/>
  <c r="AA59" i="5" s="1"/>
  <c r="E58" i="5"/>
  <c r="F57" i="5"/>
  <c r="G57" i="5" s="1"/>
  <c r="K38" i="7" l="1"/>
  <c r="L39" i="7" s="1"/>
  <c r="Y61" i="5"/>
  <c r="Z60" i="5"/>
  <c r="AA60" i="5" s="1"/>
  <c r="F58" i="5"/>
  <c r="G58" i="5" s="1"/>
  <c r="E59" i="5"/>
  <c r="B39" i="7" l="1"/>
  <c r="M39" i="7"/>
  <c r="N39" i="7" s="1"/>
  <c r="P39" i="7" s="1"/>
  <c r="O39" i="7"/>
  <c r="Z61" i="5"/>
  <c r="AA61" i="5" s="1"/>
  <c r="Y62" i="5"/>
  <c r="F59" i="5"/>
  <c r="G59" i="5" s="1"/>
  <c r="E60" i="5"/>
  <c r="E39" i="7" l="1"/>
  <c r="G39" i="7"/>
  <c r="C39" i="7"/>
  <c r="D39" i="7" s="1"/>
  <c r="F39" i="7" s="1"/>
  <c r="Y63" i="5"/>
  <c r="Z62" i="5"/>
  <c r="AA62" i="5" s="1"/>
  <c r="E61" i="5"/>
  <c r="F60" i="5"/>
  <c r="G60" i="5" s="1"/>
  <c r="F7" i="4"/>
  <c r="F6" i="4"/>
  <c r="D5" i="4"/>
  <c r="D4" i="4"/>
  <c r="Q39" i="7" l="1"/>
  <c r="H39" i="7"/>
  <c r="I39" i="7" s="1"/>
  <c r="J39" i="7"/>
  <c r="Y64" i="5"/>
  <c r="Z63" i="5"/>
  <c r="AA63" i="5" s="1"/>
  <c r="E62" i="5"/>
  <c r="F61" i="5"/>
  <c r="G61" i="5" s="1"/>
  <c r="F8" i="4"/>
  <c r="F9" i="4" s="1"/>
  <c r="K39" i="7" l="1"/>
  <c r="Z64" i="5"/>
  <c r="AA64" i="5" s="1"/>
  <c r="Y65" i="5"/>
  <c r="F62" i="5"/>
  <c r="G62" i="5" s="1"/>
  <c r="E63" i="5"/>
  <c r="L40" i="7" l="1"/>
  <c r="B40" i="7"/>
  <c r="Z65" i="5"/>
  <c r="AA65" i="5" s="1"/>
  <c r="Y66" i="5"/>
  <c r="F63" i="5"/>
  <c r="G63" i="5" s="1"/>
  <c r="E64" i="5"/>
  <c r="F54" i="4"/>
  <c r="F53" i="4"/>
  <c r="B49" i="4"/>
  <c r="D45" i="4"/>
  <c r="D44" i="4"/>
  <c r="D43" i="4"/>
  <c r="D35" i="4"/>
  <c r="D34" i="4"/>
  <c r="D29" i="4"/>
  <c r="D28" i="4"/>
  <c r="D27" i="4"/>
  <c r="D26" i="4"/>
  <c r="D24" i="4"/>
  <c r="D17" i="4"/>
  <c r="D15" i="4"/>
  <c r="D14" i="4"/>
  <c r="D13" i="4"/>
  <c r="E40" i="7" l="1"/>
  <c r="G40" i="7"/>
  <c r="C40" i="7"/>
  <c r="D40" i="7" s="1"/>
  <c r="F40" i="7" s="1"/>
  <c r="M40" i="7"/>
  <c r="N40" i="7" s="1"/>
  <c r="P40" i="7" s="1"/>
  <c r="O40" i="7"/>
  <c r="Y67" i="5"/>
  <c r="Z66" i="5"/>
  <c r="AA66" i="5" s="1"/>
  <c r="E65" i="5"/>
  <c r="F64" i="5"/>
  <c r="G64" i="5" s="1"/>
  <c r="F30" i="3"/>
  <c r="H33" i="3" s="1"/>
  <c r="H22" i="3"/>
  <c r="N19" i="3"/>
  <c r="B20" i="3"/>
  <c r="B19" i="3"/>
  <c r="B18" i="3"/>
  <c r="B17" i="3"/>
  <c r="B16" i="3"/>
  <c r="B20" i="2"/>
  <c r="B19" i="2"/>
  <c r="B18" i="2"/>
  <c r="B17" i="2"/>
  <c r="B16" i="2"/>
  <c r="H22" i="2"/>
  <c r="I15" i="3"/>
  <c r="G15" i="3"/>
  <c r="I14" i="3"/>
  <c r="G14" i="3"/>
  <c r="I13" i="3"/>
  <c r="G13" i="3"/>
  <c r="I12" i="3"/>
  <c r="G12" i="3"/>
  <c r="I11" i="3"/>
  <c r="G11" i="3"/>
  <c r="I10" i="3"/>
  <c r="G10" i="3"/>
  <c r="I9" i="3"/>
  <c r="G9" i="3"/>
  <c r="I8" i="3"/>
  <c r="G8" i="3"/>
  <c r="I7" i="3"/>
  <c r="G7" i="3"/>
  <c r="I6" i="3"/>
  <c r="G6" i="3"/>
  <c r="B63" i="3"/>
  <c r="D63" i="3" s="1"/>
  <c r="B62" i="3"/>
  <c r="D62" i="3" s="1"/>
  <c r="B61" i="3"/>
  <c r="D61" i="3" s="1"/>
  <c r="B60" i="3"/>
  <c r="D60" i="3" s="1"/>
  <c r="B59" i="3"/>
  <c r="D59" i="3" s="1"/>
  <c r="B58" i="3"/>
  <c r="D58" i="3" s="1"/>
  <c r="B57" i="3"/>
  <c r="D57" i="3" s="1"/>
  <c r="D48" i="3"/>
  <c r="D47" i="3"/>
  <c r="D46" i="3"/>
  <c r="D45" i="3"/>
  <c r="D44" i="3"/>
  <c r="N6" i="2" l="1"/>
  <c r="N15" i="2"/>
  <c r="R6" i="2"/>
  <c r="O12" i="2"/>
  <c r="D17" i="3"/>
  <c r="D20" i="3"/>
  <c r="Q40" i="7"/>
  <c r="H40" i="7"/>
  <c r="I40" i="7" s="1"/>
  <c r="J40" i="7"/>
  <c r="D18" i="3"/>
  <c r="P10" i="3"/>
  <c r="AF10" i="3" s="1"/>
  <c r="D19" i="3"/>
  <c r="Q15" i="3"/>
  <c r="AG15" i="3" s="1"/>
  <c r="D16" i="3"/>
  <c r="N6" i="3"/>
  <c r="AD6" i="3" s="1"/>
  <c r="L6" i="3"/>
  <c r="AB6" i="3" s="1"/>
  <c r="M6" i="3"/>
  <c r="AC6" i="3" s="1"/>
  <c r="Y68" i="5"/>
  <c r="Z67" i="5"/>
  <c r="AA67" i="5" s="1"/>
  <c r="E66" i="5"/>
  <c r="F65" i="5"/>
  <c r="G65" i="5" s="1"/>
  <c r="D19" i="2"/>
  <c r="D16" i="2"/>
  <c r="D20" i="2"/>
  <c r="D17" i="2"/>
  <c r="D18" i="2"/>
  <c r="H34" i="3"/>
  <c r="C29" i="3"/>
  <c r="D49" i="3"/>
  <c r="J19" i="3" s="1"/>
  <c r="B56" i="3"/>
  <c r="I11" i="2"/>
  <c r="I12" i="2"/>
  <c r="I13" i="2"/>
  <c r="I14" i="2"/>
  <c r="I15" i="2"/>
  <c r="G11" i="2"/>
  <c r="G12" i="2"/>
  <c r="G13" i="2"/>
  <c r="G14" i="2"/>
  <c r="G15" i="2"/>
  <c r="L15" i="2" s="1"/>
  <c r="I7" i="2"/>
  <c r="I8" i="2"/>
  <c r="I9" i="2"/>
  <c r="I10" i="2"/>
  <c r="G7" i="2"/>
  <c r="G8" i="2"/>
  <c r="G9" i="2"/>
  <c r="G10" i="2"/>
  <c r="G6" i="2"/>
  <c r="L6" i="2" s="1"/>
  <c r="D21" i="3" l="1"/>
  <c r="K40" i="7"/>
  <c r="L26" i="3"/>
  <c r="P26" i="3" s="1"/>
  <c r="L23" i="3"/>
  <c r="P23" i="3" s="1"/>
  <c r="L22" i="3"/>
  <c r="P22" i="3" s="1"/>
  <c r="L25" i="3"/>
  <c r="P25" i="3" s="1"/>
  <c r="L24" i="3"/>
  <c r="P24" i="3" s="1"/>
  <c r="D56" i="3"/>
  <c r="D64" i="3" s="1"/>
  <c r="J30" i="3" s="1"/>
  <c r="L33" i="3" s="1"/>
  <c r="M6" i="2"/>
  <c r="Y69" i="5"/>
  <c r="Z68" i="5"/>
  <c r="AA68" i="5" s="1"/>
  <c r="F66" i="5"/>
  <c r="G66" i="5" s="1"/>
  <c r="E67" i="5"/>
  <c r="D21" i="2"/>
  <c r="L10" i="2"/>
  <c r="M9" i="2"/>
  <c r="L14" i="2"/>
  <c r="L12" i="2"/>
  <c r="M13" i="2"/>
  <c r="L11" i="2"/>
  <c r="L13" i="2"/>
  <c r="M15" i="2"/>
  <c r="L41" i="7" l="1"/>
  <c r="B41" i="7"/>
  <c r="L37" i="3"/>
  <c r="L40" i="3"/>
  <c r="L34" i="3"/>
  <c r="L35" i="3"/>
  <c r="L36" i="3"/>
  <c r="L38" i="3"/>
  <c r="L39" i="3"/>
  <c r="Z69" i="5"/>
  <c r="AA69" i="5" s="1"/>
  <c r="Y70" i="5"/>
  <c r="F67" i="5"/>
  <c r="G67" i="5" s="1"/>
  <c r="E68" i="5"/>
  <c r="R11" i="3"/>
  <c r="AH11" i="3" s="1"/>
  <c r="O11" i="3"/>
  <c r="AE11" i="3" s="1"/>
  <c r="L11" i="3"/>
  <c r="AB11" i="3" s="1"/>
  <c r="O10" i="3"/>
  <c r="AE10" i="3" s="1"/>
  <c r="N10" i="3"/>
  <c r="AD10" i="3" s="1"/>
  <c r="M7" i="3"/>
  <c r="AC7" i="3" s="1"/>
  <c r="N8" i="3"/>
  <c r="AD8" i="3" s="1"/>
  <c r="Q12" i="3"/>
  <c r="AG12" i="3" s="1"/>
  <c r="N12" i="3"/>
  <c r="AD12" i="3" s="1"/>
  <c r="Q13" i="3"/>
  <c r="AG13" i="3" s="1"/>
  <c r="M15" i="3"/>
  <c r="AC15" i="3" s="1"/>
  <c r="L9" i="3"/>
  <c r="AB9" i="3" s="1"/>
  <c r="P9" i="3"/>
  <c r="AF9" i="3" s="1"/>
  <c r="R8" i="2"/>
  <c r="Q8" i="2"/>
  <c r="O8" i="2"/>
  <c r="P8" i="2"/>
  <c r="L8" i="2"/>
  <c r="M8" i="2"/>
  <c r="N7" i="2"/>
  <c r="P12" i="2"/>
  <c r="N14" i="2"/>
  <c r="P14" i="2"/>
  <c r="R14" i="2"/>
  <c r="O14" i="2"/>
  <c r="Q14" i="2"/>
  <c r="P10" i="2"/>
  <c r="O10" i="2"/>
  <c r="R10" i="2"/>
  <c r="N10" i="2"/>
  <c r="Q10" i="2"/>
  <c r="P15" i="2"/>
  <c r="P7" i="2"/>
  <c r="N12" i="2"/>
  <c r="Q15" i="2"/>
  <c r="O13" i="2"/>
  <c r="R7" i="2"/>
  <c r="P11" i="2"/>
  <c r="M14" i="2"/>
  <c r="R15" i="2"/>
  <c r="P13" i="2"/>
  <c r="O15" i="2"/>
  <c r="Q13" i="2"/>
  <c r="Q7" i="2"/>
  <c r="R11" i="2"/>
  <c r="N9" i="2"/>
  <c r="P9" i="2"/>
  <c r="Q9" i="2"/>
  <c r="O9" i="2"/>
  <c r="R9" i="2"/>
  <c r="Q12" i="2"/>
  <c r="R13" i="2"/>
  <c r="N8" i="2"/>
  <c r="N13" i="2"/>
  <c r="R12" i="2"/>
  <c r="O11" i="2"/>
  <c r="L9" i="2"/>
  <c r="O7" i="2"/>
  <c r="Q11" i="2"/>
  <c r="N11" i="2"/>
  <c r="Q14" i="3"/>
  <c r="AG14" i="3" s="1"/>
  <c r="M14" i="3"/>
  <c r="AC14" i="3" s="1"/>
  <c r="L8" i="3"/>
  <c r="AB8" i="3" s="1"/>
  <c r="L10" i="3"/>
  <c r="AB10" i="3" s="1"/>
  <c r="L14" i="3"/>
  <c r="AB14" i="3" s="1"/>
  <c r="R6" i="3"/>
  <c r="AH6" i="3" s="1"/>
  <c r="P6" i="3"/>
  <c r="AF6" i="3" s="1"/>
  <c r="M13" i="3"/>
  <c r="AC13" i="3" s="1"/>
  <c r="R13" i="3"/>
  <c r="AH13" i="3" s="1"/>
  <c r="N13" i="3"/>
  <c r="AD13" i="3" s="1"/>
  <c r="O13" i="3"/>
  <c r="AE13" i="3" s="1"/>
  <c r="L13" i="3"/>
  <c r="AB13" i="3" s="1"/>
  <c r="P13" i="3"/>
  <c r="AF13" i="3" s="1"/>
  <c r="O6" i="3"/>
  <c r="AE6" i="3" s="1"/>
  <c r="N7" i="3"/>
  <c r="AD7" i="3" s="1"/>
  <c r="O15" i="3"/>
  <c r="AE15" i="3" s="1"/>
  <c r="L15" i="3"/>
  <c r="AB15" i="3" s="1"/>
  <c r="R15" i="3"/>
  <c r="AH15" i="3" s="1"/>
  <c r="N15" i="3"/>
  <c r="AD15" i="3" s="1"/>
  <c r="N14" i="3"/>
  <c r="AD14" i="3" s="1"/>
  <c r="P14" i="3"/>
  <c r="AF14" i="3" s="1"/>
  <c r="R14" i="3"/>
  <c r="AH14" i="3" s="1"/>
  <c r="O9" i="3"/>
  <c r="AE9" i="3" s="1"/>
  <c r="R9" i="3"/>
  <c r="AH9" i="3" s="1"/>
  <c r="M9" i="3"/>
  <c r="AC9" i="3" s="1"/>
  <c r="N9" i="3"/>
  <c r="AD9" i="3" s="1"/>
  <c r="Q9" i="3"/>
  <c r="AG9" i="3" s="1"/>
  <c r="N11" i="3"/>
  <c r="M8" i="3"/>
  <c r="AC8" i="3" s="1"/>
  <c r="Q8" i="3"/>
  <c r="AG8" i="3" s="1"/>
  <c r="O7" i="3"/>
  <c r="AE7" i="3" s="1"/>
  <c r="O14" i="3"/>
  <c r="AE14" i="3" s="1"/>
  <c r="P11" i="3"/>
  <c r="AF11" i="3" s="1"/>
  <c r="O12" i="3"/>
  <c r="AE12" i="3" s="1"/>
  <c r="R12" i="3"/>
  <c r="AH12" i="3" s="1"/>
  <c r="P12" i="3"/>
  <c r="AF12" i="3" s="1"/>
  <c r="R10" i="3"/>
  <c r="AH10" i="3" s="1"/>
  <c r="M10" i="3"/>
  <c r="AC10" i="3" s="1"/>
  <c r="P8" i="3"/>
  <c r="AF8" i="3" s="1"/>
  <c r="O8" i="3"/>
  <c r="AE8" i="3" s="1"/>
  <c r="Q11" i="3"/>
  <c r="AG11" i="3" s="1"/>
  <c r="P15" i="3"/>
  <c r="AF15" i="3" s="1"/>
  <c r="Q6" i="3"/>
  <c r="AG6" i="3" s="1"/>
  <c r="M11" i="3"/>
  <c r="AC11" i="3" s="1"/>
  <c r="L12" i="3"/>
  <c r="AB12" i="3" s="1"/>
  <c r="R7" i="3"/>
  <c r="AH7" i="3" s="1"/>
  <c r="Q7" i="3"/>
  <c r="AG7" i="3" s="1"/>
  <c r="L7" i="3"/>
  <c r="AB7" i="3" s="1"/>
  <c r="P7" i="3"/>
  <c r="AF7" i="3" s="1"/>
  <c r="M12" i="3"/>
  <c r="AC12" i="3" s="1"/>
  <c r="Q10" i="3"/>
  <c r="AG10" i="3" s="1"/>
  <c r="R8" i="3"/>
  <c r="AH8" i="3" s="1"/>
  <c r="M11" i="2"/>
  <c r="M10" i="2"/>
  <c r="M12" i="2"/>
  <c r="Z70" i="5" l="1"/>
  <c r="AA70" i="5" s="1"/>
  <c r="Y71" i="5"/>
  <c r="E41" i="7"/>
  <c r="G41" i="7"/>
  <c r="C41" i="7"/>
  <c r="D41" i="7" s="1"/>
  <c r="F41" i="7" s="1"/>
  <c r="M41" i="7"/>
  <c r="N41" i="7" s="1"/>
  <c r="P41" i="7" s="1"/>
  <c r="O41" i="7"/>
  <c r="E69" i="5"/>
  <c r="F68" i="5"/>
  <c r="G68" i="5" s="1"/>
  <c r="M7" i="2"/>
  <c r="L7" i="2"/>
  <c r="B46" i="2"/>
  <c r="B45" i="2"/>
  <c r="B44" i="2"/>
  <c r="B43" i="2"/>
  <c r="B42" i="2"/>
  <c r="B41" i="2"/>
  <c r="B40" i="2"/>
  <c r="F30" i="2"/>
  <c r="D31" i="2"/>
  <c r="D30" i="2"/>
  <c r="D29" i="2"/>
  <c r="D28" i="2"/>
  <c r="D27" i="2"/>
  <c r="Y72" i="5" l="1"/>
  <c r="Z71" i="5"/>
  <c r="AA71" i="5" s="1"/>
  <c r="Q41" i="7"/>
  <c r="H41" i="7"/>
  <c r="I41" i="7" s="1"/>
  <c r="J41" i="7"/>
  <c r="E70" i="5"/>
  <c r="F69" i="5"/>
  <c r="G69" i="5" s="1"/>
  <c r="O6" i="2"/>
  <c r="P6" i="2"/>
  <c r="Q6" i="2"/>
  <c r="H34" i="2"/>
  <c r="H33" i="2"/>
  <c r="D43" i="2"/>
  <c r="D40" i="2"/>
  <c r="D44" i="2"/>
  <c r="D42" i="2"/>
  <c r="D41" i="2"/>
  <c r="D45" i="2"/>
  <c r="D32" i="2"/>
  <c r="B39" i="2"/>
  <c r="D46" i="2"/>
  <c r="C21" i="1"/>
  <c r="C20" i="1"/>
  <c r="F13" i="1"/>
  <c r="C13" i="1"/>
  <c r="F11" i="1"/>
  <c r="F6" i="1"/>
  <c r="C6" i="1"/>
  <c r="E25" i="1" s="1"/>
  <c r="F4" i="1"/>
  <c r="F70" i="5" l="1"/>
  <c r="G70" i="5" s="1"/>
  <c r="E71" i="5"/>
  <c r="Y73" i="5"/>
  <c r="Z72" i="5"/>
  <c r="AA72" i="5" s="1"/>
  <c r="K41" i="7"/>
  <c r="O19" i="2"/>
  <c r="J19" i="2"/>
  <c r="D39" i="2"/>
  <c r="D47" i="2" s="1"/>
  <c r="J30" i="2" s="1"/>
  <c r="C14" i="1"/>
  <c r="Z73" i="5" l="1"/>
  <c r="AA73" i="5" s="1"/>
  <c r="Y74" i="5"/>
  <c r="F71" i="5"/>
  <c r="G71" i="5" s="1"/>
  <c r="E72" i="5"/>
  <c r="L42" i="7"/>
  <c r="B42" i="7"/>
  <c r="M39" i="2"/>
  <c r="M40" i="2"/>
  <c r="M34" i="2"/>
  <c r="M35" i="2"/>
  <c r="M37" i="2"/>
  <c r="M38" i="2"/>
  <c r="M36" i="2"/>
  <c r="M33" i="2"/>
  <c r="M26" i="2"/>
  <c r="Q26" i="2" s="1"/>
  <c r="M23" i="2"/>
  <c r="Q23" i="2" s="1"/>
  <c r="M22" i="2"/>
  <c r="Q22" i="2" s="1"/>
  <c r="M25" i="2"/>
  <c r="Q25" i="2" s="1"/>
  <c r="M24" i="2"/>
  <c r="Q24" i="2" s="1"/>
  <c r="C15" i="1"/>
  <c r="Y75" i="5" l="1"/>
  <c r="Z74" i="5"/>
  <c r="AA74" i="5" s="1"/>
  <c r="F72" i="5"/>
  <c r="G72" i="5" s="1"/>
  <c r="E73" i="5"/>
  <c r="E42" i="7"/>
  <c r="G42" i="7"/>
  <c r="C42" i="7"/>
  <c r="D42" i="7" s="1"/>
  <c r="M42" i="7"/>
  <c r="N42" i="7" s="1"/>
  <c r="O42" i="7"/>
  <c r="Y76" i="5" l="1"/>
  <c r="Z75" i="5"/>
  <c r="AA75" i="5" s="1"/>
  <c r="E74" i="5"/>
  <c r="F73" i="5"/>
  <c r="G73" i="5" s="1"/>
  <c r="P42" i="7"/>
  <c r="F42" i="7"/>
  <c r="Q42" i="7"/>
  <c r="H42" i="7"/>
  <c r="I42" i="7" s="1"/>
  <c r="K42" i="7" s="1"/>
  <c r="L43" i="7" s="1"/>
  <c r="J42" i="7"/>
  <c r="Y77" i="5" l="1"/>
  <c r="Z76" i="5"/>
  <c r="AA76" i="5" s="1"/>
  <c r="F74" i="5"/>
  <c r="G74" i="5" s="1"/>
  <c r="E75" i="5"/>
  <c r="M43" i="7"/>
  <c r="N43" i="7" s="1"/>
  <c r="P43" i="7" s="1"/>
  <c r="O43" i="7"/>
  <c r="B43" i="7"/>
  <c r="F75" i="5" l="1"/>
  <c r="G75" i="5" s="1"/>
  <c r="E76" i="5"/>
  <c r="Z77" i="5"/>
  <c r="AA77" i="5" s="1"/>
  <c r="Y78" i="5"/>
  <c r="E43" i="7"/>
  <c r="G43" i="7"/>
  <c r="C43" i="7"/>
  <c r="D43" i="7" s="1"/>
  <c r="F76" i="5" l="1"/>
  <c r="G76" i="5" s="1"/>
  <c r="E77" i="5"/>
  <c r="Y79" i="5"/>
  <c r="Z78" i="5"/>
  <c r="AA78" i="5" s="1"/>
  <c r="F43" i="7"/>
  <c r="Q43" i="7"/>
  <c r="H43" i="7"/>
  <c r="I43" i="7" s="1"/>
  <c r="J43" i="7"/>
  <c r="Y80" i="5" l="1"/>
  <c r="Z79" i="5"/>
  <c r="AA79" i="5" s="1"/>
  <c r="E78" i="5"/>
  <c r="F77" i="5"/>
  <c r="G77" i="5" s="1"/>
  <c r="K43" i="7"/>
  <c r="L44" i="7" s="1"/>
  <c r="E79" i="5" l="1"/>
  <c r="F78" i="5"/>
  <c r="G78" i="5" s="1"/>
  <c r="Y81" i="5"/>
  <c r="Z80" i="5"/>
  <c r="AA80" i="5" s="1"/>
  <c r="M44" i="7"/>
  <c r="N44" i="7" s="1"/>
  <c r="P44" i="7" s="1"/>
  <c r="O44" i="7"/>
  <c r="B44" i="7"/>
  <c r="Z81" i="5" l="1"/>
  <c r="AA81" i="5" s="1"/>
  <c r="Y82" i="5"/>
  <c r="F79" i="5"/>
  <c r="G79" i="5" s="1"/>
  <c r="E80" i="5"/>
  <c r="E44" i="7"/>
  <c r="G44" i="7"/>
  <c r="C44" i="7"/>
  <c r="D44" i="7" s="1"/>
  <c r="F44" i="7" s="1"/>
  <c r="F80" i="5" l="1"/>
  <c r="G80" i="5" s="1"/>
  <c r="E81" i="5"/>
  <c r="Z82" i="5"/>
  <c r="AA82" i="5" s="1"/>
  <c r="Y83" i="5"/>
  <c r="Q44" i="7"/>
  <c r="H44" i="7"/>
  <c r="I44" i="7" s="1"/>
  <c r="J44" i="7"/>
  <c r="Y84" i="5" l="1"/>
  <c r="Z83" i="5"/>
  <c r="AA83" i="5" s="1"/>
  <c r="E82" i="5"/>
  <c r="F81" i="5"/>
  <c r="G81" i="5" s="1"/>
  <c r="K44" i="7"/>
  <c r="E83" i="5" l="1"/>
  <c r="F82" i="5"/>
  <c r="G82" i="5" s="1"/>
  <c r="Y85" i="5"/>
  <c r="Z84" i="5"/>
  <c r="AA84" i="5" s="1"/>
  <c r="L45" i="7"/>
  <c r="B45" i="7"/>
  <c r="Y86" i="5" l="1"/>
  <c r="Z85" i="5"/>
  <c r="AA85" i="5" s="1"/>
  <c r="F83" i="5"/>
  <c r="G83" i="5" s="1"/>
  <c r="E84" i="5"/>
  <c r="E45" i="7"/>
  <c r="G45" i="7"/>
  <c r="C45" i="7"/>
  <c r="D45" i="7" s="1"/>
  <c r="F45" i="7" s="1"/>
  <c r="M45" i="7"/>
  <c r="N45" i="7" s="1"/>
  <c r="P45" i="7" s="1"/>
  <c r="O45" i="7"/>
  <c r="F84" i="5" l="1"/>
  <c r="G84" i="5" s="1"/>
  <c r="E85" i="5"/>
  <c r="Z86" i="5"/>
  <c r="AA86" i="5" s="1"/>
  <c r="Y87" i="5"/>
  <c r="Q45" i="7"/>
  <c r="H45" i="7"/>
  <c r="I45" i="7" s="1"/>
  <c r="J45" i="7"/>
  <c r="Y88" i="5" l="1"/>
  <c r="Z87" i="5"/>
  <c r="AA87" i="5" s="1"/>
  <c r="E86" i="5"/>
  <c r="F85" i="5"/>
  <c r="G85" i="5" s="1"/>
  <c r="K45" i="7"/>
  <c r="E87" i="5" l="1"/>
  <c r="F86" i="5"/>
  <c r="G86" i="5" s="1"/>
  <c r="Y89" i="5"/>
  <c r="Z88" i="5"/>
  <c r="AA88" i="5" s="1"/>
  <c r="L46" i="7"/>
  <c r="B46" i="7"/>
  <c r="Z89" i="5" l="1"/>
  <c r="AA89" i="5" s="1"/>
  <c r="Y90" i="5"/>
  <c r="E88" i="5"/>
  <c r="F87" i="5"/>
  <c r="G87" i="5" s="1"/>
  <c r="G46" i="7"/>
  <c r="E46" i="7"/>
  <c r="C46" i="7"/>
  <c r="D46" i="7" s="1"/>
  <c r="F46" i="7" s="1"/>
  <c r="O46" i="7"/>
  <c r="M46" i="7"/>
  <c r="N46" i="7" s="1"/>
  <c r="P46" i="7" s="1"/>
  <c r="F88" i="5" l="1"/>
  <c r="G88" i="5" s="1"/>
  <c r="E89" i="5"/>
  <c r="Z90" i="5"/>
  <c r="AA90" i="5" s="1"/>
  <c r="Y91" i="5"/>
  <c r="J46" i="7"/>
  <c r="Q46" i="7"/>
  <c r="H46" i="7"/>
  <c r="I46" i="7" s="1"/>
  <c r="K46" i="7" s="1"/>
  <c r="L47" i="7" s="1"/>
  <c r="Y92" i="5" l="1"/>
  <c r="Z91" i="5"/>
  <c r="AA91" i="5" s="1"/>
  <c r="F89" i="5"/>
  <c r="G89" i="5" s="1"/>
  <c r="E90" i="5"/>
  <c r="O47" i="7"/>
  <c r="M47" i="7"/>
  <c r="N47" i="7" s="1"/>
  <c r="P47" i="7" s="1"/>
  <c r="B47" i="7"/>
  <c r="E91" i="5" l="1"/>
  <c r="F90" i="5"/>
  <c r="G90" i="5" s="1"/>
  <c r="Z92" i="5"/>
  <c r="AA92" i="5" s="1"/>
  <c r="Y93" i="5"/>
  <c r="G47" i="7"/>
  <c r="E47" i="7"/>
  <c r="C47" i="7"/>
  <c r="D47" i="7" s="1"/>
  <c r="F47" i="7" s="1"/>
  <c r="Z93" i="5" l="1"/>
  <c r="AA93" i="5" s="1"/>
  <c r="Y94" i="5"/>
  <c r="Z94" i="5" s="1"/>
  <c r="AA94" i="5" s="1"/>
  <c r="E92" i="5"/>
  <c r="F91" i="5"/>
  <c r="G91" i="5" s="1"/>
  <c r="J47" i="7"/>
  <c r="H47" i="7"/>
  <c r="I47" i="7" s="1"/>
  <c r="K47" i="7" s="1"/>
  <c r="L48" i="7" s="1"/>
  <c r="Q47" i="7"/>
  <c r="E93" i="5" l="1"/>
  <c r="F92" i="5"/>
  <c r="G92" i="5" s="1"/>
  <c r="O48" i="7"/>
  <c r="M48" i="7"/>
  <c r="N48" i="7" s="1"/>
  <c r="B48" i="7"/>
  <c r="E94" i="5" l="1"/>
  <c r="F94" i="5" s="1"/>
  <c r="G94" i="5" s="1"/>
  <c r="F93" i="5"/>
  <c r="G93" i="5" s="1"/>
  <c r="G48" i="7"/>
  <c r="E48" i="7"/>
  <c r="C48" i="7"/>
  <c r="D48" i="7" s="1"/>
  <c r="F48" i="7" s="1"/>
  <c r="P48" i="7"/>
  <c r="J48" i="7" l="1"/>
  <c r="Q48" i="7"/>
  <c r="H48" i="7"/>
  <c r="I48" i="7" s="1"/>
  <c r="K48" i="7" s="1"/>
  <c r="L49" i="7" s="1"/>
  <c r="M49" i="7" l="1"/>
  <c r="N49" i="7" s="1"/>
  <c r="O49" i="7"/>
  <c r="B49" i="7"/>
  <c r="E49" i="7" l="1"/>
  <c r="G49" i="7"/>
  <c r="C49" i="7"/>
  <c r="D49" i="7" s="1"/>
  <c r="F49" i="7" s="1"/>
  <c r="P49" i="7"/>
  <c r="J49" i="7" l="1"/>
  <c r="Q49" i="7"/>
  <c r="H49" i="7"/>
  <c r="I49" i="7" s="1"/>
  <c r="K49" i="7" s="1"/>
  <c r="L50" i="7" s="1"/>
  <c r="M50" i="7" l="1"/>
  <c r="N50" i="7" s="1"/>
  <c r="P50" i="7" s="1"/>
  <c r="O50" i="7"/>
  <c r="B50" i="7"/>
  <c r="E50" i="7" l="1"/>
  <c r="G50" i="7"/>
  <c r="C50" i="7"/>
  <c r="D50" i="7" s="1"/>
  <c r="F50" i="7" s="1"/>
  <c r="J50" i="7" l="1"/>
  <c r="Q50" i="7"/>
  <c r="H50" i="7"/>
  <c r="I50" i="7" s="1"/>
  <c r="K50" i="7" s="1"/>
  <c r="L51" i="7" s="1"/>
  <c r="M51" i="7" l="1"/>
  <c r="N51" i="7" s="1"/>
  <c r="O51" i="7"/>
  <c r="B51" i="7"/>
  <c r="E51" i="7" l="1"/>
  <c r="G51" i="7"/>
  <c r="C51" i="7"/>
  <c r="D51" i="7" s="1"/>
  <c r="F51" i="7" s="1"/>
  <c r="P51" i="7"/>
  <c r="J51" i="7" l="1"/>
  <c r="Q51" i="7"/>
  <c r="H51" i="7"/>
  <c r="I51" i="7" s="1"/>
  <c r="K51" i="7" s="1"/>
  <c r="L52" i="7" s="1"/>
  <c r="M52" i="7" l="1"/>
  <c r="N52" i="7" s="1"/>
  <c r="P52" i="7" s="1"/>
  <c r="O52" i="7"/>
  <c r="B52" i="7"/>
  <c r="E52" i="7" l="1"/>
  <c r="G52" i="7"/>
  <c r="C52" i="7"/>
  <c r="D52" i="7" s="1"/>
  <c r="F52" i="7" s="1"/>
  <c r="J52" i="7" l="1"/>
  <c r="Q52" i="7"/>
  <c r="H52" i="7"/>
  <c r="I52" i="7" s="1"/>
  <c r="K52" i="7" s="1"/>
  <c r="L53" i="7" s="1"/>
  <c r="M53" i="7" l="1"/>
  <c r="N53" i="7" s="1"/>
  <c r="P53" i="7" s="1"/>
  <c r="O53" i="7"/>
  <c r="B53" i="7"/>
  <c r="E53" i="7" l="1"/>
  <c r="G53" i="7"/>
  <c r="C53" i="7"/>
  <c r="D53" i="7" s="1"/>
  <c r="F53" i="7" l="1"/>
  <c r="J53" i="7"/>
  <c r="Q53" i="7"/>
  <c r="H53" i="7"/>
  <c r="I53" i="7" s="1"/>
  <c r="K53" i="7" s="1"/>
  <c r="L54" i="7" s="1"/>
  <c r="M54" i="7" l="1"/>
  <c r="N54" i="7" s="1"/>
  <c r="P54" i="7" s="1"/>
  <c r="O54" i="7"/>
  <c r="B54" i="7"/>
  <c r="E54" i="7" l="1"/>
  <c r="G54" i="7"/>
  <c r="C54" i="7"/>
  <c r="D54" i="7" s="1"/>
  <c r="F54" i="7" s="1"/>
  <c r="J54" i="7" l="1"/>
  <c r="Q54" i="7"/>
  <c r="H54" i="7"/>
  <c r="I54" i="7" s="1"/>
  <c r="K54" i="7" s="1"/>
  <c r="L55" i="7" s="1"/>
  <c r="M55" i="7" l="1"/>
  <c r="N55" i="7" s="1"/>
  <c r="P55" i="7" s="1"/>
  <c r="O55" i="7"/>
  <c r="B55" i="7"/>
  <c r="E55" i="7" l="1"/>
  <c r="G55" i="7"/>
  <c r="C55" i="7"/>
  <c r="D55" i="7" s="1"/>
  <c r="F55" i="7" s="1"/>
  <c r="J55" i="7" l="1"/>
  <c r="Q55" i="7"/>
  <c r="H55" i="7"/>
  <c r="I55" i="7" s="1"/>
  <c r="K55" i="7" s="1"/>
  <c r="L56" i="7" s="1"/>
  <c r="M56" i="7" l="1"/>
  <c r="N56" i="7" s="1"/>
  <c r="P56" i="7" s="1"/>
  <c r="O56" i="7"/>
  <c r="B56" i="7"/>
  <c r="E56" i="7" l="1"/>
  <c r="G56" i="7"/>
  <c r="C56" i="7"/>
  <c r="D56" i="7" s="1"/>
  <c r="F56" i="7" s="1"/>
  <c r="J56" i="7" l="1"/>
  <c r="Q56" i="7"/>
  <c r="H56" i="7"/>
  <c r="I56" i="7" s="1"/>
  <c r="K56" i="7" s="1"/>
  <c r="L57" i="7" s="1"/>
  <c r="M57" i="7" l="1"/>
  <c r="N57" i="7" s="1"/>
  <c r="P57" i="7" s="1"/>
  <c r="O57" i="7"/>
  <c r="B57" i="7"/>
  <c r="E57" i="7" l="1"/>
  <c r="G57" i="7"/>
  <c r="C57" i="7"/>
  <c r="D57" i="7" s="1"/>
  <c r="F57" i="7" s="1"/>
  <c r="J57" i="7" l="1"/>
  <c r="Q57" i="7"/>
  <c r="H57" i="7"/>
  <c r="I57" i="7" s="1"/>
  <c r="K57" i="7" s="1"/>
  <c r="L58" i="7" s="1"/>
  <c r="M58" i="7" l="1"/>
  <c r="N58" i="7" s="1"/>
  <c r="P58" i="7" s="1"/>
  <c r="O58" i="7"/>
  <c r="B58" i="7"/>
  <c r="E58" i="7" l="1"/>
  <c r="G58" i="7"/>
  <c r="C58" i="7"/>
  <c r="D58" i="7" s="1"/>
  <c r="F58" i="7" s="1"/>
  <c r="J58" i="7" l="1"/>
  <c r="Q58" i="7"/>
  <c r="H58" i="7"/>
  <c r="I58" i="7" s="1"/>
  <c r="K58" i="7" s="1"/>
  <c r="L59" i="7" s="1"/>
  <c r="M59" i="7" l="1"/>
  <c r="N59" i="7" s="1"/>
  <c r="P59" i="7" s="1"/>
  <c r="O59" i="7"/>
  <c r="B59" i="7"/>
  <c r="E59" i="7" l="1"/>
  <c r="G59" i="7"/>
  <c r="C59" i="7"/>
  <c r="D59" i="7" s="1"/>
  <c r="F59" i="7" l="1"/>
  <c r="J59" i="7"/>
  <c r="Q59" i="7"/>
  <c r="H59" i="7"/>
  <c r="I59" i="7" s="1"/>
  <c r="K59" i="7" s="1"/>
  <c r="L60" i="7" s="1"/>
  <c r="M60" i="7" l="1"/>
  <c r="N60" i="7" s="1"/>
  <c r="P60" i="7" s="1"/>
  <c r="O60" i="7"/>
  <c r="B60" i="7"/>
  <c r="E60" i="7" l="1"/>
  <c r="G60" i="7"/>
  <c r="C60" i="7"/>
  <c r="D60" i="7" s="1"/>
  <c r="F60" i="7" s="1"/>
  <c r="J60" i="7" l="1"/>
  <c r="Q60" i="7"/>
  <c r="H60" i="7"/>
  <c r="I60" i="7" s="1"/>
  <c r="K60" i="7" s="1"/>
  <c r="L61" i="7" s="1"/>
  <c r="M61" i="7" l="1"/>
  <c r="N61" i="7" s="1"/>
  <c r="P61" i="7" s="1"/>
  <c r="O61" i="7"/>
  <c r="B61" i="7"/>
  <c r="E61" i="7" l="1"/>
  <c r="G61" i="7"/>
  <c r="C61" i="7"/>
  <c r="D61" i="7" s="1"/>
  <c r="F61" i="7" s="1"/>
  <c r="J61" i="7" l="1"/>
  <c r="Q61" i="7"/>
  <c r="H61" i="7"/>
  <c r="I61" i="7" s="1"/>
  <c r="K61" i="7" s="1"/>
  <c r="L62" i="7" s="1"/>
  <c r="M62" i="7" l="1"/>
  <c r="N62" i="7" s="1"/>
  <c r="P62" i="7" s="1"/>
  <c r="O62" i="7"/>
  <c r="B62" i="7"/>
  <c r="E62" i="7" l="1"/>
  <c r="G62" i="7"/>
  <c r="C62" i="7"/>
  <c r="D62" i="7" s="1"/>
  <c r="F62" i="7" s="1"/>
  <c r="J62" i="7" l="1"/>
  <c r="Q62" i="7"/>
  <c r="H62" i="7"/>
  <c r="I62" i="7" s="1"/>
  <c r="K62" i="7" s="1"/>
  <c r="L63" i="7" s="1"/>
  <c r="M63" i="7" l="1"/>
  <c r="N63" i="7" s="1"/>
  <c r="P63" i="7" s="1"/>
  <c r="O63" i="7"/>
  <c r="B63" i="7"/>
  <c r="E63" i="7" l="1"/>
  <c r="G63" i="7"/>
  <c r="C63" i="7"/>
  <c r="D63" i="7" s="1"/>
  <c r="F63" i="7" s="1"/>
  <c r="J63" i="7" l="1"/>
  <c r="Q63" i="7"/>
  <c r="H63" i="7"/>
  <c r="I63" i="7" s="1"/>
  <c r="K63" i="7" s="1"/>
  <c r="L64" i="7" s="1"/>
  <c r="M64" i="7" l="1"/>
  <c r="N64" i="7" s="1"/>
  <c r="P64" i="7" s="1"/>
  <c r="O64" i="7"/>
  <c r="B64" i="7"/>
  <c r="E64" i="7" l="1"/>
  <c r="G64" i="7"/>
  <c r="C64" i="7"/>
  <c r="D64" i="7" s="1"/>
  <c r="F64" i="7" s="1"/>
  <c r="J64" i="7" l="1"/>
  <c r="Q64" i="7"/>
  <c r="H64" i="7"/>
  <c r="I64" i="7" s="1"/>
  <c r="K64" i="7" s="1"/>
  <c r="L65" i="7" s="1"/>
  <c r="M65" i="7" l="1"/>
  <c r="N65" i="7" s="1"/>
  <c r="P65" i="7" s="1"/>
  <c r="O65" i="7"/>
  <c r="B65" i="7"/>
  <c r="E65" i="7" l="1"/>
  <c r="G65" i="7"/>
  <c r="C65" i="7"/>
  <c r="D65" i="7" s="1"/>
  <c r="F65" i="7" s="1"/>
  <c r="J65" i="7" l="1"/>
  <c r="Q65" i="7"/>
  <c r="H65" i="7"/>
  <c r="I65" i="7" s="1"/>
  <c r="K65" i="7" s="1"/>
  <c r="L66" i="7" s="1"/>
  <c r="M66" i="7" l="1"/>
  <c r="N66" i="7" s="1"/>
  <c r="O66" i="7"/>
  <c r="B66" i="7"/>
  <c r="P66" i="7" l="1"/>
  <c r="E66" i="7"/>
  <c r="G66" i="7"/>
  <c r="C66" i="7"/>
  <c r="D66" i="7" s="1"/>
  <c r="F66" i="7" s="1"/>
  <c r="C68" i="7" l="1"/>
  <c r="J66" i="7"/>
  <c r="Q66" i="7"/>
  <c r="H66" i="7"/>
  <c r="I66" i="7" s="1"/>
  <c r="T26" i="7"/>
  <c r="K66" i="7" l="1"/>
</calcChain>
</file>

<file path=xl/sharedStrings.xml><?xml version="1.0" encoding="utf-8"?>
<sst xmlns="http://schemas.openxmlformats.org/spreadsheetml/2006/main" count="1485" uniqueCount="397">
  <si>
    <t>Pin Region</t>
  </si>
  <si>
    <t>Buckling Geometri</t>
  </si>
  <si>
    <t>Jenis</t>
  </si>
  <si>
    <t>Nilai (cm)</t>
  </si>
  <si>
    <t>nilai (cm)</t>
  </si>
  <si>
    <t>Diameter Luar Pin</t>
  </si>
  <si>
    <t>Jari-jari Aktif</t>
  </si>
  <si>
    <t>Diameter Dalam Pin</t>
  </si>
  <si>
    <t>Tinggi Aktif</t>
  </si>
  <si>
    <t>Tebal Clad</t>
  </si>
  <si>
    <t>Bg2</t>
  </si>
  <si>
    <t>Diameter Gap</t>
  </si>
  <si>
    <t>Fuel Assembly</t>
  </si>
  <si>
    <t>Diameter Fuel</t>
  </si>
  <si>
    <t>Pitch</t>
  </si>
  <si>
    <t>Sisi Dalam</t>
  </si>
  <si>
    <t>Batas Utama R-X</t>
  </si>
  <si>
    <t>Sisi Luar</t>
  </si>
  <si>
    <t>Tebal FA</t>
  </si>
  <si>
    <t>Pitch Ekuivalen</t>
  </si>
  <si>
    <t>tinggi FA</t>
  </si>
  <si>
    <t>Jari - Jari Cladding</t>
  </si>
  <si>
    <t>Mean Chord Length</t>
  </si>
  <si>
    <t>Jari - jari Gap</t>
  </si>
  <si>
    <t>Jari - Jari Fuel</t>
  </si>
  <si>
    <t>Diameter luar</t>
  </si>
  <si>
    <t>Diameter dalam</t>
  </si>
  <si>
    <t>Fuel</t>
  </si>
  <si>
    <t>Tebal Reflektor</t>
  </si>
  <si>
    <t>Gap</t>
  </si>
  <si>
    <t>Clad</t>
  </si>
  <si>
    <t>Moderator</t>
  </si>
  <si>
    <t>Sub-Region</t>
  </si>
  <si>
    <t>Jumlah Pin Rod</t>
  </si>
  <si>
    <t>Data Dasar</t>
  </si>
  <si>
    <t>Parameter</t>
  </si>
  <si>
    <t>Nilai</t>
  </si>
  <si>
    <t>Satuan</t>
  </si>
  <si>
    <t>Sumber</t>
  </si>
  <si>
    <t>Avogadro</t>
  </si>
  <si>
    <t>partikel/mol</t>
  </si>
  <si>
    <t>Data NIST</t>
  </si>
  <si>
    <t>g/cm3</t>
  </si>
  <si>
    <t>Densitas Operasi UO2</t>
  </si>
  <si>
    <t>Suhu Rata2 Bahan Bakar</t>
  </si>
  <si>
    <t>K</t>
  </si>
  <si>
    <t>Densitas Moderator</t>
  </si>
  <si>
    <t>Suhu Rata2 Moderator</t>
  </si>
  <si>
    <t>Densitas GAP</t>
  </si>
  <si>
    <t>Suhu Rata2 GAP</t>
  </si>
  <si>
    <t>Tekanan Operasi</t>
  </si>
  <si>
    <t>psia</t>
  </si>
  <si>
    <t>Suhu rata2 cladding</t>
  </si>
  <si>
    <t>Pu-238</t>
  </si>
  <si>
    <t>Pu-239</t>
  </si>
  <si>
    <t>Pu-240</t>
  </si>
  <si>
    <t>Pu-241</t>
  </si>
  <si>
    <t>Pu-242</t>
  </si>
  <si>
    <t>FUE1A010</t>
  </si>
  <si>
    <t>Nuklida</t>
  </si>
  <si>
    <t>Kode</t>
  </si>
  <si>
    <t>Jumlah</t>
  </si>
  <si>
    <t>U-235</t>
  </si>
  <si>
    <t>XU050000</t>
  </si>
  <si>
    <t>U-238</t>
  </si>
  <si>
    <t>XU080000</t>
  </si>
  <si>
    <t>O</t>
  </si>
  <si>
    <t>XO060000</t>
  </si>
  <si>
    <t>GAP</t>
  </si>
  <si>
    <t>GAP1A020</t>
  </si>
  <si>
    <t>Mr He</t>
  </si>
  <si>
    <t>Cladding</t>
  </si>
  <si>
    <t>Zirc-4</t>
  </si>
  <si>
    <t>Densitas</t>
  </si>
  <si>
    <t>He</t>
  </si>
  <si>
    <t>XHE40000</t>
  </si>
  <si>
    <t>Komposisi Cladding</t>
  </si>
  <si>
    <t>Persentase</t>
  </si>
  <si>
    <t>Ar</t>
  </si>
  <si>
    <t>CLA1A030</t>
  </si>
  <si>
    <t>Guide Tube dan Control Rod</t>
  </si>
  <si>
    <t>GCR1A030</t>
  </si>
  <si>
    <t>Zr</t>
  </si>
  <si>
    <t>Mr Clad</t>
  </si>
  <si>
    <t>Sn</t>
  </si>
  <si>
    <t>Fe</t>
  </si>
  <si>
    <t>Cr</t>
  </si>
  <si>
    <t>Ni</t>
  </si>
  <si>
    <t>XZRN0000</t>
  </si>
  <si>
    <t>XSNN0000</t>
  </si>
  <si>
    <t>XFEN0000</t>
  </si>
  <si>
    <t>Struktur Fuel Assembly</t>
  </si>
  <si>
    <t>XCRN0000</t>
  </si>
  <si>
    <t>AISI 304 L stainless steel</t>
  </si>
  <si>
    <t>XNIN0000</t>
  </si>
  <si>
    <t>g/cc</t>
  </si>
  <si>
    <t>MOD1A040</t>
  </si>
  <si>
    <t>Komposisi</t>
  </si>
  <si>
    <t>Mr H2O</t>
  </si>
  <si>
    <t>C</t>
  </si>
  <si>
    <t>Mn</t>
  </si>
  <si>
    <t>H</t>
  </si>
  <si>
    <t>XH01H000</t>
  </si>
  <si>
    <t>P</t>
  </si>
  <si>
    <t>S</t>
  </si>
  <si>
    <t>SFA1A050</t>
  </si>
  <si>
    <t>Si</t>
  </si>
  <si>
    <t>Mr Struktur</t>
  </si>
  <si>
    <t>XC020000</t>
  </si>
  <si>
    <t>XMN50000</t>
  </si>
  <si>
    <t>XP0N0000</t>
  </si>
  <si>
    <t>XS0N0000</t>
  </si>
  <si>
    <t>XSIN0000</t>
  </si>
  <si>
    <t>MOX</t>
  </si>
  <si>
    <t>Pu-Vector</t>
  </si>
  <si>
    <t>Jumlah Nuklida</t>
  </si>
  <si>
    <t>Mr MOX</t>
  </si>
  <si>
    <t>Enrich (e) UO2</t>
  </si>
  <si>
    <t>1-e (UO2)</t>
  </si>
  <si>
    <t>% Massa Pu</t>
  </si>
  <si>
    <t>% Massa U</t>
  </si>
  <si>
    <t>XPU80000</t>
  </si>
  <si>
    <t>XPU90000</t>
  </si>
  <si>
    <t>XPU00000</t>
  </si>
  <si>
    <t>XPU10000</t>
  </si>
  <si>
    <t>XPU20000</t>
  </si>
  <si>
    <t>Fraksi Massa</t>
  </si>
  <si>
    <t>Gd2O3</t>
  </si>
  <si>
    <t>Mr Gd</t>
  </si>
  <si>
    <t>Mr O</t>
  </si>
  <si>
    <t>Nuklida Gd</t>
  </si>
  <si>
    <t>Gd-152</t>
  </si>
  <si>
    <t>Gd-154</t>
  </si>
  <si>
    <t>Gd-155</t>
  </si>
  <si>
    <t>Gd-156</t>
  </si>
  <si>
    <t>Gd-157</t>
  </si>
  <si>
    <t>Gd-158</t>
  </si>
  <si>
    <t>Gd-160</t>
  </si>
  <si>
    <t>Reflektor</t>
  </si>
  <si>
    <t>XGD20000</t>
  </si>
  <si>
    <t>XGD40000</t>
  </si>
  <si>
    <t>XGD50000</t>
  </si>
  <si>
    <t>XGD60000</t>
  </si>
  <si>
    <t>XGD70000</t>
  </si>
  <si>
    <t>XGD80000</t>
  </si>
  <si>
    <t>XGD00000</t>
  </si>
  <si>
    <t>Mr MOX-Gd2O3</t>
  </si>
  <si>
    <t>Densitas Gd2O3</t>
  </si>
  <si>
    <t>Nilai (BU)</t>
  </si>
  <si>
    <t>Nilai SI</t>
  </si>
  <si>
    <t>Nilai yang dipakai</t>
  </si>
  <si>
    <t>Core</t>
  </si>
  <si>
    <t>Diameter</t>
  </si>
  <si>
    <t>Inch</t>
  </si>
  <si>
    <t>cm</t>
  </si>
  <si>
    <t>Active Fuel Height</t>
  </si>
  <si>
    <t>Array Batang BBN</t>
  </si>
  <si>
    <t>17x17</t>
  </si>
  <si>
    <t>Panjang</t>
  </si>
  <si>
    <t>FA Pitch</t>
  </si>
  <si>
    <t>Fuel Rod Pitch</t>
  </si>
  <si>
    <t>Jumlah Spacer</t>
  </si>
  <si>
    <t>Tinggi Spacer Grid</t>
  </si>
  <si>
    <t>Jumlah BBN Rod</t>
  </si>
  <si>
    <t>Jumlah Guide Tube per FA</t>
  </si>
  <si>
    <t>Jumlah Instrumentation Tubes per FA</t>
  </si>
  <si>
    <t>Tebal Struktur FA</t>
  </si>
  <si>
    <t>Fuel Rods</t>
  </si>
  <si>
    <t>Material Cladding</t>
  </si>
  <si>
    <t>MS*</t>
  </si>
  <si>
    <t>Zircalloy-4</t>
  </si>
  <si>
    <t>Diameter Luar Cladding</t>
  </si>
  <si>
    <t>Diameter Dalam Cladding</t>
  </si>
  <si>
    <t>Tebal Cladding</t>
  </si>
  <si>
    <t>Panjang Fuel Rod</t>
  </si>
  <si>
    <t>Fill Gas</t>
  </si>
  <si>
    <t>Helium</t>
  </si>
  <si>
    <t>Fuel Pellet</t>
  </si>
  <si>
    <t>96% TD</t>
  </si>
  <si>
    <t>Material</t>
  </si>
  <si>
    <t>UO2 (Sintered)</t>
  </si>
  <si>
    <t>Control Rod Assemblies</t>
  </si>
  <si>
    <t>Material Penyerap bagian Atas</t>
  </si>
  <si>
    <t>B4C</t>
  </si>
  <si>
    <t>Material Penyerap bagian Bawah</t>
  </si>
  <si>
    <t>Ag-In-Cd</t>
  </si>
  <si>
    <t>304 Stainless Steel</t>
  </si>
  <si>
    <t>Guide Tube</t>
  </si>
  <si>
    <t>Diameter Luar</t>
  </si>
  <si>
    <t>Diameter Dalam (diatas Dashpot)</t>
  </si>
  <si>
    <t>Diameter Dalam (di dalam Dashpot)</t>
  </si>
  <si>
    <t>Basic Core Parameter</t>
  </si>
  <si>
    <t>Daya Termal Teras</t>
  </si>
  <si>
    <t>MWt</t>
  </si>
  <si>
    <t>Panjang Fuel Cycle (sebelum harus refueling)</t>
  </si>
  <si>
    <t>Months</t>
  </si>
  <si>
    <t>Discharge burn-Up Rata-Rata</t>
  </si>
  <si>
    <t>MWd/ton</t>
  </si>
  <si>
    <t>kw/ft</t>
  </si>
  <si>
    <t>MW/cm</t>
  </si>
  <si>
    <t>Peak Linear Power per FA</t>
  </si>
  <si>
    <t>Tekanan Sistem Reaktor</t>
  </si>
  <si>
    <t>Suhu Fuel Pin</t>
  </si>
  <si>
    <t>F</t>
  </si>
  <si>
    <t>Note</t>
  </si>
  <si>
    <t>Suhu Inlet Coolant</t>
  </si>
  <si>
    <t>TD = Theoretical Density = 10.96 g/cm3</t>
  </si>
  <si>
    <t>Suhu Gap</t>
  </si>
  <si>
    <t>=</t>
  </si>
  <si>
    <t>Angka sementara. Belum yakin nilainya</t>
  </si>
  <si>
    <t>Suhu Cladding</t>
  </si>
  <si>
    <t>REFLEKTOR</t>
  </si>
  <si>
    <t>REFL00R0</t>
  </si>
  <si>
    <t>Mr C</t>
  </si>
  <si>
    <t>Volume Bahan Bakar</t>
  </si>
  <si>
    <t>cm3</t>
  </si>
  <si>
    <t>Massa Bahan Bakar</t>
  </si>
  <si>
    <t>g</t>
  </si>
  <si>
    <t>Ton</t>
  </si>
  <si>
    <t>Nama</t>
  </si>
  <si>
    <t>BO1C</t>
  </si>
  <si>
    <t>Step</t>
  </si>
  <si>
    <t>EO1C</t>
  </si>
  <si>
    <t>EO2C</t>
  </si>
  <si>
    <t>EO3C</t>
  </si>
  <si>
    <t>Rentang (Jam)</t>
  </si>
  <si>
    <t>Jam</t>
  </si>
  <si>
    <t>Hari</t>
  </si>
  <si>
    <t>Tahun</t>
  </si>
  <si>
    <t>varfuel2</t>
  </si>
  <si>
    <t>varfuel4</t>
  </si>
  <si>
    <t>varfuel6</t>
  </si>
  <si>
    <t>varfuel8</t>
  </si>
  <si>
    <t>varfuel10</t>
  </si>
  <si>
    <t>varfuel12</t>
  </si>
  <si>
    <t>varfuel14</t>
  </si>
  <si>
    <t>varfuel16</t>
  </si>
  <si>
    <t>varfuel18</t>
  </si>
  <si>
    <t>varfuel20</t>
  </si>
  <si>
    <t>%Pu</t>
  </si>
  <si>
    <t>Benchmark</t>
  </si>
  <si>
    <t>note:</t>
  </si>
  <si>
    <t>step 2 diskip</t>
  </si>
  <si>
    <t>step 1 diskip</t>
  </si>
  <si>
    <t>Aktinida</t>
  </si>
  <si>
    <t>U-236</t>
  </si>
  <si>
    <t>K-Efektif</t>
  </si>
  <si>
    <t>Inventori Aktinida (g)</t>
  </si>
  <si>
    <t>Relative Values</t>
  </si>
  <si>
    <t>Real Values</t>
  </si>
  <si>
    <t>Mesh Axial</t>
  </si>
  <si>
    <t>Top</t>
  </si>
  <si>
    <t>Bottom</t>
  </si>
  <si>
    <t>Gd</t>
  </si>
  <si>
    <t>UO2</t>
  </si>
  <si>
    <t>Fuel Assembly 2</t>
  </si>
  <si>
    <t>Fraksi Volume</t>
  </si>
  <si>
    <t>Densitas (g/cc)</t>
  </si>
  <si>
    <t>Mr</t>
  </si>
  <si>
    <t>Ar Unsur</t>
  </si>
  <si>
    <t>Ar Isotop</t>
  </si>
  <si>
    <t>Pengkayaan (Wt)</t>
  </si>
  <si>
    <t>Penyusun</t>
  </si>
  <si>
    <t>Fuel Assembly 1</t>
  </si>
  <si>
    <t>Abundance</t>
  </si>
  <si>
    <t>PuO2</t>
  </si>
  <si>
    <t>Komponen</t>
  </si>
  <si>
    <t>Volume Komponen (cc)</t>
  </si>
  <si>
    <t>Massa Komponen (g)</t>
  </si>
  <si>
    <t>Asumsi Massa (g)</t>
  </si>
  <si>
    <t>Volume Total (cc)</t>
  </si>
  <si>
    <t>Densitas Campuran (versi volume) (g/cc)</t>
  </si>
  <si>
    <t>Mr Fuel (g/mol)</t>
  </si>
  <si>
    <t>FA 1</t>
  </si>
  <si>
    <t>FA 2</t>
  </si>
  <si>
    <t>Nilai Yang Dipakai (96% TD)</t>
  </si>
  <si>
    <t>Peak Linear Power Per Fuel Pin</t>
  </si>
  <si>
    <t>Suhu Rata2 Coolant</t>
  </si>
  <si>
    <t>Suhu Rata2 Gap</t>
  </si>
  <si>
    <t>Suhu rata2 Cladding</t>
  </si>
  <si>
    <t>W/cm</t>
  </si>
  <si>
    <t>pi</t>
  </si>
  <si>
    <t>Rcli</t>
  </si>
  <si>
    <t>Jari - Jari Cladding Dalam</t>
  </si>
  <si>
    <t>Tw</t>
  </si>
  <si>
    <t>Tebal Gap</t>
  </si>
  <si>
    <t>Konstanta Stephan-Boltzmann</t>
  </si>
  <si>
    <t>Fuel Emmisivity</t>
  </si>
  <si>
    <t>Cladding Emissivity</t>
  </si>
  <si>
    <t>q'</t>
  </si>
  <si>
    <t>sigma kecil</t>
  </si>
  <si>
    <t>delta</t>
  </si>
  <si>
    <t>epsilon f</t>
  </si>
  <si>
    <t>epsilon c</t>
  </si>
  <si>
    <t>asumsi sama dengan UO2</t>
  </si>
  <si>
    <t>asumsi sama dengan Zr-1%Nb Alloy</t>
  </si>
  <si>
    <t>A</t>
  </si>
  <si>
    <t>Tcli</t>
  </si>
  <si>
    <t>Iterasi</t>
  </si>
  <si>
    <t>2.pi().Rcli</t>
  </si>
  <si>
    <t>B</t>
  </si>
  <si>
    <t>b</t>
  </si>
  <si>
    <t>c</t>
  </si>
  <si>
    <t>Hasil</t>
  </si>
  <si>
    <t>Kiri</t>
  </si>
  <si>
    <t>Tengah</t>
  </si>
  <si>
    <t>Kanan</t>
  </si>
  <si>
    <t>Error</t>
  </si>
  <si>
    <t>Tgap</t>
  </si>
  <si>
    <t>Hitung Suhu GAP</t>
  </si>
  <si>
    <t>Suhu Outlet Coolant</t>
  </si>
  <si>
    <t>m</t>
  </si>
  <si>
    <t>Luas Area Konveksi</t>
  </si>
  <si>
    <t>m2</t>
  </si>
  <si>
    <t>kg/s</t>
  </si>
  <si>
    <t>Mass Flow</t>
  </si>
  <si>
    <t>Coolant Velocity</t>
  </si>
  <si>
    <t>m/s</t>
  </si>
  <si>
    <t>Properties of Water at Tfl,avg</t>
  </si>
  <si>
    <t>Tekanan</t>
  </si>
  <si>
    <t>kg/m3</t>
  </si>
  <si>
    <t>Viskositas (miu)</t>
  </si>
  <si>
    <t>Pa.s</t>
  </si>
  <si>
    <t>Konduktivitas</t>
  </si>
  <si>
    <t>kJ/kg.K</t>
  </si>
  <si>
    <t>Cp</t>
  </si>
  <si>
    <t>W/m.K</t>
  </si>
  <si>
    <t>Re</t>
  </si>
  <si>
    <t>Pr</t>
  </si>
  <si>
    <t>Nu</t>
  </si>
  <si>
    <t>h</t>
  </si>
  <si>
    <t>Perhitungan h (heat coefficient)</t>
  </si>
  <si>
    <t>Perhitung Tclo</t>
  </si>
  <si>
    <t>Tclo</t>
  </si>
  <si>
    <t>Tfl</t>
  </si>
  <si>
    <t>Suhu Rata2 Cladding</t>
  </si>
  <si>
    <t>Banyaknya</t>
  </si>
  <si>
    <t>Tinggi</t>
  </si>
  <si>
    <t>SS304L</t>
  </si>
  <si>
    <t>Reflektor SS304L</t>
  </si>
  <si>
    <t>XP010000</t>
  </si>
  <si>
    <t>Susunan 1/4 FA</t>
  </si>
  <si>
    <t>Jumlah Fuel Pin</t>
  </si>
  <si>
    <t>Jumlah CR</t>
  </si>
  <si>
    <t>Jumlah Guide Tube</t>
  </si>
  <si>
    <t>Tebal Aksial</t>
  </si>
  <si>
    <t>Tebal Radial</t>
  </si>
  <si>
    <t>W/(cm2.K4)</t>
  </si>
  <si>
    <t>k/delta g</t>
  </si>
  <si>
    <t>Burn Up Steps</t>
  </si>
  <si>
    <t>Average</t>
  </si>
  <si>
    <t>BOC</t>
  </si>
  <si>
    <t>Mol Komponen</t>
  </si>
  <si>
    <t>Xt</t>
  </si>
  <si>
    <t>Fraksi Mol</t>
  </si>
  <si>
    <t>EO4C</t>
  </si>
  <si>
    <t>Axial Power Density of Best Design (varfuel12)</t>
  </si>
  <si>
    <t>Rasio In/Out</t>
  </si>
  <si>
    <t>Deplesi U-235</t>
  </si>
  <si>
    <t>Deplesi Pu-239</t>
  </si>
  <si>
    <t>CR</t>
  </si>
  <si>
    <t>R=165</t>
  </si>
  <si>
    <t>H/D</t>
  </si>
  <si>
    <t>y\x</t>
  </si>
  <si>
    <t>Diameter (cm)</t>
  </si>
  <si>
    <t>R</t>
  </si>
  <si>
    <t>Tinggi (cm)</t>
  </si>
  <si>
    <t>Volume (cm3)</t>
  </si>
  <si>
    <t>Jari-jari Bahan Bakar</t>
  </si>
  <si>
    <t>Jumlah FA</t>
  </si>
  <si>
    <t>Jumlah Fuel Rod/FA</t>
  </si>
  <si>
    <t>Densitas Bahan Bakar (g/cm3)</t>
  </si>
  <si>
    <t>Massa Bahan Bakar (g)</t>
  </si>
  <si>
    <t>Massa Total BBN (g)</t>
  </si>
  <si>
    <t xml:space="preserve">Jumlah Node Arah Z </t>
  </si>
  <si>
    <t>Ukuran per Node</t>
  </si>
  <si>
    <t>Volume Node</t>
  </si>
  <si>
    <t>Volume BBN tiap Node</t>
  </si>
  <si>
    <t>Fraksi BBN di Node</t>
  </si>
  <si>
    <t>Untuk HIST</t>
  </si>
  <si>
    <t>MOX 2%</t>
  </si>
  <si>
    <t>MOX 4%</t>
  </si>
  <si>
    <t>MOX 6%</t>
  </si>
  <si>
    <t>MOX 8%</t>
  </si>
  <si>
    <t>MOX 10%</t>
  </si>
  <si>
    <t>MOX 12%</t>
  </si>
  <si>
    <t>MOX 14%</t>
  </si>
  <si>
    <t>MOX 16%</t>
  </si>
  <si>
    <t>MOX 18%</t>
  </si>
  <si>
    <t>MOX 20%</t>
  </si>
  <si>
    <t>Awal Tahun Ke-0</t>
  </si>
  <si>
    <t>Akhir Tahun Ke-1</t>
  </si>
  <si>
    <t>Akhir Tahun Ke-3</t>
  </si>
  <si>
    <t>Akhir Tahun Ke-5</t>
  </si>
  <si>
    <t>Akhir Tahun Ke-7</t>
  </si>
  <si>
    <t>Jumlah MOX (%)</t>
  </si>
  <si>
    <t>CR di 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</si>
</sst>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0E+00"/>
    <numFmt numFmtId="165" formatCode="0.00000E+00"/>
    <numFmt numFmtId="166" formatCode="0.000"/>
    <numFmt numFmtId="167" formatCode="0.0000E+00"/>
    <numFmt numFmtId="168" formatCode="0.0000000"/>
    <numFmt numFmtId="169" formatCode="0.000000"/>
    <numFmt numFmtId="170" formatCode="0.00000000"/>
    <numFmt numFmtId="171" formatCode="0.000000000"/>
    <numFmt numFmtId="172" formatCode="0.0000000000000"/>
    <numFmt numFmtId="173" formatCode="0.000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22222"/>
      <name val="Arial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/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11" fontId="0" fillId="0" borderId="1" xfId="0" applyNumberFormat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/>
    <xf numFmtId="0" fontId="0" fillId="0" borderId="0" xfId="0" applyBorder="1"/>
    <xf numFmtId="164" fontId="0" fillId="0" borderId="1" xfId="0" applyNumberFormat="1" applyBorder="1"/>
    <xf numFmtId="0" fontId="1" fillId="0" borderId="1" xfId="0" applyFont="1" applyBorder="1" applyAlignment="1"/>
    <xf numFmtId="0" fontId="1" fillId="0" borderId="0" xfId="0" applyFont="1" applyBorder="1" applyAlignment="1">
      <alignment horizontal="center"/>
    </xf>
    <xf numFmtId="0" fontId="0" fillId="0" borderId="8" xfId="0" applyBorder="1"/>
    <xf numFmtId="0" fontId="0" fillId="0" borderId="12" xfId="0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0" fillId="0" borderId="14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right" vertical="center"/>
    </xf>
    <xf numFmtId="165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NumberFormat="1" applyBorder="1"/>
    <xf numFmtId="0" fontId="0" fillId="0" borderId="1" xfId="0" applyBorder="1" applyAlignment="1">
      <alignment horizontal="center" vertical="center"/>
    </xf>
    <xf numFmtId="9" fontId="1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 vertical="center"/>
    </xf>
    <xf numFmtId="0" fontId="0" fillId="3" borderId="0" xfId="0" applyFill="1"/>
    <xf numFmtId="166" fontId="0" fillId="0" borderId="1" xfId="0" applyNumberFormat="1" applyBorder="1"/>
    <xf numFmtId="0" fontId="0" fillId="5" borderId="0" xfId="0" applyFill="1"/>
    <xf numFmtId="0" fontId="3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Font="1" applyBorder="1"/>
    <xf numFmtId="0" fontId="0" fillId="0" borderId="3" xfId="0" applyBorder="1"/>
    <xf numFmtId="0" fontId="1" fillId="0" borderId="4" xfId="0" applyFont="1" applyBorder="1"/>
    <xf numFmtId="0" fontId="0" fillId="0" borderId="13" xfId="0" applyBorder="1"/>
    <xf numFmtId="0" fontId="0" fillId="0" borderId="10" xfId="0" applyBorder="1"/>
    <xf numFmtId="0" fontId="0" fillId="0" borderId="11" xfId="0" applyBorder="1"/>
    <xf numFmtId="0" fontId="1" fillId="0" borderId="8" xfId="0" applyFont="1" applyFill="1" applyBorder="1" applyAlignment="1">
      <alignment horizontal="center" vertical="center"/>
    </xf>
    <xf numFmtId="167" fontId="0" fillId="0" borderId="1" xfId="0" applyNumberFormat="1" applyBorder="1"/>
    <xf numFmtId="0" fontId="0" fillId="0" borderId="0" xfId="0" applyAlignment="1">
      <alignment horizontal="center" vertical="center"/>
    </xf>
    <xf numFmtId="168" fontId="0" fillId="0" borderId="1" xfId="0" applyNumberFormat="1" applyBorder="1"/>
    <xf numFmtId="168" fontId="0" fillId="0" borderId="0" xfId="0" applyNumberFormat="1"/>
    <xf numFmtId="168" fontId="0" fillId="3" borderId="1" xfId="0" applyNumberFormat="1" applyFill="1" applyBorder="1"/>
    <xf numFmtId="168" fontId="0" fillId="0" borderId="1" xfId="0" applyNumberFormat="1" applyFill="1" applyBorder="1"/>
    <xf numFmtId="168" fontId="4" fillId="0" borderId="1" xfId="0" applyNumberFormat="1" applyFont="1" applyFill="1" applyBorder="1"/>
    <xf numFmtId="169" fontId="0" fillId="0" borderId="1" xfId="0" applyNumberFormat="1" applyBorder="1"/>
    <xf numFmtId="169" fontId="0" fillId="0" borderId="0" xfId="0" applyNumberFormat="1"/>
    <xf numFmtId="169" fontId="0" fillId="0" borderId="1" xfId="0" applyNumberFormat="1" applyFill="1" applyBorder="1"/>
    <xf numFmtId="169" fontId="0" fillId="0" borderId="0" xfId="0" applyNumberFormat="1" applyFill="1"/>
    <xf numFmtId="0" fontId="0" fillId="0" borderId="1" xfId="0" applyNumberFormat="1" applyFill="1" applyBorder="1"/>
    <xf numFmtId="168" fontId="0" fillId="0" borderId="0" xfId="0" applyNumberFormat="1" applyFill="1"/>
    <xf numFmtId="0" fontId="0" fillId="0" borderId="0" xfId="0" applyNumberFormat="1"/>
    <xf numFmtId="0" fontId="0" fillId="0" borderId="12" xfId="0" applyNumberFormat="1" applyFill="1" applyBorder="1"/>
    <xf numFmtId="0" fontId="0" fillId="0" borderId="0" xfId="0" applyNumberFormat="1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2" xfId="0" applyFont="1" applyFill="1" applyBorder="1" applyAlignment="1">
      <alignment horizontal="center"/>
    </xf>
    <xf numFmtId="0" fontId="1" fillId="0" borderId="0" xfId="0" applyFont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6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70" fontId="0" fillId="0" borderId="0" xfId="0" applyNumberFormat="1"/>
    <xf numFmtId="170" fontId="0" fillId="0" borderId="1" xfId="0" applyNumberFormat="1" applyBorder="1"/>
    <xf numFmtId="0" fontId="0" fillId="0" borderId="0" xfId="0" applyFill="1" applyBorder="1"/>
    <xf numFmtId="11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71" fontId="0" fillId="0" borderId="0" xfId="0" applyNumberFormat="1"/>
    <xf numFmtId="0" fontId="0" fillId="0" borderId="9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1" fillId="0" borderId="1" xfId="0" applyFont="1" applyBorder="1" applyAlignment="1">
      <alignment horizontal="center"/>
    </xf>
    <xf numFmtId="166" fontId="0" fillId="0" borderId="1" xfId="0" applyNumberFormat="1" applyFill="1" applyBorder="1"/>
    <xf numFmtId="0" fontId="1" fillId="0" borderId="1" xfId="0" applyFont="1" applyFill="1" applyBorder="1" applyAlignment="1">
      <alignment horizontal="center" vertical="center"/>
    </xf>
    <xf numFmtId="11" fontId="0" fillId="0" borderId="1" xfId="0" applyNumberFormat="1" applyFill="1" applyBorder="1"/>
    <xf numFmtId="0" fontId="0" fillId="0" borderId="1" xfId="0" applyFont="1" applyBorder="1" applyAlignment="1">
      <alignment horizontal="right" vertical="center"/>
    </xf>
    <xf numFmtId="0" fontId="0" fillId="0" borderId="3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right"/>
    </xf>
    <xf numFmtId="0" fontId="0" fillId="0" borderId="3" xfId="0" applyNumberFormat="1" applyFont="1" applyFill="1" applyBorder="1" applyAlignment="1">
      <alignment horizontal="right"/>
    </xf>
    <xf numFmtId="0" fontId="0" fillId="0" borderId="0" xfId="0" applyNumberFormat="1" applyBorder="1"/>
    <xf numFmtId="11" fontId="0" fillId="0" borderId="1" xfId="0" applyNumberFormat="1" applyFont="1" applyBorder="1" applyAlignment="1">
      <alignment horizontal="right"/>
    </xf>
    <xf numFmtId="11" fontId="0" fillId="0" borderId="1" xfId="0" applyNumberFormat="1" applyFont="1" applyBorder="1" applyAlignment="1"/>
    <xf numFmtId="11" fontId="0" fillId="0" borderId="1" xfId="0" applyNumberFormat="1" applyFont="1" applyFill="1" applyBorder="1" applyAlignment="1"/>
    <xf numFmtId="11" fontId="0" fillId="0" borderId="1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/>
    <xf numFmtId="0" fontId="1" fillId="0" borderId="1" xfId="0" applyFont="1" applyFill="1" applyBorder="1" applyAlignment="1">
      <alignment horizontal="center" vertical="center"/>
    </xf>
    <xf numFmtId="167" fontId="0" fillId="0" borderId="1" xfId="0" applyNumberFormat="1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Border="1"/>
    <xf numFmtId="0" fontId="0" fillId="0" borderId="1" xfId="0" applyBorder="1" applyAlignment="1">
      <alignment horizontal="center" vertical="center"/>
    </xf>
    <xf numFmtId="0" fontId="5" fillId="3" borderId="3" xfId="0" applyFont="1" applyFill="1" applyBorder="1" applyAlignment="1"/>
    <xf numFmtId="0" fontId="5" fillId="3" borderId="5" xfId="0" applyFont="1" applyFill="1" applyBorder="1" applyAlignment="1"/>
    <xf numFmtId="0" fontId="5" fillId="3" borderId="4" xfId="0" applyFont="1" applyFill="1" applyBorder="1" applyAlignment="1"/>
    <xf numFmtId="0" fontId="5" fillId="0" borderId="0" xfId="0" applyFont="1" applyAlignment="1"/>
    <xf numFmtId="0" fontId="0" fillId="3" borderId="2" xfId="0" applyFill="1" applyBorder="1"/>
    <xf numFmtId="164" fontId="0" fillId="3" borderId="1" xfId="0" applyNumberFormat="1" applyFill="1" applyBorder="1"/>
    <xf numFmtId="164" fontId="0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8" fontId="0" fillId="0" borderId="1" xfId="0" applyNumberFormat="1" applyFont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/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7" fontId="0" fillId="4" borderId="1" xfId="0" applyNumberFormat="1" applyFill="1" applyBorder="1"/>
    <xf numFmtId="11" fontId="0" fillId="4" borderId="1" xfId="0" applyNumberFormat="1" applyFill="1" applyBorder="1"/>
    <xf numFmtId="0" fontId="0" fillId="4" borderId="1" xfId="0" applyNumberFormat="1" applyFill="1" applyBorder="1"/>
    <xf numFmtId="167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0" fillId="0" borderId="1" xfId="0" applyNumberFormat="1" applyFont="1" applyBorder="1"/>
    <xf numFmtId="4" fontId="0" fillId="0" borderId="1" xfId="0" applyNumberFormat="1" applyBorder="1"/>
    <xf numFmtId="0" fontId="0" fillId="0" borderId="6" xfId="0" applyBorder="1"/>
    <xf numFmtId="0" fontId="0" fillId="0" borderId="7" xfId="0" applyBorder="1"/>
    <xf numFmtId="0" fontId="0" fillId="0" borderId="15" xfId="0" applyBorder="1"/>
    <xf numFmtId="0" fontId="0" fillId="8" borderId="7" xfId="0" applyFill="1" applyBorder="1"/>
    <xf numFmtId="0" fontId="0" fillId="3" borderId="7" xfId="0" applyFill="1" applyBorder="1"/>
    <xf numFmtId="0" fontId="0" fillId="0" borderId="2" xfId="0" applyFill="1" applyBorder="1"/>
    <xf numFmtId="0" fontId="0" fillId="8" borderId="0" xfId="0" applyFill="1" applyBorder="1"/>
    <xf numFmtId="0" fontId="0" fillId="3" borderId="0" xfId="0" applyFill="1" applyBorder="1"/>
    <xf numFmtId="0" fontId="0" fillId="3" borderId="12" xfId="0" applyFill="1" applyBorder="1"/>
    <xf numFmtId="0" fontId="0" fillId="3" borderId="8" xfId="0" applyFill="1" applyBorder="1"/>
    <xf numFmtId="0" fontId="0" fillId="8" borderId="12" xfId="0" applyFill="1" applyBorder="1"/>
    <xf numFmtId="0" fontId="0" fillId="8" borderId="8" xfId="0" applyFill="1" applyBorder="1"/>
    <xf numFmtId="0" fontId="0" fillId="0" borderId="12" xfId="0" applyFill="1" applyBorder="1"/>
    <xf numFmtId="0" fontId="0" fillId="0" borderId="9" xfId="0" applyBorder="1"/>
    <xf numFmtId="1" fontId="0" fillId="3" borderId="1" xfId="0" applyNumberFormat="1" applyFill="1" applyBorder="1"/>
    <xf numFmtId="4" fontId="0" fillId="0" borderId="0" xfId="0" applyNumberFormat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center"/>
    </xf>
    <xf numFmtId="170" fontId="0" fillId="0" borderId="14" xfId="0" applyNumberFormat="1" applyFont="1" applyFill="1" applyBorder="1" applyAlignment="1">
      <alignment horizontal="center" vertical="center"/>
    </xf>
    <xf numFmtId="170" fontId="0" fillId="0" borderId="2" xfId="0" applyNumberFormat="1" applyFont="1" applyFill="1" applyBorder="1" applyAlignment="1">
      <alignment horizontal="center" vertical="center"/>
    </xf>
    <xf numFmtId="170" fontId="0" fillId="0" borderId="13" xfId="0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8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72" fontId="0" fillId="0" borderId="1" xfId="0" applyNumberFormat="1" applyBorder="1" applyAlignment="1">
      <alignment horizontal="center"/>
    </xf>
    <xf numFmtId="173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Hasil!$H$5</c:f>
              <c:strCache>
                <c:ptCount val="1"/>
                <c:pt idx="0">
                  <c:v>Benchmark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Hasil!$G$6:$G$94</c:f>
              <c:numCache>
                <c:formatCode>General</c:formatCode>
                <c:ptCount val="89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  <c:pt idx="65">
                  <c:v>5.0821355236139629</c:v>
                </c:pt>
                <c:pt idx="66">
                  <c:v>5.1642710472279258</c:v>
                </c:pt>
                <c:pt idx="67">
                  <c:v>5.2464065708418888</c:v>
                </c:pt>
                <c:pt idx="68">
                  <c:v>5.3285420944558526</c:v>
                </c:pt>
                <c:pt idx="69">
                  <c:v>5.4106776180698155</c:v>
                </c:pt>
                <c:pt idx="70">
                  <c:v>5.4928131416837784</c:v>
                </c:pt>
                <c:pt idx="71">
                  <c:v>5.5749486652977414</c:v>
                </c:pt>
                <c:pt idx="72">
                  <c:v>5.6570841889117043</c:v>
                </c:pt>
                <c:pt idx="73">
                  <c:v>5.7392197125256672</c:v>
                </c:pt>
                <c:pt idx="74">
                  <c:v>5.8213552361396301</c:v>
                </c:pt>
                <c:pt idx="75">
                  <c:v>5.9034907597535931</c:v>
                </c:pt>
                <c:pt idx="76">
                  <c:v>6</c:v>
                </c:pt>
                <c:pt idx="77">
                  <c:v>6.0821355236139629</c:v>
                </c:pt>
                <c:pt idx="78">
                  <c:v>6.1642710472279258</c:v>
                </c:pt>
                <c:pt idx="79">
                  <c:v>6.2464065708418888</c:v>
                </c:pt>
                <c:pt idx="80">
                  <c:v>6.3285420944558526</c:v>
                </c:pt>
                <c:pt idx="81">
                  <c:v>6.4106776180698155</c:v>
                </c:pt>
                <c:pt idx="82">
                  <c:v>6.4928131416837784</c:v>
                </c:pt>
                <c:pt idx="83">
                  <c:v>6.5749486652977414</c:v>
                </c:pt>
                <c:pt idx="84">
                  <c:v>6.6570841889117043</c:v>
                </c:pt>
                <c:pt idx="85">
                  <c:v>6.7392197125256672</c:v>
                </c:pt>
                <c:pt idx="86">
                  <c:v>6.8213552361396301</c:v>
                </c:pt>
                <c:pt idx="87">
                  <c:v>6.9034907597535931</c:v>
                </c:pt>
                <c:pt idx="88">
                  <c:v>7</c:v>
                </c:pt>
              </c:numCache>
            </c:numRef>
          </c:xVal>
          <c:yVal>
            <c:numRef>
              <c:f>Hasil!$H$6:$H$94</c:f>
              <c:numCache>
                <c:formatCode>General</c:formatCode>
                <c:ptCount val="89"/>
                <c:pt idx="0">
                  <c:v>1.1035820999999999</c:v>
                </c:pt>
                <c:pt idx="1">
                  <c:v>1.0720516</c:v>
                </c:pt>
                <c:pt idx="2">
                  <c:v>1.0714644</c:v>
                </c:pt>
                <c:pt idx="3">
                  <c:v>1.0695281999999999</c:v>
                </c:pt>
                <c:pt idx="4">
                  <c:v>1.0671405</c:v>
                </c:pt>
                <c:pt idx="5">
                  <c:v>1.0629377</c:v>
                </c:pt>
                <c:pt idx="6">
                  <c:v>1.0602526999999999</c:v>
                </c:pt>
                <c:pt idx="7">
                  <c:v>1.0544766999999999</c:v>
                </c:pt>
                <c:pt idx="8">
                  <c:v>1.0504937999999999</c:v>
                </c:pt>
                <c:pt idx="9">
                  <c:v>1.0487412</c:v>
                </c:pt>
                <c:pt idx="10">
                  <c:v>1.0501573</c:v>
                </c:pt>
                <c:pt idx="11">
                  <c:v>1.0563487</c:v>
                </c:pt>
                <c:pt idx="12">
                  <c:v>1.0669028</c:v>
                </c:pt>
                <c:pt idx="13">
                  <c:v>1.0802451</c:v>
                </c:pt>
                <c:pt idx="14">
                  <c:v>1.0899519</c:v>
                </c:pt>
                <c:pt idx="15">
                  <c:v>1.0890678</c:v>
                </c:pt>
                <c:pt idx="16">
                  <c:v>1.0850519000000001</c:v>
                </c:pt>
                <c:pt idx="17">
                  <c:v>1.0851443000000001</c:v>
                </c:pt>
                <c:pt idx="18">
                  <c:v>1.0796911</c:v>
                </c:pt>
                <c:pt idx="19">
                  <c:v>1.0745792000000001</c:v>
                </c:pt>
                <c:pt idx="20">
                  <c:v>1.0712229</c:v>
                </c:pt>
                <c:pt idx="21">
                  <c:v>1.0697478</c:v>
                </c:pt>
                <c:pt idx="22">
                  <c:v>1.0698274000000001</c:v>
                </c:pt>
                <c:pt idx="23">
                  <c:v>1.0695101</c:v>
                </c:pt>
                <c:pt idx="24">
                  <c:v>1.0673044</c:v>
                </c:pt>
                <c:pt idx="25">
                  <c:v>1.0648493999999999</c:v>
                </c:pt>
                <c:pt idx="26">
                  <c:v>1.0614775000000001</c:v>
                </c:pt>
                <c:pt idx="27">
                  <c:v>1.0575437999999999</c:v>
                </c:pt>
                <c:pt idx="28">
                  <c:v>1.0540456</c:v>
                </c:pt>
                <c:pt idx="29">
                  <c:v>1.0503513</c:v>
                </c:pt>
                <c:pt idx="30">
                  <c:v>1.0474490000000001</c:v>
                </c:pt>
                <c:pt idx="31">
                  <c:v>1.0447061</c:v>
                </c:pt>
                <c:pt idx="32">
                  <c:v>1.0425732000000001</c:v>
                </c:pt>
                <c:pt idx="33">
                  <c:v>1.0401376</c:v>
                </c:pt>
                <c:pt idx="34">
                  <c:v>1.0378569</c:v>
                </c:pt>
                <c:pt idx="35">
                  <c:v>1.0353406999999999</c:v>
                </c:pt>
                <c:pt idx="36">
                  <c:v>1.0330321</c:v>
                </c:pt>
                <c:pt idx="37">
                  <c:v>1.0311634999999999</c:v>
                </c:pt>
                <c:pt idx="38">
                  <c:v>1.0291526</c:v>
                </c:pt>
                <c:pt idx="39">
                  <c:v>1.0268739</c:v>
                </c:pt>
                <c:pt idx="40">
                  <c:v>1.0250367</c:v>
                </c:pt>
                <c:pt idx="41">
                  <c:v>1.0250587</c:v>
                </c:pt>
                <c:pt idx="42">
                  <c:v>1.0225519000000001</c:v>
                </c:pt>
                <c:pt idx="43">
                  <c:v>1.020472</c:v>
                </c:pt>
                <c:pt idx="44">
                  <c:v>1.0181636000000001</c:v>
                </c:pt>
                <c:pt idx="45">
                  <c:v>1.0158895999999999</c:v>
                </c:pt>
                <c:pt idx="46">
                  <c:v>1.0137388000000001</c:v>
                </c:pt>
                <c:pt idx="47">
                  <c:v>1.0113713</c:v>
                </c:pt>
                <c:pt idx="48">
                  <c:v>1.0090014</c:v>
                </c:pt>
                <c:pt idx="49">
                  <c:v>1.0065010000000001</c:v>
                </c:pt>
                <c:pt idx="50">
                  <c:v>1.0039393000000001</c:v>
                </c:pt>
                <c:pt idx="51">
                  <c:v>1.0015129</c:v>
                </c:pt>
                <c:pt idx="52">
                  <c:v>0.99908710000000001</c:v>
                </c:pt>
                <c:pt idx="53">
                  <c:v>0.99624159999999995</c:v>
                </c:pt>
                <c:pt idx="54">
                  <c:v>0.9936526</c:v>
                </c:pt>
                <c:pt idx="55">
                  <c:v>0.99117449999999996</c:v>
                </c:pt>
                <c:pt idx="56">
                  <c:v>0.9884406</c:v>
                </c:pt>
                <c:pt idx="57">
                  <c:v>0.98535010000000001</c:v>
                </c:pt>
                <c:pt idx="58">
                  <c:v>0.98233159999999997</c:v>
                </c:pt>
                <c:pt idx="59">
                  <c:v>0.97935530000000004</c:v>
                </c:pt>
                <c:pt idx="60">
                  <c:v>0.97600469999999995</c:v>
                </c:pt>
                <c:pt idx="61">
                  <c:v>0.97261629999999999</c:v>
                </c:pt>
                <c:pt idx="62">
                  <c:v>0.96926179999999995</c:v>
                </c:pt>
                <c:pt idx="63">
                  <c:v>0.96584119999999996</c:v>
                </c:pt>
                <c:pt idx="64">
                  <c:v>0.96243809999999996</c:v>
                </c:pt>
                <c:pt idx="65">
                  <c:v>0.9624066</c:v>
                </c:pt>
                <c:pt idx="66">
                  <c:v>0.95904140000000004</c:v>
                </c:pt>
                <c:pt idx="67">
                  <c:v>0.95571200000000001</c:v>
                </c:pt>
                <c:pt idx="68">
                  <c:v>0.95238210000000001</c:v>
                </c:pt>
                <c:pt idx="69">
                  <c:v>0.94907160000000002</c:v>
                </c:pt>
                <c:pt idx="70">
                  <c:v>0.94576099999999996</c:v>
                </c:pt>
                <c:pt idx="71">
                  <c:v>0.94250120000000004</c:v>
                </c:pt>
                <c:pt idx="72">
                  <c:v>0.93927400000000005</c:v>
                </c:pt>
                <c:pt idx="73">
                  <c:v>0.93608769999999997</c:v>
                </c:pt>
                <c:pt idx="74">
                  <c:v>0.93293420000000005</c:v>
                </c:pt>
                <c:pt idx="75">
                  <c:v>0.92983130000000003</c:v>
                </c:pt>
                <c:pt idx="76">
                  <c:v>0.92673689999999997</c:v>
                </c:pt>
                <c:pt idx="77">
                  <c:v>0.92312320000000003</c:v>
                </c:pt>
                <c:pt idx="78">
                  <c:v>0.92004819999999998</c:v>
                </c:pt>
                <c:pt idx="79">
                  <c:v>0.91699450000000005</c:v>
                </c:pt>
                <c:pt idx="80">
                  <c:v>0.91396049999999995</c:v>
                </c:pt>
                <c:pt idx="81">
                  <c:v>0.91094560000000002</c:v>
                </c:pt>
                <c:pt idx="82">
                  <c:v>0.90795170000000003</c:v>
                </c:pt>
                <c:pt idx="83">
                  <c:v>0.90496719999999997</c:v>
                </c:pt>
                <c:pt idx="84">
                  <c:v>0.90201229999999999</c:v>
                </c:pt>
                <c:pt idx="85">
                  <c:v>0.89907700000000002</c:v>
                </c:pt>
                <c:pt idx="86">
                  <c:v>0.89615370000000005</c:v>
                </c:pt>
                <c:pt idx="87">
                  <c:v>0.89327769999999995</c:v>
                </c:pt>
                <c:pt idx="88">
                  <c:v>0.89047149999999997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Hasil!$I$5</c:f>
              <c:strCache>
                <c:ptCount val="1"/>
                <c:pt idx="0">
                  <c:v>MOX 2%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Hasil!$G$6:$G$94</c:f>
              <c:numCache>
                <c:formatCode>General</c:formatCode>
                <c:ptCount val="89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  <c:pt idx="65">
                  <c:v>5.0821355236139629</c:v>
                </c:pt>
                <c:pt idx="66">
                  <c:v>5.1642710472279258</c:v>
                </c:pt>
                <c:pt idx="67">
                  <c:v>5.2464065708418888</c:v>
                </c:pt>
                <c:pt idx="68">
                  <c:v>5.3285420944558526</c:v>
                </c:pt>
                <c:pt idx="69">
                  <c:v>5.4106776180698155</c:v>
                </c:pt>
                <c:pt idx="70">
                  <c:v>5.4928131416837784</c:v>
                </c:pt>
                <c:pt idx="71">
                  <c:v>5.5749486652977414</c:v>
                </c:pt>
                <c:pt idx="72">
                  <c:v>5.6570841889117043</c:v>
                </c:pt>
                <c:pt idx="73">
                  <c:v>5.7392197125256672</c:v>
                </c:pt>
                <c:pt idx="74">
                  <c:v>5.8213552361396301</c:v>
                </c:pt>
                <c:pt idx="75">
                  <c:v>5.9034907597535931</c:v>
                </c:pt>
                <c:pt idx="76">
                  <c:v>6</c:v>
                </c:pt>
                <c:pt idx="77">
                  <c:v>6.0821355236139629</c:v>
                </c:pt>
                <c:pt idx="78">
                  <c:v>6.1642710472279258</c:v>
                </c:pt>
                <c:pt idx="79">
                  <c:v>6.2464065708418888</c:v>
                </c:pt>
                <c:pt idx="80">
                  <c:v>6.3285420944558526</c:v>
                </c:pt>
                <c:pt idx="81">
                  <c:v>6.4106776180698155</c:v>
                </c:pt>
                <c:pt idx="82">
                  <c:v>6.4928131416837784</c:v>
                </c:pt>
                <c:pt idx="83">
                  <c:v>6.5749486652977414</c:v>
                </c:pt>
                <c:pt idx="84">
                  <c:v>6.6570841889117043</c:v>
                </c:pt>
                <c:pt idx="85">
                  <c:v>6.7392197125256672</c:v>
                </c:pt>
                <c:pt idx="86">
                  <c:v>6.8213552361396301</c:v>
                </c:pt>
                <c:pt idx="87">
                  <c:v>6.9034907597535931</c:v>
                </c:pt>
                <c:pt idx="88">
                  <c:v>7</c:v>
                </c:pt>
              </c:numCache>
              <c:extLst xmlns:c15="http://schemas.microsoft.com/office/drawing/2012/chart"/>
            </c:numRef>
          </c:xVal>
          <c:yVal>
            <c:numRef>
              <c:f>Hasil!$I$6:$I$94</c:f>
              <c:numCache>
                <c:formatCode>0.0000000</c:formatCode>
                <c:ptCount val="89"/>
                <c:pt idx="0">
                  <c:v>0.92837840000000005</c:v>
                </c:pt>
                <c:pt idx="1">
                  <c:v>0.90454429999999997</c:v>
                </c:pt>
                <c:pt idx="2">
                  <c:v>0.90388230000000003</c:v>
                </c:pt>
                <c:pt idx="3">
                  <c:v>0.90168320000000002</c:v>
                </c:pt>
                <c:pt idx="4">
                  <c:v>0.89897950000000004</c:v>
                </c:pt>
                <c:pt idx="5">
                  <c:v>0.89426320000000004</c:v>
                </c:pt>
                <c:pt idx="6">
                  <c:v>0.89135719999999996</c:v>
                </c:pt>
                <c:pt idx="7">
                  <c:v>0.88582320000000003</c:v>
                </c:pt>
                <c:pt idx="8">
                  <c:v>0.88266129999999998</c:v>
                </c:pt>
                <c:pt idx="9">
                  <c:v>0.88168190000000002</c:v>
                </c:pt>
                <c:pt idx="10">
                  <c:v>0.8831755</c:v>
                </c:pt>
                <c:pt idx="11">
                  <c:v>0.88983780000000001</c:v>
                </c:pt>
                <c:pt idx="12">
                  <c:v>0.90030209999999999</c:v>
                </c:pt>
                <c:pt idx="13">
                  <c:v>0.91265879999999999</c:v>
                </c:pt>
                <c:pt idx="14">
                  <c:v>0.91861979999999999</c:v>
                </c:pt>
                <c:pt idx="15">
                  <c:v>0.91708259999999997</c:v>
                </c:pt>
                <c:pt idx="16">
                  <c:v>0.91254849999999998</c:v>
                </c:pt>
                <c:pt idx="17">
                  <c:v>0.91261970000000003</c:v>
                </c:pt>
                <c:pt idx="18">
                  <c:v>0.90817820000000005</c:v>
                </c:pt>
                <c:pt idx="19">
                  <c:v>0.90453340000000004</c:v>
                </c:pt>
                <c:pt idx="20">
                  <c:v>0.90250189999999997</c:v>
                </c:pt>
                <c:pt idx="21">
                  <c:v>0.90199320000000005</c:v>
                </c:pt>
                <c:pt idx="22">
                  <c:v>0.90223200000000003</c:v>
                </c:pt>
                <c:pt idx="23">
                  <c:v>0.90224159999999998</c:v>
                </c:pt>
                <c:pt idx="24">
                  <c:v>0.90168230000000005</c:v>
                </c:pt>
                <c:pt idx="25">
                  <c:v>0.89997170000000004</c:v>
                </c:pt>
                <c:pt idx="26">
                  <c:v>0.89802839999999995</c:v>
                </c:pt>
                <c:pt idx="27">
                  <c:v>0.89540330000000001</c:v>
                </c:pt>
                <c:pt idx="28">
                  <c:v>0.8931907</c:v>
                </c:pt>
                <c:pt idx="29">
                  <c:v>0.89071140000000004</c:v>
                </c:pt>
                <c:pt idx="30">
                  <c:v>0.88899810000000001</c:v>
                </c:pt>
                <c:pt idx="31">
                  <c:v>0.88725920000000003</c:v>
                </c:pt>
                <c:pt idx="32">
                  <c:v>0.88598940000000004</c:v>
                </c:pt>
                <c:pt idx="33">
                  <c:v>0.88461250000000002</c:v>
                </c:pt>
                <c:pt idx="34">
                  <c:v>0.88314519999999996</c:v>
                </c:pt>
                <c:pt idx="35">
                  <c:v>0.88149949999999999</c:v>
                </c:pt>
                <c:pt idx="36">
                  <c:v>0.88003580000000003</c:v>
                </c:pt>
                <c:pt idx="37">
                  <c:v>0.87871560000000004</c:v>
                </c:pt>
                <c:pt idx="38">
                  <c:v>0.87741769999999997</c:v>
                </c:pt>
                <c:pt idx="39">
                  <c:v>0.8761852</c:v>
                </c:pt>
                <c:pt idx="40">
                  <c:v>0.8750213</c:v>
                </c:pt>
                <c:pt idx="41">
                  <c:v>0.87502279999999999</c:v>
                </c:pt>
                <c:pt idx="42">
                  <c:v>0.87356199999999995</c:v>
                </c:pt>
                <c:pt idx="43">
                  <c:v>0.87217880000000003</c:v>
                </c:pt>
                <c:pt idx="44">
                  <c:v>0.87072740000000004</c:v>
                </c:pt>
                <c:pt idx="45">
                  <c:v>0.86936150000000001</c:v>
                </c:pt>
                <c:pt idx="46">
                  <c:v>0.86808850000000004</c:v>
                </c:pt>
                <c:pt idx="47">
                  <c:v>0.86651330000000004</c:v>
                </c:pt>
                <c:pt idx="48">
                  <c:v>0.86518360000000005</c:v>
                </c:pt>
                <c:pt idx="49">
                  <c:v>0.86383560000000004</c:v>
                </c:pt>
                <c:pt idx="50">
                  <c:v>0.86219630000000003</c:v>
                </c:pt>
                <c:pt idx="51">
                  <c:v>0.86097670000000004</c:v>
                </c:pt>
                <c:pt idx="52">
                  <c:v>0.8593075</c:v>
                </c:pt>
                <c:pt idx="53">
                  <c:v>0.85764189999999996</c:v>
                </c:pt>
                <c:pt idx="54">
                  <c:v>0.85616219999999998</c:v>
                </c:pt>
                <c:pt idx="55">
                  <c:v>0.85474090000000003</c:v>
                </c:pt>
                <c:pt idx="56">
                  <c:v>0.85335649999999996</c:v>
                </c:pt>
                <c:pt idx="57">
                  <c:v>0.85178860000000001</c:v>
                </c:pt>
                <c:pt idx="58">
                  <c:v>0.85017750000000003</c:v>
                </c:pt>
                <c:pt idx="59">
                  <c:v>0.84855389999999997</c:v>
                </c:pt>
                <c:pt idx="60">
                  <c:v>0.84672029999999998</c:v>
                </c:pt>
                <c:pt idx="61">
                  <c:v>0.84495790000000004</c:v>
                </c:pt>
                <c:pt idx="62">
                  <c:v>0.84301959999999998</c:v>
                </c:pt>
                <c:pt idx="63">
                  <c:v>0.84111979999999997</c:v>
                </c:pt>
                <c:pt idx="64">
                  <c:v>0.83907900000000002</c:v>
                </c:pt>
                <c:pt idx="65" formatCode="General">
                  <c:v>0.83907019999999999</c:v>
                </c:pt>
                <c:pt idx="66" formatCode="General">
                  <c:v>0.83705039999999997</c:v>
                </c:pt>
                <c:pt idx="67" formatCode="General">
                  <c:v>0.83513250000000006</c:v>
                </c:pt>
                <c:pt idx="68" formatCode="General">
                  <c:v>0.83313349999999997</c:v>
                </c:pt>
                <c:pt idx="69" formatCode="General">
                  <c:v>0.83126100000000003</c:v>
                </c:pt>
                <c:pt idx="70" formatCode="General">
                  <c:v>0.82937289999999997</c:v>
                </c:pt>
                <c:pt idx="71" formatCode="General">
                  <c:v>0.82753710000000003</c:v>
                </c:pt>
                <c:pt idx="72" formatCode="General">
                  <c:v>0.82573850000000004</c:v>
                </c:pt>
                <c:pt idx="73" formatCode="General">
                  <c:v>0.82393970000000005</c:v>
                </c:pt>
                <c:pt idx="74" formatCode="General">
                  <c:v>0.82217750000000001</c:v>
                </c:pt>
                <c:pt idx="75" formatCode="General">
                  <c:v>0.82046450000000004</c:v>
                </c:pt>
                <c:pt idx="76" formatCode="General">
                  <c:v>0.81872310000000004</c:v>
                </c:pt>
                <c:pt idx="77" formatCode="General">
                  <c:v>0.81688700000000003</c:v>
                </c:pt>
                <c:pt idx="78" formatCode="General">
                  <c:v>0.81518100000000004</c:v>
                </c:pt>
                <c:pt idx="79" formatCode="General">
                  <c:v>0.81363529999999995</c:v>
                </c:pt>
                <c:pt idx="80" formatCode="General">
                  <c:v>0.81199889999999997</c:v>
                </c:pt>
                <c:pt idx="81" formatCode="General">
                  <c:v>0.81043310000000002</c:v>
                </c:pt>
                <c:pt idx="82" formatCode="General">
                  <c:v>0.80884579999999995</c:v>
                </c:pt>
                <c:pt idx="83" formatCode="General">
                  <c:v>0.80730329999999995</c:v>
                </c:pt>
                <c:pt idx="84" formatCode="General">
                  <c:v>0.80575949999999996</c:v>
                </c:pt>
                <c:pt idx="85" formatCode="General">
                  <c:v>0.80425939999999996</c:v>
                </c:pt>
                <c:pt idx="86" formatCode="General">
                  <c:v>0.8027917</c:v>
                </c:pt>
                <c:pt idx="87" formatCode="General">
                  <c:v>0.80134289999999997</c:v>
                </c:pt>
                <c:pt idx="88" formatCode="General">
                  <c:v>0.7999174</c:v>
                </c:pt>
              </c:numCache>
              <c:extLst xmlns:c15="http://schemas.microsoft.com/office/drawing/2012/chart"/>
            </c:numRef>
          </c:yVal>
          <c:smooth val="1"/>
        </c:ser>
        <c:ser>
          <c:idx val="2"/>
          <c:order val="2"/>
          <c:tx>
            <c:strRef>
              <c:f>Hasil!$J$5</c:f>
              <c:strCache>
                <c:ptCount val="1"/>
                <c:pt idx="0">
                  <c:v>MOX 4%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Hasil!$G$6:$G$94</c:f>
              <c:numCache>
                <c:formatCode>General</c:formatCode>
                <c:ptCount val="89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  <c:pt idx="65">
                  <c:v>5.0821355236139629</c:v>
                </c:pt>
                <c:pt idx="66">
                  <c:v>5.1642710472279258</c:v>
                </c:pt>
                <c:pt idx="67">
                  <c:v>5.2464065708418888</c:v>
                </c:pt>
                <c:pt idx="68">
                  <c:v>5.3285420944558526</c:v>
                </c:pt>
                <c:pt idx="69">
                  <c:v>5.4106776180698155</c:v>
                </c:pt>
                <c:pt idx="70">
                  <c:v>5.4928131416837784</c:v>
                </c:pt>
                <c:pt idx="71">
                  <c:v>5.5749486652977414</c:v>
                </c:pt>
                <c:pt idx="72">
                  <c:v>5.6570841889117043</c:v>
                </c:pt>
                <c:pt idx="73">
                  <c:v>5.7392197125256672</c:v>
                </c:pt>
                <c:pt idx="74">
                  <c:v>5.8213552361396301</c:v>
                </c:pt>
                <c:pt idx="75">
                  <c:v>5.9034907597535931</c:v>
                </c:pt>
                <c:pt idx="76">
                  <c:v>6</c:v>
                </c:pt>
                <c:pt idx="77">
                  <c:v>6.0821355236139629</c:v>
                </c:pt>
                <c:pt idx="78">
                  <c:v>6.1642710472279258</c:v>
                </c:pt>
                <c:pt idx="79">
                  <c:v>6.2464065708418888</c:v>
                </c:pt>
                <c:pt idx="80">
                  <c:v>6.3285420944558526</c:v>
                </c:pt>
                <c:pt idx="81">
                  <c:v>6.4106776180698155</c:v>
                </c:pt>
                <c:pt idx="82">
                  <c:v>6.4928131416837784</c:v>
                </c:pt>
                <c:pt idx="83">
                  <c:v>6.5749486652977414</c:v>
                </c:pt>
                <c:pt idx="84">
                  <c:v>6.6570841889117043</c:v>
                </c:pt>
                <c:pt idx="85">
                  <c:v>6.7392197125256672</c:v>
                </c:pt>
                <c:pt idx="86">
                  <c:v>6.8213552361396301</c:v>
                </c:pt>
                <c:pt idx="87">
                  <c:v>6.9034907597535931</c:v>
                </c:pt>
                <c:pt idx="88">
                  <c:v>7</c:v>
                </c:pt>
              </c:numCache>
              <c:extLst xmlns:c15="http://schemas.microsoft.com/office/drawing/2012/chart"/>
            </c:numRef>
          </c:xVal>
          <c:yVal>
            <c:numRef>
              <c:f>Hasil!$J$6:$J$94</c:f>
              <c:numCache>
                <c:formatCode>0.0000000</c:formatCode>
                <c:ptCount val="89"/>
                <c:pt idx="0">
                  <c:v>0.97849830000000004</c:v>
                </c:pt>
                <c:pt idx="1">
                  <c:v>0.95866589999999996</c:v>
                </c:pt>
                <c:pt idx="2">
                  <c:v>0.95831560000000005</c:v>
                </c:pt>
                <c:pt idx="3">
                  <c:v>0.95676419999999995</c:v>
                </c:pt>
                <c:pt idx="4">
                  <c:v>0.95485350000000002</c:v>
                </c:pt>
                <c:pt idx="5">
                  <c:v>0.95126080000000002</c:v>
                </c:pt>
                <c:pt idx="6">
                  <c:v>0.94892560000000004</c:v>
                </c:pt>
                <c:pt idx="7">
                  <c:v>0.94449930000000004</c:v>
                </c:pt>
                <c:pt idx="8">
                  <c:v>0.94204339999999998</c:v>
                </c:pt>
                <c:pt idx="9">
                  <c:v>0.94080839999999999</c:v>
                </c:pt>
                <c:pt idx="10">
                  <c:v>0.94096760000000002</c:v>
                </c:pt>
                <c:pt idx="11">
                  <c:v>0.94260169999999999</c:v>
                </c:pt>
                <c:pt idx="12">
                  <c:v>0.94607470000000005</c:v>
                </c:pt>
                <c:pt idx="13">
                  <c:v>0.95081190000000004</c:v>
                </c:pt>
                <c:pt idx="14">
                  <c:v>0.95491400000000004</c:v>
                </c:pt>
                <c:pt idx="15">
                  <c:v>0.95726540000000004</c:v>
                </c:pt>
                <c:pt idx="16">
                  <c:v>0.95924659999999995</c:v>
                </c:pt>
                <c:pt idx="17">
                  <c:v>0.95925009999999999</c:v>
                </c:pt>
                <c:pt idx="18">
                  <c:v>0.95963949999999998</c:v>
                </c:pt>
                <c:pt idx="19">
                  <c:v>0.95827560000000001</c:v>
                </c:pt>
                <c:pt idx="20">
                  <c:v>0.95650349999999995</c:v>
                </c:pt>
                <c:pt idx="21">
                  <c:v>0.95456490000000005</c:v>
                </c:pt>
                <c:pt idx="22">
                  <c:v>0.95283119999999999</c:v>
                </c:pt>
                <c:pt idx="23">
                  <c:v>0.95120159999999998</c:v>
                </c:pt>
                <c:pt idx="24">
                  <c:v>0.94981289999999996</c:v>
                </c:pt>
                <c:pt idx="25">
                  <c:v>0.94854859999999996</c:v>
                </c:pt>
                <c:pt idx="26">
                  <c:v>0.94744010000000001</c:v>
                </c:pt>
                <c:pt idx="27">
                  <c:v>0.94653089999999995</c:v>
                </c:pt>
                <c:pt idx="28">
                  <c:v>0.94529090000000005</c:v>
                </c:pt>
                <c:pt idx="29">
                  <c:v>0.94372670000000003</c:v>
                </c:pt>
                <c:pt idx="30">
                  <c:v>0.94231299999999996</c:v>
                </c:pt>
                <c:pt idx="31">
                  <c:v>0.94052049999999998</c:v>
                </c:pt>
                <c:pt idx="32">
                  <c:v>0.93913009999999997</c:v>
                </c:pt>
                <c:pt idx="33">
                  <c:v>0.93735809999999997</c:v>
                </c:pt>
                <c:pt idx="34">
                  <c:v>0.93593110000000002</c:v>
                </c:pt>
                <c:pt idx="35">
                  <c:v>0.93405729999999998</c:v>
                </c:pt>
                <c:pt idx="36">
                  <c:v>0.93278989999999995</c:v>
                </c:pt>
                <c:pt idx="37">
                  <c:v>0.93128710000000003</c:v>
                </c:pt>
                <c:pt idx="38">
                  <c:v>0.92995729999999999</c:v>
                </c:pt>
                <c:pt idx="39">
                  <c:v>0.92843540000000002</c:v>
                </c:pt>
                <c:pt idx="40">
                  <c:v>0.927064</c:v>
                </c:pt>
                <c:pt idx="41">
                  <c:v>0.92706840000000001</c:v>
                </c:pt>
                <c:pt idx="42">
                  <c:v>0.92565989999999998</c:v>
                </c:pt>
                <c:pt idx="43">
                  <c:v>0.92427459999999995</c:v>
                </c:pt>
                <c:pt idx="44">
                  <c:v>0.92284639999999996</c:v>
                </c:pt>
                <c:pt idx="45">
                  <c:v>0.92155529999999997</c:v>
                </c:pt>
                <c:pt idx="46">
                  <c:v>0.9202842</c:v>
                </c:pt>
                <c:pt idx="47">
                  <c:v>0.91886670000000004</c:v>
                </c:pt>
                <c:pt idx="48">
                  <c:v>0.91749400000000003</c:v>
                </c:pt>
                <c:pt idx="49">
                  <c:v>0.91609640000000003</c:v>
                </c:pt>
                <c:pt idx="50">
                  <c:v>0.91476420000000003</c:v>
                </c:pt>
                <c:pt idx="51">
                  <c:v>0.91336700000000004</c:v>
                </c:pt>
                <c:pt idx="52">
                  <c:v>0.91192340000000005</c:v>
                </c:pt>
                <c:pt idx="53">
                  <c:v>0.91028549999999997</c:v>
                </c:pt>
                <c:pt idx="54">
                  <c:v>0.90893570000000001</c:v>
                </c:pt>
                <c:pt idx="55">
                  <c:v>0.90764670000000003</c:v>
                </c:pt>
                <c:pt idx="56">
                  <c:v>0.90626249999999997</c:v>
                </c:pt>
                <c:pt idx="57">
                  <c:v>0.90498290000000003</c:v>
                </c:pt>
                <c:pt idx="58">
                  <c:v>0.90351919999999997</c:v>
                </c:pt>
                <c:pt idx="59">
                  <c:v>0.90205559999999996</c:v>
                </c:pt>
                <c:pt idx="60">
                  <c:v>0.90067419999999998</c:v>
                </c:pt>
                <c:pt idx="61">
                  <c:v>0.89911810000000003</c:v>
                </c:pt>
                <c:pt idx="62">
                  <c:v>0.89783009999999996</c:v>
                </c:pt>
                <c:pt idx="63">
                  <c:v>0.89617869999999999</c:v>
                </c:pt>
                <c:pt idx="64">
                  <c:v>0.89474730000000002</c:v>
                </c:pt>
                <c:pt idx="65" formatCode="General">
                  <c:v>0.89469690000000002</c:v>
                </c:pt>
                <c:pt idx="66" formatCode="General">
                  <c:v>0.89317550000000001</c:v>
                </c:pt>
                <c:pt idx="67" formatCode="General">
                  <c:v>0.89168820000000004</c:v>
                </c:pt>
                <c:pt idx="68" formatCode="General">
                  <c:v>0.89003089999999996</c:v>
                </c:pt>
                <c:pt idx="69" formatCode="General">
                  <c:v>0.88849339999999999</c:v>
                </c:pt>
                <c:pt idx="70" formatCode="General">
                  <c:v>0.88687369999999999</c:v>
                </c:pt>
                <c:pt idx="71" formatCode="General">
                  <c:v>0.885293</c:v>
                </c:pt>
                <c:pt idx="72" formatCode="General">
                  <c:v>0.88359049999999995</c:v>
                </c:pt>
                <c:pt idx="73" formatCode="General">
                  <c:v>0.88199269999999996</c:v>
                </c:pt>
                <c:pt idx="74" formatCode="General">
                  <c:v>0.88026550000000003</c:v>
                </c:pt>
                <c:pt idx="75" formatCode="General">
                  <c:v>0.87863610000000003</c:v>
                </c:pt>
                <c:pt idx="76" formatCode="General">
                  <c:v>0.87687619999999999</c:v>
                </c:pt>
                <c:pt idx="77" formatCode="General">
                  <c:v>0.87493560000000004</c:v>
                </c:pt>
                <c:pt idx="78" formatCode="General">
                  <c:v>0.8732839</c:v>
                </c:pt>
                <c:pt idx="79" formatCode="General">
                  <c:v>0.87156829999999996</c:v>
                </c:pt>
                <c:pt idx="80" formatCode="General">
                  <c:v>0.86991790000000002</c:v>
                </c:pt>
                <c:pt idx="81" formatCode="General">
                  <c:v>0.8682185</c:v>
                </c:pt>
                <c:pt idx="82" formatCode="General">
                  <c:v>0.86657830000000002</c:v>
                </c:pt>
                <c:pt idx="83" formatCode="General">
                  <c:v>0.8649076</c:v>
                </c:pt>
                <c:pt idx="84" formatCode="General">
                  <c:v>0.86329639999999996</c:v>
                </c:pt>
                <c:pt idx="85" formatCode="General">
                  <c:v>0.86167110000000002</c:v>
                </c:pt>
                <c:pt idx="86" formatCode="General">
                  <c:v>0.86008620000000002</c:v>
                </c:pt>
                <c:pt idx="87" formatCode="General">
                  <c:v>0.85847390000000001</c:v>
                </c:pt>
                <c:pt idx="88" formatCode="General">
                  <c:v>0.85690960000000005</c:v>
                </c:pt>
              </c:numCache>
              <c:extLst xmlns:c15="http://schemas.microsoft.com/office/drawing/2012/chart"/>
            </c:numRef>
          </c:yVal>
          <c:smooth val="1"/>
        </c:ser>
        <c:ser>
          <c:idx val="3"/>
          <c:order val="3"/>
          <c:tx>
            <c:strRef>
              <c:f>Hasil!$K$5</c:f>
              <c:strCache>
                <c:ptCount val="1"/>
                <c:pt idx="0">
                  <c:v>MOX 6%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Hasil!$G$6:$G$94</c:f>
              <c:numCache>
                <c:formatCode>General</c:formatCode>
                <c:ptCount val="89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  <c:pt idx="65">
                  <c:v>5.0821355236139629</c:v>
                </c:pt>
                <c:pt idx="66">
                  <c:v>5.1642710472279258</c:v>
                </c:pt>
                <c:pt idx="67">
                  <c:v>5.2464065708418888</c:v>
                </c:pt>
                <c:pt idx="68">
                  <c:v>5.3285420944558526</c:v>
                </c:pt>
                <c:pt idx="69">
                  <c:v>5.4106776180698155</c:v>
                </c:pt>
                <c:pt idx="70">
                  <c:v>5.4928131416837784</c:v>
                </c:pt>
                <c:pt idx="71">
                  <c:v>5.5749486652977414</c:v>
                </c:pt>
                <c:pt idx="72">
                  <c:v>5.6570841889117043</c:v>
                </c:pt>
                <c:pt idx="73">
                  <c:v>5.7392197125256672</c:v>
                </c:pt>
                <c:pt idx="74">
                  <c:v>5.8213552361396301</c:v>
                </c:pt>
                <c:pt idx="75">
                  <c:v>5.9034907597535931</c:v>
                </c:pt>
                <c:pt idx="76">
                  <c:v>6</c:v>
                </c:pt>
                <c:pt idx="77">
                  <c:v>6.0821355236139629</c:v>
                </c:pt>
                <c:pt idx="78">
                  <c:v>6.1642710472279258</c:v>
                </c:pt>
                <c:pt idx="79">
                  <c:v>6.2464065708418888</c:v>
                </c:pt>
                <c:pt idx="80">
                  <c:v>6.3285420944558526</c:v>
                </c:pt>
                <c:pt idx="81">
                  <c:v>6.4106776180698155</c:v>
                </c:pt>
                <c:pt idx="82">
                  <c:v>6.4928131416837784</c:v>
                </c:pt>
                <c:pt idx="83">
                  <c:v>6.5749486652977414</c:v>
                </c:pt>
                <c:pt idx="84">
                  <c:v>6.6570841889117043</c:v>
                </c:pt>
                <c:pt idx="85">
                  <c:v>6.7392197125256672</c:v>
                </c:pt>
                <c:pt idx="86">
                  <c:v>6.8213552361396301</c:v>
                </c:pt>
                <c:pt idx="87">
                  <c:v>6.9034907597535931</c:v>
                </c:pt>
                <c:pt idx="88">
                  <c:v>7</c:v>
                </c:pt>
              </c:numCache>
            </c:numRef>
          </c:xVal>
          <c:yVal>
            <c:numRef>
              <c:f>Hasil!$K$6:$K$94</c:f>
              <c:numCache>
                <c:formatCode>0.0000000</c:formatCode>
                <c:ptCount val="89"/>
                <c:pt idx="0">
                  <c:v>1.0073106999999999</c:v>
                </c:pt>
                <c:pt idx="1">
                  <c:v>0.99132940000000003</c:v>
                </c:pt>
                <c:pt idx="2">
                  <c:v>0.99115019999999998</c:v>
                </c:pt>
                <c:pt idx="3">
                  <c:v>0.9899249</c:v>
                </c:pt>
                <c:pt idx="4">
                  <c:v>0.98844370000000004</c:v>
                </c:pt>
                <c:pt idx="5">
                  <c:v>0.98553179999999996</c:v>
                </c:pt>
                <c:pt idx="6">
                  <c:v>0.98346630000000002</c:v>
                </c:pt>
                <c:pt idx="7">
                  <c:v>0.97932399999999997</c:v>
                </c:pt>
                <c:pt idx="8">
                  <c:v>0.97687749999999995</c:v>
                </c:pt>
                <c:pt idx="9">
                  <c:v>0.97541429999999996</c:v>
                </c:pt>
                <c:pt idx="10">
                  <c:v>0.97477820000000004</c:v>
                </c:pt>
                <c:pt idx="11">
                  <c:v>0.97503629999999997</c:v>
                </c:pt>
                <c:pt idx="12">
                  <c:v>0.97616449999999999</c:v>
                </c:pt>
                <c:pt idx="13">
                  <c:v>0.97806490000000001</c:v>
                </c:pt>
                <c:pt idx="14">
                  <c:v>0.97997129999999999</c:v>
                </c:pt>
                <c:pt idx="15">
                  <c:v>0.98141970000000001</c:v>
                </c:pt>
                <c:pt idx="16">
                  <c:v>0.98299669999999995</c:v>
                </c:pt>
                <c:pt idx="17">
                  <c:v>0.98298220000000003</c:v>
                </c:pt>
                <c:pt idx="18">
                  <c:v>0.9836435</c:v>
                </c:pt>
                <c:pt idx="19">
                  <c:v>0.98386649999999998</c:v>
                </c:pt>
                <c:pt idx="20">
                  <c:v>0.98363809999999996</c:v>
                </c:pt>
                <c:pt idx="21">
                  <c:v>0.98281640000000003</c:v>
                </c:pt>
                <c:pt idx="22">
                  <c:v>0.98184490000000002</c:v>
                </c:pt>
                <c:pt idx="23">
                  <c:v>0.98048999999999997</c:v>
                </c:pt>
                <c:pt idx="24">
                  <c:v>0.9789987</c:v>
                </c:pt>
                <c:pt idx="25">
                  <c:v>0.97754870000000005</c:v>
                </c:pt>
                <c:pt idx="26">
                  <c:v>0.97618459999999996</c:v>
                </c:pt>
                <c:pt idx="27">
                  <c:v>0.9749816</c:v>
                </c:pt>
                <c:pt idx="28">
                  <c:v>0.97368330000000003</c:v>
                </c:pt>
                <c:pt idx="29">
                  <c:v>0.97211970000000003</c:v>
                </c:pt>
                <c:pt idx="30">
                  <c:v>0.97089919999999996</c:v>
                </c:pt>
                <c:pt idx="31">
                  <c:v>0.96970129999999999</c:v>
                </c:pt>
                <c:pt idx="32">
                  <c:v>0.96835720000000003</c:v>
                </c:pt>
                <c:pt idx="33">
                  <c:v>0.96709140000000005</c:v>
                </c:pt>
                <c:pt idx="34">
                  <c:v>0.96562619999999999</c:v>
                </c:pt>
                <c:pt idx="35">
                  <c:v>0.96429909999999996</c:v>
                </c:pt>
                <c:pt idx="36">
                  <c:v>0.96291740000000003</c:v>
                </c:pt>
                <c:pt idx="37">
                  <c:v>0.9615899</c:v>
                </c:pt>
                <c:pt idx="38">
                  <c:v>0.96026769999999995</c:v>
                </c:pt>
                <c:pt idx="39">
                  <c:v>0.95862369999999997</c:v>
                </c:pt>
                <c:pt idx="40">
                  <c:v>0.95731759999999999</c:v>
                </c:pt>
                <c:pt idx="41">
                  <c:v>0.95727139999999999</c:v>
                </c:pt>
                <c:pt idx="42">
                  <c:v>0.95592699999999997</c:v>
                </c:pt>
                <c:pt idx="43">
                  <c:v>0.95456149999999995</c:v>
                </c:pt>
                <c:pt idx="44">
                  <c:v>0.9532505</c:v>
                </c:pt>
                <c:pt idx="45">
                  <c:v>0.95195129999999994</c:v>
                </c:pt>
                <c:pt idx="46">
                  <c:v>0.95071850000000002</c:v>
                </c:pt>
                <c:pt idx="47">
                  <c:v>0.94938610000000001</c:v>
                </c:pt>
                <c:pt idx="48">
                  <c:v>0.94799009999999995</c:v>
                </c:pt>
                <c:pt idx="49">
                  <c:v>0.94670739999999998</c:v>
                </c:pt>
                <c:pt idx="50">
                  <c:v>0.94543180000000004</c:v>
                </c:pt>
                <c:pt idx="51">
                  <c:v>0.94410819999999995</c:v>
                </c:pt>
                <c:pt idx="52">
                  <c:v>0.94279100000000005</c:v>
                </c:pt>
                <c:pt idx="53">
                  <c:v>0.94123400000000002</c:v>
                </c:pt>
                <c:pt idx="54">
                  <c:v>0.93996230000000003</c:v>
                </c:pt>
                <c:pt idx="55">
                  <c:v>0.93867420000000001</c:v>
                </c:pt>
                <c:pt idx="56">
                  <c:v>0.93741180000000002</c:v>
                </c:pt>
                <c:pt idx="57">
                  <c:v>0.93613970000000002</c:v>
                </c:pt>
                <c:pt idx="58">
                  <c:v>0.93489829999999996</c:v>
                </c:pt>
                <c:pt idx="59">
                  <c:v>0.93361910000000004</c:v>
                </c:pt>
                <c:pt idx="60">
                  <c:v>0.93220219999999998</c:v>
                </c:pt>
                <c:pt idx="61">
                  <c:v>0.9309385</c:v>
                </c:pt>
                <c:pt idx="62">
                  <c:v>0.92957639999999997</c:v>
                </c:pt>
                <c:pt idx="63">
                  <c:v>0.92834430000000001</c:v>
                </c:pt>
                <c:pt idx="64" formatCode="General">
                  <c:v>0.92699810000000005</c:v>
                </c:pt>
                <c:pt idx="65" formatCode="General">
                  <c:v>0.92699750000000003</c:v>
                </c:pt>
                <c:pt idx="66" formatCode="General">
                  <c:v>0.92567829999999995</c:v>
                </c:pt>
                <c:pt idx="67" formatCode="General">
                  <c:v>0.92439039999999995</c:v>
                </c:pt>
                <c:pt idx="68" formatCode="General">
                  <c:v>0.92298469999999999</c:v>
                </c:pt>
                <c:pt idx="69" formatCode="General">
                  <c:v>0.92174619999999996</c:v>
                </c:pt>
                <c:pt idx="70" formatCode="General">
                  <c:v>0.92037210000000003</c:v>
                </c:pt>
                <c:pt idx="71" formatCode="General">
                  <c:v>0.91916439999999999</c:v>
                </c:pt>
                <c:pt idx="72" formatCode="General">
                  <c:v>0.91769990000000001</c:v>
                </c:pt>
                <c:pt idx="73" formatCode="General">
                  <c:v>0.91636519999999999</c:v>
                </c:pt>
                <c:pt idx="74" formatCode="General">
                  <c:v>0.91498860000000004</c:v>
                </c:pt>
                <c:pt idx="75" formatCode="General">
                  <c:v>0.91363439999999996</c:v>
                </c:pt>
                <c:pt idx="76" formatCode="General">
                  <c:v>0.91216439999999999</c:v>
                </c:pt>
                <c:pt idx="77" formatCode="General">
                  <c:v>0.9105337</c:v>
                </c:pt>
                <c:pt idx="78" formatCode="General">
                  <c:v>0.90901730000000003</c:v>
                </c:pt>
                <c:pt idx="79" formatCode="General">
                  <c:v>0.90766559999999996</c:v>
                </c:pt>
                <c:pt idx="80" formatCode="General">
                  <c:v>0.90617040000000004</c:v>
                </c:pt>
                <c:pt idx="81" formatCode="General">
                  <c:v>0.90477859999999999</c:v>
                </c:pt>
                <c:pt idx="82" formatCode="General">
                  <c:v>0.90332939999999995</c:v>
                </c:pt>
                <c:pt idx="83" formatCode="General">
                  <c:v>0.90194090000000005</c:v>
                </c:pt>
                <c:pt idx="84" formatCode="General">
                  <c:v>0.90050359999999996</c:v>
                </c:pt>
                <c:pt idx="85" formatCode="General">
                  <c:v>0.8991458</c:v>
                </c:pt>
                <c:pt idx="86" formatCode="General">
                  <c:v>0.8976343</c:v>
                </c:pt>
                <c:pt idx="87" formatCode="General">
                  <c:v>0.8962156</c:v>
                </c:pt>
                <c:pt idx="88" formatCode="General">
                  <c:v>0.89473179999999997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Hasil!$L$5</c:f>
              <c:strCache>
                <c:ptCount val="1"/>
                <c:pt idx="0">
                  <c:v>MOX 8%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Hasil!$G$6:$G$94</c:f>
              <c:numCache>
                <c:formatCode>General</c:formatCode>
                <c:ptCount val="89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  <c:pt idx="65">
                  <c:v>5.0821355236139629</c:v>
                </c:pt>
                <c:pt idx="66">
                  <c:v>5.1642710472279258</c:v>
                </c:pt>
                <c:pt idx="67">
                  <c:v>5.2464065708418888</c:v>
                </c:pt>
                <c:pt idx="68">
                  <c:v>5.3285420944558526</c:v>
                </c:pt>
                <c:pt idx="69">
                  <c:v>5.4106776180698155</c:v>
                </c:pt>
                <c:pt idx="70">
                  <c:v>5.4928131416837784</c:v>
                </c:pt>
                <c:pt idx="71">
                  <c:v>5.5749486652977414</c:v>
                </c:pt>
                <c:pt idx="72">
                  <c:v>5.6570841889117043</c:v>
                </c:pt>
                <c:pt idx="73">
                  <c:v>5.7392197125256672</c:v>
                </c:pt>
                <c:pt idx="74">
                  <c:v>5.8213552361396301</c:v>
                </c:pt>
                <c:pt idx="75">
                  <c:v>5.9034907597535931</c:v>
                </c:pt>
                <c:pt idx="76">
                  <c:v>6</c:v>
                </c:pt>
                <c:pt idx="77">
                  <c:v>6.0821355236139629</c:v>
                </c:pt>
                <c:pt idx="78">
                  <c:v>6.1642710472279258</c:v>
                </c:pt>
                <c:pt idx="79">
                  <c:v>6.2464065708418888</c:v>
                </c:pt>
                <c:pt idx="80">
                  <c:v>6.3285420944558526</c:v>
                </c:pt>
                <c:pt idx="81">
                  <c:v>6.4106776180698155</c:v>
                </c:pt>
                <c:pt idx="82">
                  <c:v>6.4928131416837784</c:v>
                </c:pt>
                <c:pt idx="83">
                  <c:v>6.5749486652977414</c:v>
                </c:pt>
                <c:pt idx="84">
                  <c:v>6.6570841889117043</c:v>
                </c:pt>
                <c:pt idx="85">
                  <c:v>6.7392197125256672</c:v>
                </c:pt>
                <c:pt idx="86">
                  <c:v>6.8213552361396301</c:v>
                </c:pt>
                <c:pt idx="87">
                  <c:v>6.9034907597535931</c:v>
                </c:pt>
                <c:pt idx="88">
                  <c:v>7</c:v>
                </c:pt>
              </c:numCache>
            </c:numRef>
          </c:xVal>
          <c:yVal>
            <c:numRef>
              <c:f>Hasil!$L$6:$L$94</c:f>
              <c:numCache>
                <c:formatCode>0.0000000</c:formatCode>
                <c:ptCount val="89"/>
                <c:pt idx="0">
                  <c:v>1.0311588</c:v>
                </c:pt>
                <c:pt idx="1">
                  <c:v>1.0182106</c:v>
                </c:pt>
                <c:pt idx="2">
                  <c:v>1.0180992</c:v>
                </c:pt>
                <c:pt idx="3">
                  <c:v>1.0170870999999999</c:v>
                </c:pt>
                <c:pt idx="4">
                  <c:v>1.0158453999999999</c:v>
                </c:pt>
                <c:pt idx="5">
                  <c:v>1.0133764000000001</c:v>
                </c:pt>
                <c:pt idx="6">
                  <c:v>1.0114837000000001</c:v>
                </c:pt>
                <c:pt idx="7">
                  <c:v>1.0074055</c:v>
                </c:pt>
                <c:pt idx="8">
                  <c:v>1.0047699000000001</c:v>
                </c:pt>
                <c:pt idx="9">
                  <c:v>1.0029824000000001</c:v>
                </c:pt>
                <c:pt idx="10">
                  <c:v>1.0018014</c:v>
                </c:pt>
                <c:pt idx="11">
                  <c:v>1.0012075</c:v>
                </c:pt>
                <c:pt idx="12">
                  <c:v>1.0011774</c:v>
                </c:pt>
                <c:pt idx="13">
                  <c:v>1.0016474</c:v>
                </c:pt>
                <c:pt idx="14">
                  <c:v>1.0021069</c:v>
                </c:pt>
                <c:pt idx="15">
                  <c:v>1.0028902</c:v>
                </c:pt>
                <c:pt idx="16">
                  <c:v>1.0036049</c:v>
                </c:pt>
                <c:pt idx="17">
                  <c:v>1.0035946</c:v>
                </c:pt>
                <c:pt idx="18">
                  <c:v>1.0039849999999999</c:v>
                </c:pt>
                <c:pt idx="19">
                  <c:v>1.0041343</c:v>
                </c:pt>
                <c:pt idx="20">
                  <c:v>1.0039077000000001</c:v>
                </c:pt>
                <c:pt idx="21">
                  <c:v>1.0033723000000001</c:v>
                </c:pt>
                <c:pt idx="22">
                  <c:v>1.0026600000000001</c:v>
                </c:pt>
                <c:pt idx="23">
                  <c:v>1.0016776000000001</c:v>
                </c:pt>
                <c:pt idx="24">
                  <c:v>1.0006155999999999</c:v>
                </c:pt>
                <c:pt idx="25">
                  <c:v>0.99937529999999997</c:v>
                </c:pt>
                <c:pt idx="26">
                  <c:v>0.99811689999999997</c:v>
                </c:pt>
                <c:pt idx="27">
                  <c:v>0.99694749999999999</c:v>
                </c:pt>
                <c:pt idx="28">
                  <c:v>0.99572360000000004</c:v>
                </c:pt>
                <c:pt idx="29">
                  <c:v>0.99416159999999998</c:v>
                </c:pt>
                <c:pt idx="30">
                  <c:v>0.99293750000000003</c:v>
                </c:pt>
                <c:pt idx="31">
                  <c:v>0.99164099999999999</c:v>
                </c:pt>
                <c:pt idx="32">
                  <c:v>0.99032240000000005</c:v>
                </c:pt>
                <c:pt idx="33">
                  <c:v>0.98900010000000005</c:v>
                </c:pt>
                <c:pt idx="34">
                  <c:v>0.98771439999999999</c:v>
                </c:pt>
                <c:pt idx="35">
                  <c:v>0.98639069999999995</c:v>
                </c:pt>
                <c:pt idx="36">
                  <c:v>0.98512069999999996</c:v>
                </c:pt>
                <c:pt idx="37">
                  <c:v>0.98380619999999996</c:v>
                </c:pt>
                <c:pt idx="38">
                  <c:v>0.98239469999999995</c:v>
                </c:pt>
                <c:pt idx="39">
                  <c:v>0.98102610000000001</c:v>
                </c:pt>
                <c:pt idx="40">
                  <c:v>0.97969649999999997</c:v>
                </c:pt>
                <c:pt idx="41">
                  <c:v>0.97971350000000001</c:v>
                </c:pt>
                <c:pt idx="42">
                  <c:v>0.97836869999999998</c:v>
                </c:pt>
                <c:pt idx="43">
                  <c:v>0.97709539999999995</c:v>
                </c:pt>
                <c:pt idx="44">
                  <c:v>0.97576189999999996</c:v>
                </c:pt>
                <c:pt idx="45">
                  <c:v>0.97456089999999995</c:v>
                </c:pt>
                <c:pt idx="46">
                  <c:v>0.97313130000000003</c:v>
                </c:pt>
                <c:pt idx="47">
                  <c:v>0.97189409999999998</c:v>
                </c:pt>
                <c:pt idx="48">
                  <c:v>0.97053040000000002</c:v>
                </c:pt>
                <c:pt idx="49">
                  <c:v>0.96930550000000004</c:v>
                </c:pt>
                <c:pt idx="50">
                  <c:v>0.96796139999999997</c:v>
                </c:pt>
                <c:pt idx="51">
                  <c:v>0.96668920000000003</c:v>
                </c:pt>
                <c:pt idx="52">
                  <c:v>0.96542649999999997</c:v>
                </c:pt>
                <c:pt idx="53">
                  <c:v>0.96386780000000005</c:v>
                </c:pt>
                <c:pt idx="54">
                  <c:v>0.96265129999999999</c:v>
                </c:pt>
                <c:pt idx="55">
                  <c:v>0.96138230000000002</c:v>
                </c:pt>
                <c:pt idx="56">
                  <c:v>0.96018619999999999</c:v>
                </c:pt>
                <c:pt idx="57">
                  <c:v>0.95891510000000002</c:v>
                </c:pt>
                <c:pt idx="58">
                  <c:v>0.95768059999999999</c:v>
                </c:pt>
                <c:pt idx="59">
                  <c:v>0.95646889999999996</c:v>
                </c:pt>
                <c:pt idx="60">
                  <c:v>0.95518939999999997</c:v>
                </c:pt>
                <c:pt idx="61">
                  <c:v>0.9538702</c:v>
                </c:pt>
                <c:pt idx="62">
                  <c:v>0.95266079999999997</c:v>
                </c:pt>
                <c:pt idx="63">
                  <c:v>0.95139379999999996</c:v>
                </c:pt>
                <c:pt idx="64">
                  <c:v>0.95018769999999997</c:v>
                </c:pt>
                <c:pt idx="65" formatCode="General">
                  <c:v>0.95017960000000001</c:v>
                </c:pt>
                <c:pt idx="66" formatCode="General">
                  <c:v>0.9489282</c:v>
                </c:pt>
                <c:pt idx="67" formatCode="General">
                  <c:v>0.94768300000000005</c:v>
                </c:pt>
                <c:pt idx="68" formatCode="General">
                  <c:v>0.94642170000000003</c:v>
                </c:pt>
                <c:pt idx="69" formatCode="General">
                  <c:v>0.94526969999999999</c:v>
                </c:pt>
                <c:pt idx="70" formatCode="General">
                  <c:v>0.94390339999999995</c:v>
                </c:pt>
                <c:pt idx="71" formatCode="General">
                  <c:v>0.94275810000000004</c:v>
                </c:pt>
                <c:pt idx="72" formatCode="General">
                  <c:v>0.94147570000000003</c:v>
                </c:pt>
                <c:pt idx="73" formatCode="General">
                  <c:v>0.94028900000000004</c:v>
                </c:pt>
                <c:pt idx="74" formatCode="General">
                  <c:v>0.93894259999999996</c:v>
                </c:pt>
                <c:pt idx="75" formatCode="General">
                  <c:v>0.93775730000000002</c:v>
                </c:pt>
                <c:pt idx="76" formatCode="General">
                  <c:v>0.93644300000000003</c:v>
                </c:pt>
                <c:pt idx="77" formatCode="General">
                  <c:v>0.93494200000000005</c:v>
                </c:pt>
                <c:pt idx="78" formatCode="General">
                  <c:v>0.93363399999999996</c:v>
                </c:pt>
                <c:pt idx="79" formatCode="General">
                  <c:v>0.93236110000000005</c:v>
                </c:pt>
                <c:pt idx="80" formatCode="General">
                  <c:v>0.93109549999999996</c:v>
                </c:pt>
                <c:pt idx="81" formatCode="General">
                  <c:v>0.92989489999999997</c:v>
                </c:pt>
                <c:pt idx="82" formatCode="General">
                  <c:v>0.92844610000000005</c:v>
                </c:pt>
                <c:pt idx="83" formatCode="General">
                  <c:v>0.92740319999999998</c:v>
                </c:pt>
                <c:pt idx="84" formatCode="General">
                  <c:v>0.92598760000000002</c:v>
                </c:pt>
                <c:pt idx="85" formatCode="General">
                  <c:v>0.92478079999999996</c:v>
                </c:pt>
                <c:pt idx="86" formatCode="General">
                  <c:v>0.9234369</c:v>
                </c:pt>
                <c:pt idx="87" formatCode="General">
                  <c:v>0.92216600000000004</c:v>
                </c:pt>
                <c:pt idx="88" formatCode="General">
                  <c:v>0.92084060000000001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Hasil!$M$5</c:f>
              <c:strCache>
                <c:ptCount val="1"/>
                <c:pt idx="0">
                  <c:v>MOX 10%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Hasil!$G$6:$G$94</c:f>
              <c:numCache>
                <c:formatCode>General</c:formatCode>
                <c:ptCount val="89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  <c:pt idx="65">
                  <c:v>5.0821355236139629</c:v>
                </c:pt>
                <c:pt idx="66">
                  <c:v>5.1642710472279258</c:v>
                </c:pt>
                <c:pt idx="67">
                  <c:v>5.2464065708418888</c:v>
                </c:pt>
                <c:pt idx="68">
                  <c:v>5.3285420944558526</c:v>
                </c:pt>
                <c:pt idx="69">
                  <c:v>5.4106776180698155</c:v>
                </c:pt>
                <c:pt idx="70">
                  <c:v>5.4928131416837784</c:v>
                </c:pt>
                <c:pt idx="71">
                  <c:v>5.5749486652977414</c:v>
                </c:pt>
                <c:pt idx="72">
                  <c:v>5.6570841889117043</c:v>
                </c:pt>
                <c:pt idx="73">
                  <c:v>5.7392197125256672</c:v>
                </c:pt>
                <c:pt idx="74">
                  <c:v>5.8213552361396301</c:v>
                </c:pt>
                <c:pt idx="75">
                  <c:v>5.9034907597535931</c:v>
                </c:pt>
                <c:pt idx="76">
                  <c:v>6</c:v>
                </c:pt>
                <c:pt idx="77">
                  <c:v>6.0821355236139629</c:v>
                </c:pt>
                <c:pt idx="78">
                  <c:v>6.1642710472279258</c:v>
                </c:pt>
                <c:pt idx="79">
                  <c:v>6.2464065708418888</c:v>
                </c:pt>
                <c:pt idx="80">
                  <c:v>6.3285420944558526</c:v>
                </c:pt>
                <c:pt idx="81">
                  <c:v>6.4106776180698155</c:v>
                </c:pt>
                <c:pt idx="82">
                  <c:v>6.4928131416837784</c:v>
                </c:pt>
                <c:pt idx="83">
                  <c:v>6.5749486652977414</c:v>
                </c:pt>
                <c:pt idx="84">
                  <c:v>6.6570841889117043</c:v>
                </c:pt>
                <c:pt idx="85">
                  <c:v>6.7392197125256672</c:v>
                </c:pt>
                <c:pt idx="86">
                  <c:v>6.8213552361396301</c:v>
                </c:pt>
                <c:pt idx="87">
                  <c:v>6.9034907597535931</c:v>
                </c:pt>
                <c:pt idx="88">
                  <c:v>7</c:v>
                </c:pt>
              </c:numCache>
            </c:numRef>
          </c:xVal>
          <c:yVal>
            <c:numRef>
              <c:f>Hasil!$M$6:$M$94</c:f>
              <c:numCache>
                <c:formatCode>0.0000000</c:formatCode>
                <c:ptCount val="89"/>
                <c:pt idx="0">
                  <c:v>1.0532931000000001</c:v>
                </c:pt>
                <c:pt idx="1">
                  <c:v>1.0426344999999999</c:v>
                </c:pt>
                <c:pt idx="2">
                  <c:v>1.0425484</c:v>
                </c:pt>
                <c:pt idx="3">
                  <c:v>1.0416679</c:v>
                </c:pt>
                <c:pt idx="4">
                  <c:v>1.0405802</c:v>
                </c:pt>
                <c:pt idx="5">
                  <c:v>1.0384085000000001</c:v>
                </c:pt>
                <c:pt idx="6">
                  <c:v>1.0366479</c:v>
                </c:pt>
                <c:pt idx="7">
                  <c:v>1.0326135000000001</c:v>
                </c:pt>
                <c:pt idx="8">
                  <c:v>1.0297775</c:v>
                </c:pt>
                <c:pt idx="9">
                  <c:v>1.0276759</c:v>
                </c:pt>
                <c:pt idx="10">
                  <c:v>1.0261001999999999</c:v>
                </c:pt>
                <c:pt idx="11">
                  <c:v>1.0249315999999999</c:v>
                </c:pt>
                <c:pt idx="12">
                  <c:v>1.0241838000000001</c:v>
                </c:pt>
                <c:pt idx="13">
                  <c:v>1.0237616</c:v>
                </c:pt>
                <c:pt idx="14">
                  <c:v>1.0234296000000001</c:v>
                </c:pt>
                <c:pt idx="15">
                  <c:v>1.0234601000000001</c:v>
                </c:pt>
                <c:pt idx="16">
                  <c:v>1.0233996999999999</c:v>
                </c:pt>
                <c:pt idx="17">
                  <c:v>1.0233988999999999</c:v>
                </c:pt>
                <c:pt idx="18">
                  <c:v>1.0234445000000001</c:v>
                </c:pt>
                <c:pt idx="19">
                  <c:v>1.0232406999999999</c:v>
                </c:pt>
                <c:pt idx="20">
                  <c:v>1.0229162000000001</c:v>
                </c:pt>
                <c:pt idx="21">
                  <c:v>1.0223819000000001</c:v>
                </c:pt>
                <c:pt idx="22">
                  <c:v>1.0216259000000001</c:v>
                </c:pt>
                <c:pt idx="23">
                  <c:v>1.0207101999999999</c:v>
                </c:pt>
                <c:pt idx="24">
                  <c:v>1.0197101</c:v>
                </c:pt>
                <c:pt idx="25">
                  <c:v>1.0185107</c:v>
                </c:pt>
                <c:pt idx="26">
                  <c:v>1.0172920999999999</c:v>
                </c:pt>
                <c:pt idx="27">
                  <c:v>1.0161241999999999</c:v>
                </c:pt>
                <c:pt idx="28">
                  <c:v>1.0149938999999999</c:v>
                </c:pt>
                <c:pt idx="29">
                  <c:v>1.0134974000000001</c:v>
                </c:pt>
                <c:pt idx="30">
                  <c:v>1.0122929000000001</c:v>
                </c:pt>
                <c:pt idx="31">
                  <c:v>1.0110315999999999</c:v>
                </c:pt>
                <c:pt idx="32">
                  <c:v>1.0097274000000001</c:v>
                </c:pt>
                <c:pt idx="33">
                  <c:v>1.0084355</c:v>
                </c:pt>
                <c:pt idx="34">
                  <c:v>1.0071181</c:v>
                </c:pt>
                <c:pt idx="35">
                  <c:v>1.0058638</c:v>
                </c:pt>
                <c:pt idx="36">
                  <c:v>1.0045443999999999</c:v>
                </c:pt>
                <c:pt idx="37">
                  <c:v>1.0032456000000001</c:v>
                </c:pt>
                <c:pt idx="38">
                  <c:v>1.0018066000000001</c:v>
                </c:pt>
                <c:pt idx="39">
                  <c:v>1.0004751999999999</c:v>
                </c:pt>
                <c:pt idx="40">
                  <c:v>0.99917840000000002</c:v>
                </c:pt>
                <c:pt idx="41">
                  <c:v>0.99919550000000001</c:v>
                </c:pt>
                <c:pt idx="42">
                  <c:v>0.99783790000000006</c:v>
                </c:pt>
                <c:pt idx="43">
                  <c:v>0.99651909999999999</c:v>
                </c:pt>
                <c:pt idx="44">
                  <c:v>0.99519230000000003</c:v>
                </c:pt>
                <c:pt idx="45">
                  <c:v>0.99387639999999999</c:v>
                </c:pt>
                <c:pt idx="46">
                  <c:v>0.99259909999999996</c:v>
                </c:pt>
                <c:pt idx="47">
                  <c:v>0.99133590000000005</c:v>
                </c:pt>
                <c:pt idx="48">
                  <c:v>0.99002129999999999</c:v>
                </c:pt>
                <c:pt idx="49">
                  <c:v>0.98874220000000002</c:v>
                </c:pt>
                <c:pt idx="50">
                  <c:v>0.98742180000000002</c:v>
                </c:pt>
                <c:pt idx="51">
                  <c:v>0.98613949999999995</c:v>
                </c:pt>
                <c:pt idx="52">
                  <c:v>0.98486269999999998</c:v>
                </c:pt>
                <c:pt idx="53">
                  <c:v>0.98345749999999998</c:v>
                </c:pt>
                <c:pt idx="54">
                  <c:v>0.98206610000000005</c:v>
                </c:pt>
                <c:pt idx="55">
                  <c:v>0.98086530000000005</c:v>
                </c:pt>
                <c:pt idx="56">
                  <c:v>0.97960979999999998</c:v>
                </c:pt>
                <c:pt idx="57">
                  <c:v>0.97834719999999997</c:v>
                </c:pt>
                <c:pt idx="58">
                  <c:v>0.97714290000000004</c:v>
                </c:pt>
                <c:pt idx="59">
                  <c:v>0.97583500000000001</c:v>
                </c:pt>
                <c:pt idx="60">
                  <c:v>0.97459390000000001</c:v>
                </c:pt>
                <c:pt idx="61">
                  <c:v>0.97335740000000004</c:v>
                </c:pt>
                <c:pt idx="62">
                  <c:v>0.97212509999999996</c:v>
                </c:pt>
                <c:pt idx="63">
                  <c:v>0.97091170000000004</c:v>
                </c:pt>
                <c:pt idx="64">
                  <c:v>0.96971929999999995</c:v>
                </c:pt>
                <c:pt idx="65" formatCode="General">
                  <c:v>0.96971739999999995</c:v>
                </c:pt>
                <c:pt idx="66" formatCode="General">
                  <c:v>0.96849909999999995</c:v>
                </c:pt>
                <c:pt idx="67" formatCode="General">
                  <c:v>0.96726630000000002</c:v>
                </c:pt>
                <c:pt idx="68" formatCode="General">
                  <c:v>0.96601190000000003</c:v>
                </c:pt>
                <c:pt idx="69" formatCode="General">
                  <c:v>0.96480290000000002</c:v>
                </c:pt>
                <c:pt idx="70" formatCode="General">
                  <c:v>0.96360710000000005</c:v>
                </c:pt>
                <c:pt idx="71" formatCode="General">
                  <c:v>0.96241650000000001</c:v>
                </c:pt>
                <c:pt idx="72" formatCode="General">
                  <c:v>0.96120510000000003</c:v>
                </c:pt>
                <c:pt idx="73" formatCode="General">
                  <c:v>0.95999440000000003</c:v>
                </c:pt>
                <c:pt idx="74" formatCode="General">
                  <c:v>0.95878229999999998</c:v>
                </c:pt>
                <c:pt idx="75" formatCode="General">
                  <c:v>0.95758209999999999</c:v>
                </c:pt>
                <c:pt idx="76" formatCode="General">
                  <c:v>0.95637470000000002</c:v>
                </c:pt>
                <c:pt idx="77" formatCode="General">
                  <c:v>0.95494849999999998</c:v>
                </c:pt>
                <c:pt idx="78" formatCode="General">
                  <c:v>0.95370509999999997</c:v>
                </c:pt>
                <c:pt idx="79" formatCode="General">
                  <c:v>0.95247660000000001</c:v>
                </c:pt>
                <c:pt idx="80" formatCode="General">
                  <c:v>0.95126359999999999</c:v>
                </c:pt>
                <c:pt idx="81" formatCode="General">
                  <c:v>0.95006809999999997</c:v>
                </c:pt>
                <c:pt idx="82" formatCode="General">
                  <c:v>0.94895580000000002</c:v>
                </c:pt>
                <c:pt idx="83" formatCode="General">
                  <c:v>0.94768439999999998</c:v>
                </c:pt>
                <c:pt idx="84" formatCode="General">
                  <c:v>0.94640060000000004</c:v>
                </c:pt>
                <c:pt idx="85" formatCode="General">
                  <c:v>0.94532570000000005</c:v>
                </c:pt>
                <c:pt idx="86" formatCode="General">
                  <c:v>0.94402810000000004</c:v>
                </c:pt>
                <c:pt idx="87" formatCode="General">
                  <c:v>0.94285600000000003</c:v>
                </c:pt>
                <c:pt idx="88" formatCode="General">
                  <c:v>0.94158299999999995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Hasil!$N$5</c:f>
              <c:strCache>
                <c:ptCount val="1"/>
                <c:pt idx="0">
                  <c:v>MOX 12%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Hasil!$G$6:$G$94</c:f>
              <c:numCache>
                <c:formatCode>General</c:formatCode>
                <c:ptCount val="89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  <c:pt idx="65">
                  <c:v>5.0821355236139629</c:v>
                </c:pt>
                <c:pt idx="66">
                  <c:v>5.1642710472279258</c:v>
                </c:pt>
                <c:pt idx="67">
                  <c:v>5.2464065708418888</c:v>
                </c:pt>
                <c:pt idx="68">
                  <c:v>5.3285420944558526</c:v>
                </c:pt>
                <c:pt idx="69">
                  <c:v>5.4106776180698155</c:v>
                </c:pt>
                <c:pt idx="70">
                  <c:v>5.4928131416837784</c:v>
                </c:pt>
                <c:pt idx="71">
                  <c:v>5.5749486652977414</c:v>
                </c:pt>
                <c:pt idx="72">
                  <c:v>5.6570841889117043</c:v>
                </c:pt>
                <c:pt idx="73">
                  <c:v>5.7392197125256672</c:v>
                </c:pt>
                <c:pt idx="74">
                  <c:v>5.8213552361396301</c:v>
                </c:pt>
                <c:pt idx="75">
                  <c:v>5.9034907597535931</c:v>
                </c:pt>
                <c:pt idx="76">
                  <c:v>6</c:v>
                </c:pt>
                <c:pt idx="77">
                  <c:v>6.0821355236139629</c:v>
                </c:pt>
                <c:pt idx="78">
                  <c:v>6.1642710472279258</c:v>
                </c:pt>
                <c:pt idx="79">
                  <c:v>6.2464065708418888</c:v>
                </c:pt>
                <c:pt idx="80">
                  <c:v>6.3285420944558526</c:v>
                </c:pt>
                <c:pt idx="81">
                  <c:v>6.4106776180698155</c:v>
                </c:pt>
                <c:pt idx="82">
                  <c:v>6.4928131416837784</c:v>
                </c:pt>
                <c:pt idx="83">
                  <c:v>6.5749486652977414</c:v>
                </c:pt>
                <c:pt idx="84">
                  <c:v>6.6570841889117043</c:v>
                </c:pt>
                <c:pt idx="85">
                  <c:v>6.7392197125256672</c:v>
                </c:pt>
                <c:pt idx="86">
                  <c:v>6.8213552361396301</c:v>
                </c:pt>
                <c:pt idx="87">
                  <c:v>6.9034907597535931</c:v>
                </c:pt>
                <c:pt idx="88">
                  <c:v>7</c:v>
                </c:pt>
              </c:numCache>
            </c:numRef>
          </c:xVal>
          <c:yVal>
            <c:numRef>
              <c:f>Hasil!$N$6:$N$94</c:f>
              <c:numCache>
                <c:formatCode>0.0000000</c:formatCode>
                <c:ptCount val="89"/>
                <c:pt idx="0">
                  <c:v>1.0745932</c:v>
                </c:pt>
                <c:pt idx="1">
                  <c:v>1.0656914</c:v>
                </c:pt>
                <c:pt idx="2">
                  <c:v>1.0656106000000001</c:v>
                </c:pt>
                <c:pt idx="3">
                  <c:v>1.0648196000000001</c:v>
                </c:pt>
                <c:pt idx="4">
                  <c:v>1.0638406</c:v>
                </c:pt>
                <c:pt idx="5">
                  <c:v>1.0618764999999999</c:v>
                </c:pt>
                <c:pt idx="6">
                  <c:v>1.0602205</c:v>
                </c:pt>
                <c:pt idx="7">
                  <c:v>1.0562358000000001</c:v>
                </c:pt>
                <c:pt idx="8">
                  <c:v>1.0532428</c:v>
                </c:pt>
                <c:pt idx="9">
                  <c:v>1.0508776</c:v>
                </c:pt>
                <c:pt idx="10">
                  <c:v>1.0489609</c:v>
                </c:pt>
                <c:pt idx="11">
                  <c:v>1.0474032</c:v>
                </c:pt>
                <c:pt idx="12">
                  <c:v>1.0461530999999999</c:v>
                </c:pt>
                <c:pt idx="13">
                  <c:v>1.0451379000000001</c:v>
                </c:pt>
                <c:pt idx="14">
                  <c:v>1.0442697000000001</c:v>
                </c:pt>
                <c:pt idx="15">
                  <c:v>1.0436566</c:v>
                </c:pt>
                <c:pt idx="16">
                  <c:v>1.0430387000000001</c:v>
                </c:pt>
                <c:pt idx="17">
                  <c:v>1.0430428</c:v>
                </c:pt>
                <c:pt idx="18">
                  <c:v>1.0426381</c:v>
                </c:pt>
                <c:pt idx="19">
                  <c:v>1.0421115000000001</c:v>
                </c:pt>
                <c:pt idx="20">
                  <c:v>1.0415988</c:v>
                </c:pt>
                <c:pt idx="21">
                  <c:v>1.0408980999999999</c:v>
                </c:pt>
                <c:pt idx="22">
                  <c:v>1.0400794</c:v>
                </c:pt>
                <c:pt idx="23">
                  <c:v>1.0391518</c:v>
                </c:pt>
                <c:pt idx="24">
                  <c:v>1.0381351000000001</c:v>
                </c:pt>
                <c:pt idx="25">
                  <c:v>1.0369192</c:v>
                </c:pt>
                <c:pt idx="26">
                  <c:v>1.0356278000000001</c:v>
                </c:pt>
                <c:pt idx="27">
                  <c:v>1.0344168</c:v>
                </c:pt>
                <c:pt idx="28">
                  <c:v>1.0332698</c:v>
                </c:pt>
                <c:pt idx="29">
                  <c:v>1.0317752</c:v>
                </c:pt>
                <c:pt idx="30">
                  <c:v>1.0304869000000001</c:v>
                </c:pt>
                <c:pt idx="31">
                  <c:v>1.0292337</c:v>
                </c:pt>
                <c:pt idx="32">
                  <c:v>1.0279588</c:v>
                </c:pt>
                <c:pt idx="33">
                  <c:v>1.0266869999999999</c:v>
                </c:pt>
                <c:pt idx="34">
                  <c:v>1.0253702</c:v>
                </c:pt>
                <c:pt idx="35">
                  <c:v>1.024044</c:v>
                </c:pt>
                <c:pt idx="36">
                  <c:v>1.0227782999999999</c:v>
                </c:pt>
                <c:pt idx="37">
                  <c:v>1.0214380000000001</c:v>
                </c:pt>
                <c:pt idx="38">
                  <c:v>1.0200549000000001</c:v>
                </c:pt>
                <c:pt idx="39">
                  <c:v>1.0187457</c:v>
                </c:pt>
                <c:pt idx="40">
                  <c:v>1.0173752</c:v>
                </c:pt>
                <c:pt idx="41">
                  <c:v>1.0173873</c:v>
                </c:pt>
                <c:pt idx="42">
                  <c:v>1.0160203000000001</c:v>
                </c:pt>
                <c:pt idx="43">
                  <c:v>1.0146637999999999</c:v>
                </c:pt>
                <c:pt idx="44">
                  <c:v>1.0133046999999999</c:v>
                </c:pt>
                <c:pt idx="45">
                  <c:v>1.0120106</c:v>
                </c:pt>
                <c:pt idx="46">
                  <c:v>1.0106820999999999</c:v>
                </c:pt>
                <c:pt idx="47">
                  <c:v>1.0094205000000001</c:v>
                </c:pt>
                <c:pt idx="48">
                  <c:v>1.008127</c:v>
                </c:pt>
                <c:pt idx="49">
                  <c:v>1.0068051</c:v>
                </c:pt>
                <c:pt idx="50">
                  <c:v>1.0055107999999999</c:v>
                </c:pt>
                <c:pt idx="51">
                  <c:v>1.0042127000000001</c:v>
                </c:pt>
                <c:pt idx="52">
                  <c:v>1.0029273000000001</c:v>
                </c:pt>
                <c:pt idx="53">
                  <c:v>1.0014189</c:v>
                </c:pt>
                <c:pt idx="54">
                  <c:v>1.0002622999999999</c:v>
                </c:pt>
                <c:pt idx="55">
                  <c:v>0.99881200000000003</c:v>
                </c:pt>
                <c:pt idx="56">
                  <c:v>0.99764600000000003</c:v>
                </c:pt>
                <c:pt idx="57">
                  <c:v>0.99633769999999999</c:v>
                </c:pt>
                <c:pt idx="58">
                  <c:v>0.99509420000000004</c:v>
                </c:pt>
                <c:pt idx="59">
                  <c:v>0.99395199999999995</c:v>
                </c:pt>
                <c:pt idx="60">
                  <c:v>0.99254730000000002</c:v>
                </c:pt>
                <c:pt idx="61">
                  <c:v>0.99136219999999997</c:v>
                </c:pt>
                <c:pt idx="62">
                  <c:v>0.99005889999999996</c:v>
                </c:pt>
                <c:pt idx="63">
                  <c:v>0.98900189999999999</c:v>
                </c:pt>
                <c:pt idx="64">
                  <c:v>0.98756820000000001</c:v>
                </c:pt>
                <c:pt idx="65" formatCode="General">
                  <c:v>0.98763690000000004</c:v>
                </c:pt>
                <c:pt idx="66" formatCode="General">
                  <c:v>0.98643360000000002</c:v>
                </c:pt>
                <c:pt idx="67" formatCode="General">
                  <c:v>0.98515750000000002</c:v>
                </c:pt>
                <c:pt idx="68" formatCode="General">
                  <c:v>0.9839483</c:v>
                </c:pt>
                <c:pt idx="69" formatCode="General">
                  <c:v>0.9827321</c:v>
                </c:pt>
                <c:pt idx="70" formatCode="General">
                  <c:v>0.98153789999999996</c:v>
                </c:pt>
                <c:pt idx="71" formatCode="General">
                  <c:v>0.98033570000000003</c:v>
                </c:pt>
                <c:pt idx="72" formatCode="General">
                  <c:v>0.97913890000000003</c:v>
                </c:pt>
                <c:pt idx="73" formatCode="General">
                  <c:v>0.97794270000000005</c:v>
                </c:pt>
                <c:pt idx="74" formatCode="General">
                  <c:v>0.9768462</c:v>
                </c:pt>
                <c:pt idx="75" formatCode="General">
                  <c:v>0.97551489999999996</c:v>
                </c:pt>
                <c:pt idx="76" formatCode="General">
                  <c:v>0.97438780000000003</c:v>
                </c:pt>
                <c:pt idx="77" formatCode="General">
                  <c:v>0.97296519999999997</c:v>
                </c:pt>
                <c:pt idx="78" formatCode="General">
                  <c:v>0.97176410000000002</c:v>
                </c:pt>
                <c:pt idx="79" formatCode="General">
                  <c:v>0.97067199999999998</c:v>
                </c:pt>
                <c:pt idx="80" formatCode="General">
                  <c:v>0.9693119</c:v>
                </c:pt>
                <c:pt idx="81" formatCode="General">
                  <c:v>0.9682094</c:v>
                </c:pt>
                <c:pt idx="82" formatCode="General">
                  <c:v>0.96711100000000005</c:v>
                </c:pt>
                <c:pt idx="83" formatCode="General">
                  <c:v>0.96578470000000005</c:v>
                </c:pt>
                <c:pt idx="84" formatCode="General">
                  <c:v>0.96472769999999997</c:v>
                </c:pt>
                <c:pt idx="85" formatCode="General">
                  <c:v>0.96341549999999998</c:v>
                </c:pt>
                <c:pt idx="86" formatCode="General">
                  <c:v>0.96229359999999997</c:v>
                </c:pt>
                <c:pt idx="87" formatCode="General">
                  <c:v>0.96107860000000001</c:v>
                </c:pt>
                <c:pt idx="88" formatCode="General">
                  <c:v>0.95991910000000003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Hasil!$O$5</c:f>
              <c:strCache>
                <c:ptCount val="1"/>
                <c:pt idx="0">
                  <c:v>MOX 14%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Hasil!$G$6:$G$94</c:f>
              <c:numCache>
                <c:formatCode>General</c:formatCode>
                <c:ptCount val="89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  <c:pt idx="65">
                  <c:v>5.0821355236139629</c:v>
                </c:pt>
                <c:pt idx="66">
                  <c:v>5.1642710472279258</c:v>
                </c:pt>
                <c:pt idx="67">
                  <c:v>5.2464065708418888</c:v>
                </c:pt>
                <c:pt idx="68">
                  <c:v>5.3285420944558526</c:v>
                </c:pt>
                <c:pt idx="69">
                  <c:v>5.4106776180698155</c:v>
                </c:pt>
                <c:pt idx="70">
                  <c:v>5.4928131416837784</c:v>
                </c:pt>
                <c:pt idx="71">
                  <c:v>5.5749486652977414</c:v>
                </c:pt>
                <c:pt idx="72">
                  <c:v>5.6570841889117043</c:v>
                </c:pt>
                <c:pt idx="73">
                  <c:v>5.7392197125256672</c:v>
                </c:pt>
                <c:pt idx="74">
                  <c:v>5.8213552361396301</c:v>
                </c:pt>
                <c:pt idx="75">
                  <c:v>5.9034907597535931</c:v>
                </c:pt>
                <c:pt idx="76">
                  <c:v>6</c:v>
                </c:pt>
                <c:pt idx="77">
                  <c:v>6.0821355236139629</c:v>
                </c:pt>
                <c:pt idx="78">
                  <c:v>6.1642710472279258</c:v>
                </c:pt>
                <c:pt idx="79">
                  <c:v>6.2464065708418888</c:v>
                </c:pt>
                <c:pt idx="80">
                  <c:v>6.3285420944558526</c:v>
                </c:pt>
                <c:pt idx="81">
                  <c:v>6.4106776180698155</c:v>
                </c:pt>
                <c:pt idx="82">
                  <c:v>6.4928131416837784</c:v>
                </c:pt>
                <c:pt idx="83">
                  <c:v>6.5749486652977414</c:v>
                </c:pt>
                <c:pt idx="84">
                  <c:v>6.6570841889117043</c:v>
                </c:pt>
                <c:pt idx="85">
                  <c:v>6.7392197125256672</c:v>
                </c:pt>
                <c:pt idx="86">
                  <c:v>6.8213552361396301</c:v>
                </c:pt>
                <c:pt idx="87">
                  <c:v>6.9034907597535931</c:v>
                </c:pt>
                <c:pt idx="88">
                  <c:v>7</c:v>
                </c:pt>
              </c:numCache>
            </c:numRef>
          </c:xVal>
          <c:yVal>
            <c:numRef>
              <c:f>Hasil!$O$6:$O$94</c:f>
              <c:numCache>
                <c:formatCode>0.0000000</c:formatCode>
                <c:ptCount val="89"/>
                <c:pt idx="0">
                  <c:v>1.0952926000000001</c:v>
                </c:pt>
                <c:pt idx="1">
                  <c:v>1.0877703000000001</c:v>
                </c:pt>
                <c:pt idx="2">
                  <c:v>1.0876884</c:v>
                </c:pt>
                <c:pt idx="3">
                  <c:v>1.0869629000000001</c:v>
                </c:pt>
                <c:pt idx="4">
                  <c:v>1.0860571999999999</c:v>
                </c:pt>
                <c:pt idx="5">
                  <c:v>1.0842434000000001</c:v>
                </c:pt>
                <c:pt idx="6">
                  <c:v>1.0826747000000001</c:v>
                </c:pt>
                <c:pt idx="7">
                  <c:v>1.0787491</c:v>
                </c:pt>
                <c:pt idx="8">
                  <c:v>1.0756446</c:v>
                </c:pt>
                <c:pt idx="9">
                  <c:v>1.0730774000000001</c:v>
                </c:pt>
                <c:pt idx="10">
                  <c:v>1.0709147000000001</c:v>
                </c:pt>
                <c:pt idx="11">
                  <c:v>1.0690248</c:v>
                </c:pt>
                <c:pt idx="12">
                  <c:v>1.0674182000000001</c:v>
                </c:pt>
                <c:pt idx="13">
                  <c:v>1.0659831</c:v>
                </c:pt>
                <c:pt idx="14">
                  <c:v>1.0647276999999999</c:v>
                </c:pt>
                <c:pt idx="15">
                  <c:v>1.0636471999999999</c:v>
                </c:pt>
                <c:pt idx="16">
                  <c:v>1.0626260999999999</c:v>
                </c:pt>
                <c:pt idx="17">
                  <c:v>1.0626321999999999</c:v>
                </c:pt>
                <c:pt idx="18">
                  <c:v>1.0617899</c:v>
                </c:pt>
                <c:pt idx="19">
                  <c:v>1.060913</c:v>
                </c:pt>
                <c:pt idx="20">
                  <c:v>1.0601289</c:v>
                </c:pt>
                <c:pt idx="21">
                  <c:v>1.0592264</c:v>
                </c:pt>
                <c:pt idx="22">
                  <c:v>1.0583073000000001</c:v>
                </c:pt>
                <c:pt idx="23">
                  <c:v>1.057302</c:v>
                </c:pt>
                <c:pt idx="24">
                  <c:v>1.0562233999999999</c:v>
                </c:pt>
                <c:pt idx="25">
                  <c:v>1.0549983000000001</c:v>
                </c:pt>
                <c:pt idx="26">
                  <c:v>1.0536487999999999</c:v>
                </c:pt>
                <c:pt idx="27">
                  <c:v>1.0523883000000001</c:v>
                </c:pt>
                <c:pt idx="28">
                  <c:v>1.0511785</c:v>
                </c:pt>
                <c:pt idx="29">
                  <c:v>1.0496559999999999</c:v>
                </c:pt>
                <c:pt idx="30">
                  <c:v>1.0482997000000001</c:v>
                </c:pt>
                <c:pt idx="31">
                  <c:v>1.0469850000000001</c:v>
                </c:pt>
                <c:pt idx="32">
                  <c:v>1.0456889</c:v>
                </c:pt>
                <c:pt idx="33">
                  <c:v>1.0444092</c:v>
                </c:pt>
                <c:pt idx="34">
                  <c:v>1.0430218</c:v>
                </c:pt>
                <c:pt idx="35">
                  <c:v>1.0417063</c:v>
                </c:pt>
                <c:pt idx="36">
                  <c:v>1.0403998000000001</c:v>
                </c:pt>
                <c:pt idx="37">
                  <c:v>1.0390769</c:v>
                </c:pt>
                <c:pt idx="38">
                  <c:v>1.0376898999999999</c:v>
                </c:pt>
                <c:pt idx="39">
                  <c:v>1.0363275999999999</c:v>
                </c:pt>
                <c:pt idx="40">
                  <c:v>1.0349857</c:v>
                </c:pt>
                <c:pt idx="41">
                  <c:v>1.0349984000000001</c:v>
                </c:pt>
                <c:pt idx="42">
                  <c:v>1.0335671</c:v>
                </c:pt>
                <c:pt idx="43">
                  <c:v>1.0322096000000001</c:v>
                </c:pt>
                <c:pt idx="44">
                  <c:v>1.0308622000000001</c:v>
                </c:pt>
                <c:pt idx="45">
                  <c:v>1.0295224000000001</c:v>
                </c:pt>
                <c:pt idx="46">
                  <c:v>1.0281992</c:v>
                </c:pt>
                <c:pt idx="47">
                  <c:v>1.0268930000000001</c:v>
                </c:pt>
                <c:pt idx="48">
                  <c:v>1.025596</c:v>
                </c:pt>
                <c:pt idx="49">
                  <c:v>1.0242579999999999</c:v>
                </c:pt>
                <c:pt idx="50">
                  <c:v>1.0229659</c:v>
                </c:pt>
                <c:pt idx="51">
                  <c:v>1.021606</c:v>
                </c:pt>
                <c:pt idx="52">
                  <c:v>1.0203161000000001</c:v>
                </c:pt>
                <c:pt idx="53">
                  <c:v>1.0187861</c:v>
                </c:pt>
                <c:pt idx="54">
                  <c:v>1.0175004000000001</c:v>
                </c:pt>
                <c:pt idx="55">
                  <c:v>1.0162504000000001</c:v>
                </c:pt>
                <c:pt idx="56">
                  <c:v>1.0149195</c:v>
                </c:pt>
                <c:pt idx="57">
                  <c:v>1.0136514999999999</c:v>
                </c:pt>
                <c:pt idx="58">
                  <c:v>1.0123732999999999</c:v>
                </c:pt>
                <c:pt idx="59">
                  <c:v>1.0111155999999999</c:v>
                </c:pt>
                <c:pt idx="60">
                  <c:v>1.0100180999999999</c:v>
                </c:pt>
                <c:pt idx="61">
                  <c:v>1.0085715</c:v>
                </c:pt>
                <c:pt idx="62">
                  <c:v>1.0073312999999999</c:v>
                </c:pt>
                <c:pt idx="63">
                  <c:v>1.0060750999999999</c:v>
                </c:pt>
                <c:pt idx="64">
                  <c:v>1.0048391999999999</c:v>
                </c:pt>
                <c:pt idx="65" formatCode="General">
                  <c:v>1.0048296000000001</c:v>
                </c:pt>
                <c:pt idx="66" formatCode="General">
                  <c:v>1.0036516</c:v>
                </c:pt>
                <c:pt idx="67" formatCode="General">
                  <c:v>1.0023576999999999</c:v>
                </c:pt>
                <c:pt idx="68" formatCode="General">
                  <c:v>1.0011304999999999</c:v>
                </c:pt>
                <c:pt idx="69" formatCode="General">
                  <c:v>0.99989660000000002</c:v>
                </c:pt>
                <c:pt idx="70" formatCode="General">
                  <c:v>0.9986855</c:v>
                </c:pt>
                <c:pt idx="71" formatCode="General">
                  <c:v>0.99754980000000004</c:v>
                </c:pt>
                <c:pt idx="72" formatCode="General">
                  <c:v>0.99636290000000005</c:v>
                </c:pt>
                <c:pt idx="73" formatCode="General">
                  <c:v>0.99514539999999996</c:v>
                </c:pt>
                <c:pt idx="74" formatCode="General">
                  <c:v>0.99382029999999999</c:v>
                </c:pt>
                <c:pt idx="75" formatCode="General">
                  <c:v>0.99267850000000002</c:v>
                </c:pt>
                <c:pt idx="76" formatCode="General">
                  <c:v>0.99147870000000005</c:v>
                </c:pt>
                <c:pt idx="77" formatCode="General">
                  <c:v>0.99021199999999998</c:v>
                </c:pt>
                <c:pt idx="78" formatCode="General">
                  <c:v>0.9888287</c:v>
                </c:pt>
                <c:pt idx="79" formatCode="General">
                  <c:v>0.98782099999999995</c:v>
                </c:pt>
                <c:pt idx="80" formatCode="General">
                  <c:v>0.9865429</c:v>
                </c:pt>
                <c:pt idx="81" formatCode="General">
                  <c:v>0.98526800000000003</c:v>
                </c:pt>
                <c:pt idx="82" formatCode="General">
                  <c:v>0.98425530000000006</c:v>
                </c:pt>
                <c:pt idx="83" formatCode="General">
                  <c:v>0.98300869999999996</c:v>
                </c:pt>
                <c:pt idx="84" formatCode="General">
                  <c:v>0.98174410000000001</c:v>
                </c:pt>
                <c:pt idx="85" formatCode="General">
                  <c:v>0.98070000000000002</c:v>
                </c:pt>
                <c:pt idx="86" formatCode="General">
                  <c:v>0.97938570000000003</c:v>
                </c:pt>
                <c:pt idx="87" formatCode="General">
                  <c:v>0.97827889999999995</c:v>
                </c:pt>
                <c:pt idx="88" formatCode="General">
                  <c:v>0.97708790000000001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Hasil!$P$5</c:f>
              <c:strCache>
                <c:ptCount val="1"/>
                <c:pt idx="0">
                  <c:v>MOX 16%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Hasil!$G$6:$G$94</c:f>
              <c:numCache>
                <c:formatCode>General</c:formatCode>
                <c:ptCount val="89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  <c:pt idx="65">
                  <c:v>5.0821355236139629</c:v>
                </c:pt>
                <c:pt idx="66">
                  <c:v>5.1642710472279258</c:v>
                </c:pt>
                <c:pt idx="67">
                  <c:v>5.2464065708418888</c:v>
                </c:pt>
                <c:pt idx="68">
                  <c:v>5.3285420944558526</c:v>
                </c:pt>
                <c:pt idx="69">
                  <c:v>5.4106776180698155</c:v>
                </c:pt>
                <c:pt idx="70">
                  <c:v>5.4928131416837784</c:v>
                </c:pt>
                <c:pt idx="71">
                  <c:v>5.5749486652977414</c:v>
                </c:pt>
                <c:pt idx="72">
                  <c:v>5.6570841889117043</c:v>
                </c:pt>
                <c:pt idx="73">
                  <c:v>5.7392197125256672</c:v>
                </c:pt>
                <c:pt idx="74">
                  <c:v>5.8213552361396301</c:v>
                </c:pt>
                <c:pt idx="75">
                  <c:v>5.9034907597535931</c:v>
                </c:pt>
                <c:pt idx="76">
                  <c:v>6</c:v>
                </c:pt>
                <c:pt idx="77">
                  <c:v>6.0821355236139629</c:v>
                </c:pt>
                <c:pt idx="78">
                  <c:v>6.1642710472279258</c:v>
                </c:pt>
                <c:pt idx="79">
                  <c:v>6.2464065708418888</c:v>
                </c:pt>
                <c:pt idx="80">
                  <c:v>6.3285420944558526</c:v>
                </c:pt>
                <c:pt idx="81">
                  <c:v>6.4106776180698155</c:v>
                </c:pt>
                <c:pt idx="82">
                  <c:v>6.4928131416837784</c:v>
                </c:pt>
                <c:pt idx="83">
                  <c:v>6.5749486652977414</c:v>
                </c:pt>
                <c:pt idx="84">
                  <c:v>6.6570841889117043</c:v>
                </c:pt>
                <c:pt idx="85">
                  <c:v>6.7392197125256672</c:v>
                </c:pt>
                <c:pt idx="86">
                  <c:v>6.8213552361396301</c:v>
                </c:pt>
                <c:pt idx="87">
                  <c:v>6.9034907597535931</c:v>
                </c:pt>
                <c:pt idx="88">
                  <c:v>7</c:v>
                </c:pt>
              </c:numCache>
              <c:extLst xmlns:c15="http://schemas.microsoft.com/office/drawing/2012/chart"/>
            </c:numRef>
          </c:xVal>
          <c:yVal>
            <c:numRef>
              <c:f>Hasil!$P$6:$P$94</c:f>
              <c:numCache>
                <c:formatCode>0.0000000</c:formatCode>
                <c:ptCount val="89"/>
                <c:pt idx="0">
                  <c:v>1.1155086000000001</c:v>
                </c:pt>
                <c:pt idx="1">
                  <c:v>1.1090682000000001</c:v>
                </c:pt>
                <c:pt idx="2">
                  <c:v>1.1089766999999999</c:v>
                </c:pt>
                <c:pt idx="3">
                  <c:v>1.1082978999999999</c:v>
                </c:pt>
                <c:pt idx="4">
                  <c:v>1.1074533</c:v>
                </c:pt>
                <c:pt idx="5">
                  <c:v>1.1057538</c:v>
                </c:pt>
                <c:pt idx="6">
                  <c:v>1.1042475</c:v>
                </c:pt>
                <c:pt idx="7">
                  <c:v>1.100382</c:v>
                </c:pt>
                <c:pt idx="8">
                  <c:v>1.0972010000000001</c:v>
                </c:pt>
                <c:pt idx="9">
                  <c:v>1.0944826999999999</c:v>
                </c:pt>
                <c:pt idx="10">
                  <c:v>1.0921136</c:v>
                </c:pt>
                <c:pt idx="11">
                  <c:v>1.0899892</c:v>
                </c:pt>
                <c:pt idx="12">
                  <c:v>1.0881130999999999</c:v>
                </c:pt>
                <c:pt idx="13">
                  <c:v>1.0863780000000001</c:v>
                </c:pt>
                <c:pt idx="14">
                  <c:v>1.0848199999999999</c:v>
                </c:pt>
                <c:pt idx="15">
                  <c:v>1.0833983</c:v>
                </c:pt>
                <c:pt idx="16">
                  <c:v>1.0820626</c:v>
                </c:pt>
                <c:pt idx="17">
                  <c:v>1.0820695</c:v>
                </c:pt>
                <c:pt idx="18">
                  <c:v>1.0808755000000001</c:v>
                </c:pt>
                <c:pt idx="19">
                  <c:v>1.0797048</c:v>
                </c:pt>
                <c:pt idx="20">
                  <c:v>1.0786344000000001</c:v>
                </c:pt>
                <c:pt idx="21">
                  <c:v>1.0775132000000001</c:v>
                </c:pt>
                <c:pt idx="22">
                  <c:v>1.0764294000000001</c:v>
                </c:pt>
                <c:pt idx="23">
                  <c:v>1.0752961999999999</c:v>
                </c:pt>
                <c:pt idx="24">
                  <c:v>1.0741459</c:v>
                </c:pt>
                <c:pt idx="25">
                  <c:v>1.0728742</c:v>
                </c:pt>
                <c:pt idx="26">
                  <c:v>1.0714855999999999</c:v>
                </c:pt>
                <c:pt idx="27">
                  <c:v>1.0701759</c:v>
                </c:pt>
                <c:pt idx="28">
                  <c:v>1.0689143000000001</c:v>
                </c:pt>
                <c:pt idx="29">
                  <c:v>1.0673600000000001</c:v>
                </c:pt>
                <c:pt idx="30">
                  <c:v>1.0659468999999999</c:v>
                </c:pt>
                <c:pt idx="31">
                  <c:v>1.0645735999999999</c:v>
                </c:pt>
                <c:pt idx="32">
                  <c:v>1.0632432999999999</c:v>
                </c:pt>
                <c:pt idx="33">
                  <c:v>1.061896</c:v>
                </c:pt>
                <c:pt idx="34">
                  <c:v>1.0604963000000001</c:v>
                </c:pt>
                <c:pt idx="35">
                  <c:v>1.0591012</c:v>
                </c:pt>
                <c:pt idx="36">
                  <c:v>1.0577650999999999</c:v>
                </c:pt>
                <c:pt idx="37">
                  <c:v>1.0564127000000001</c:v>
                </c:pt>
                <c:pt idx="38">
                  <c:v>1.0550447000000001</c:v>
                </c:pt>
                <c:pt idx="39">
                  <c:v>1.0536156999999999</c:v>
                </c:pt>
                <c:pt idx="40">
                  <c:v>1.0522465999999999</c:v>
                </c:pt>
                <c:pt idx="41">
                  <c:v>1.0522549999999999</c:v>
                </c:pt>
                <c:pt idx="42">
                  <c:v>1.0508454</c:v>
                </c:pt>
                <c:pt idx="43">
                  <c:v>1.0494357000000001</c:v>
                </c:pt>
                <c:pt idx="44">
                  <c:v>1.0480809</c:v>
                </c:pt>
                <c:pt idx="45">
                  <c:v>1.0467111</c:v>
                </c:pt>
                <c:pt idx="46">
                  <c:v>1.0453893999999999</c:v>
                </c:pt>
                <c:pt idx="47">
                  <c:v>1.0440218000000001</c:v>
                </c:pt>
                <c:pt idx="48">
                  <c:v>1.0427150999999999</c:v>
                </c:pt>
                <c:pt idx="49">
                  <c:v>1.041361</c:v>
                </c:pt>
                <c:pt idx="50">
                  <c:v>1.0400388</c:v>
                </c:pt>
                <c:pt idx="51">
                  <c:v>1.0387084</c:v>
                </c:pt>
                <c:pt idx="52">
                  <c:v>1.0374055</c:v>
                </c:pt>
                <c:pt idx="53">
                  <c:v>1.0358315</c:v>
                </c:pt>
                <c:pt idx="54">
                  <c:v>1.0344882</c:v>
                </c:pt>
                <c:pt idx="55">
                  <c:v>1.0331792</c:v>
                </c:pt>
                <c:pt idx="56">
                  <c:v>1.0318769000000001</c:v>
                </c:pt>
                <c:pt idx="57">
                  <c:v>1.0305835999999999</c:v>
                </c:pt>
                <c:pt idx="58">
                  <c:v>1.0292878999999999</c:v>
                </c:pt>
                <c:pt idx="59">
                  <c:v>1.0280514000000001</c:v>
                </c:pt>
                <c:pt idx="60">
                  <c:v>1.0267630999999999</c:v>
                </c:pt>
                <c:pt idx="61">
                  <c:v>1.0254433000000001</c:v>
                </c:pt>
                <c:pt idx="62">
                  <c:v>1.0242990000000001</c:v>
                </c:pt>
                <c:pt idx="63">
                  <c:v>1.0229059</c:v>
                </c:pt>
                <c:pt idx="64">
                  <c:v>1.0216460000000001</c:v>
                </c:pt>
                <c:pt idx="65" formatCode="General">
                  <c:v>1.0216483999999999</c:v>
                </c:pt>
                <c:pt idx="66" formatCode="General">
                  <c:v>1.0205531000000001</c:v>
                </c:pt>
                <c:pt idx="67" formatCode="General">
                  <c:v>1.0191261</c:v>
                </c:pt>
                <c:pt idx="68" formatCode="General">
                  <c:v>1.0178685000000001</c:v>
                </c:pt>
                <c:pt idx="69" formatCode="General">
                  <c:v>1.0166214</c:v>
                </c:pt>
                <c:pt idx="70" formatCode="General">
                  <c:v>1.0155425</c:v>
                </c:pt>
                <c:pt idx="71" formatCode="General">
                  <c:v>1.0142629999999999</c:v>
                </c:pt>
                <c:pt idx="72" formatCode="General">
                  <c:v>1.0128998</c:v>
                </c:pt>
                <c:pt idx="73" formatCode="General">
                  <c:v>1.0117301999999999</c:v>
                </c:pt>
                <c:pt idx="74" formatCode="General">
                  <c:v>1.0105073</c:v>
                </c:pt>
                <c:pt idx="75" formatCode="General">
                  <c:v>1.0094031999999999</c:v>
                </c:pt>
                <c:pt idx="76" formatCode="General">
                  <c:v>1.0081005999999999</c:v>
                </c:pt>
                <c:pt idx="77" formatCode="General">
                  <c:v>1.0068272</c:v>
                </c:pt>
                <c:pt idx="78" formatCode="General">
                  <c:v>1.0055662000000001</c:v>
                </c:pt>
                <c:pt idx="79" formatCode="General">
                  <c:v>1.0042492999999999</c:v>
                </c:pt>
                <c:pt idx="80" formatCode="General">
                  <c:v>1.0031812</c:v>
                </c:pt>
                <c:pt idx="81" formatCode="General">
                  <c:v>1.0019773999999999</c:v>
                </c:pt>
                <c:pt idx="82" formatCode="General">
                  <c:v>1.0007949</c:v>
                </c:pt>
                <c:pt idx="83" formatCode="General">
                  <c:v>0.99959690000000001</c:v>
                </c:pt>
                <c:pt idx="84" formatCode="General">
                  <c:v>0.99836670000000005</c:v>
                </c:pt>
                <c:pt idx="85" formatCode="General">
                  <c:v>0.99720869999999995</c:v>
                </c:pt>
                <c:pt idx="86" formatCode="General">
                  <c:v>0.99609669999999995</c:v>
                </c:pt>
                <c:pt idx="87" formatCode="General">
                  <c:v>0.99491490000000005</c:v>
                </c:pt>
                <c:pt idx="88" formatCode="General">
                  <c:v>0.99373630000000002</c:v>
                </c:pt>
              </c:numCache>
              <c:extLst xmlns:c15="http://schemas.microsoft.com/office/drawing/2012/chart"/>
            </c:numRef>
          </c:yVal>
          <c:smooth val="1"/>
        </c:ser>
        <c:ser>
          <c:idx val="9"/>
          <c:order val="9"/>
          <c:tx>
            <c:strRef>
              <c:f>Hasil!$Q$5</c:f>
              <c:strCache>
                <c:ptCount val="1"/>
                <c:pt idx="0">
                  <c:v>MOX 18%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Hasil!$G$6:$G$94</c:f>
              <c:numCache>
                <c:formatCode>General</c:formatCode>
                <c:ptCount val="89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  <c:pt idx="65">
                  <c:v>5.0821355236139629</c:v>
                </c:pt>
                <c:pt idx="66">
                  <c:v>5.1642710472279258</c:v>
                </c:pt>
                <c:pt idx="67">
                  <c:v>5.2464065708418888</c:v>
                </c:pt>
                <c:pt idx="68">
                  <c:v>5.3285420944558526</c:v>
                </c:pt>
                <c:pt idx="69">
                  <c:v>5.4106776180698155</c:v>
                </c:pt>
                <c:pt idx="70">
                  <c:v>5.4928131416837784</c:v>
                </c:pt>
                <c:pt idx="71">
                  <c:v>5.5749486652977414</c:v>
                </c:pt>
                <c:pt idx="72">
                  <c:v>5.6570841889117043</c:v>
                </c:pt>
                <c:pt idx="73">
                  <c:v>5.7392197125256672</c:v>
                </c:pt>
                <c:pt idx="74">
                  <c:v>5.8213552361396301</c:v>
                </c:pt>
                <c:pt idx="75">
                  <c:v>5.9034907597535931</c:v>
                </c:pt>
                <c:pt idx="76">
                  <c:v>6</c:v>
                </c:pt>
                <c:pt idx="77">
                  <c:v>6.0821355236139629</c:v>
                </c:pt>
                <c:pt idx="78">
                  <c:v>6.1642710472279258</c:v>
                </c:pt>
                <c:pt idx="79">
                  <c:v>6.2464065708418888</c:v>
                </c:pt>
                <c:pt idx="80">
                  <c:v>6.3285420944558526</c:v>
                </c:pt>
                <c:pt idx="81">
                  <c:v>6.4106776180698155</c:v>
                </c:pt>
                <c:pt idx="82">
                  <c:v>6.4928131416837784</c:v>
                </c:pt>
                <c:pt idx="83">
                  <c:v>6.5749486652977414</c:v>
                </c:pt>
                <c:pt idx="84">
                  <c:v>6.6570841889117043</c:v>
                </c:pt>
                <c:pt idx="85">
                  <c:v>6.7392197125256672</c:v>
                </c:pt>
                <c:pt idx="86">
                  <c:v>6.8213552361396301</c:v>
                </c:pt>
                <c:pt idx="87">
                  <c:v>6.9034907597535931</c:v>
                </c:pt>
                <c:pt idx="88">
                  <c:v>7</c:v>
                </c:pt>
              </c:numCache>
              <c:extLst xmlns:c15="http://schemas.microsoft.com/office/drawing/2012/chart"/>
            </c:numRef>
          </c:xVal>
          <c:yVal>
            <c:numRef>
              <c:f>Hasil!$Q$6:$Q$94</c:f>
              <c:numCache>
                <c:formatCode>0.0000000</c:formatCode>
                <c:ptCount val="89"/>
                <c:pt idx="0">
                  <c:v>1.1352656999999999</c:v>
                </c:pt>
                <c:pt idx="1">
                  <c:v>1.1296911000000001</c:v>
                </c:pt>
                <c:pt idx="2">
                  <c:v>1.1295941</c:v>
                </c:pt>
                <c:pt idx="3">
                  <c:v>1.1289517</c:v>
                </c:pt>
                <c:pt idx="4">
                  <c:v>1.1281508</c:v>
                </c:pt>
                <c:pt idx="5">
                  <c:v>1.1265385999999999</c:v>
                </c:pt>
                <c:pt idx="6">
                  <c:v>1.1250880000000001</c:v>
                </c:pt>
                <c:pt idx="7">
                  <c:v>1.1212831000000001</c:v>
                </c:pt>
                <c:pt idx="8">
                  <c:v>1.1180546</c:v>
                </c:pt>
                <c:pt idx="9">
                  <c:v>1.1152257000000001</c:v>
                </c:pt>
                <c:pt idx="10">
                  <c:v>1.1126976</c:v>
                </c:pt>
                <c:pt idx="11">
                  <c:v>1.1103913999999999</c:v>
                </c:pt>
                <c:pt idx="12">
                  <c:v>1.1083057999999999</c:v>
                </c:pt>
                <c:pt idx="13">
                  <c:v>1.1063552000000001</c:v>
                </c:pt>
                <c:pt idx="14">
                  <c:v>1.1045621999999999</c:v>
                </c:pt>
                <c:pt idx="15">
                  <c:v>1.1028875</c:v>
                </c:pt>
                <c:pt idx="16">
                  <c:v>1.1013035</c:v>
                </c:pt>
                <c:pt idx="17">
                  <c:v>1.10131</c:v>
                </c:pt>
                <c:pt idx="18">
                  <c:v>1.0998627000000001</c:v>
                </c:pt>
                <c:pt idx="19">
                  <c:v>1.0984315</c:v>
                </c:pt>
                <c:pt idx="20">
                  <c:v>1.0971078000000001</c:v>
                </c:pt>
                <c:pt idx="21">
                  <c:v>1.0957842</c:v>
                </c:pt>
                <c:pt idx="22">
                  <c:v>1.0945115000000001</c:v>
                </c:pt>
                <c:pt idx="23">
                  <c:v>1.0932158999999999</c:v>
                </c:pt>
                <c:pt idx="24">
                  <c:v>1.0919591</c:v>
                </c:pt>
                <c:pt idx="25">
                  <c:v>1.0906016000000001</c:v>
                </c:pt>
                <c:pt idx="26">
                  <c:v>1.0891671999999999</c:v>
                </c:pt>
                <c:pt idx="27">
                  <c:v>1.0877992999999999</c:v>
                </c:pt>
                <c:pt idx="28">
                  <c:v>1.0864834999999999</c:v>
                </c:pt>
                <c:pt idx="29">
                  <c:v>1.0848838999999999</c:v>
                </c:pt>
                <c:pt idx="30">
                  <c:v>1.0834258000000001</c:v>
                </c:pt>
                <c:pt idx="31">
                  <c:v>1.0820099000000001</c:v>
                </c:pt>
                <c:pt idx="32">
                  <c:v>1.0806382000000001</c:v>
                </c:pt>
                <c:pt idx="33">
                  <c:v>1.0792189999999999</c:v>
                </c:pt>
                <c:pt idx="34">
                  <c:v>1.0777766</c:v>
                </c:pt>
                <c:pt idx="35">
                  <c:v>1.0763583999999999</c:v>
                </c:pt>
                <c:pt idx="36">
                  <c:v>1.0749712</c:v>
                </c:pt>
                <c:pt idx="37">
                  <c:v>1.0735766</c:v>
                </c:pt>
                <c:pt idx="38">
                  <c:v>1.0721349</c:v>
                </c:pt>
                <c:pt idx="39">
                  <c:v>1.0707287999999999</c:v>
                </c:pt>
                <c:pt idx="40">
                  <c:v>1.0692953999999999</c:v>
                </c:pt>
                <c:pt idx="41">
                  <c:v>1.0693041000000001</c:v>
                </c:pt>
                <c:pt idx="42">
                  <c:v>1.0678791000000001</c:v>
                </c:pt>
                <c:pt idx="43">
                  <c:v>1.0665017000000001</c:v>
                </c:pt>
                <c:pt idx="44">
                  <c:v>1.0650805000000001</c:v>
                </c:pt>
                <c:pt idx="45">
                  <c:v>1.0637155</c:v>
                </c:pt>
                <c:pt idx="46">
                  <c:v>1.0623267000000001</c:v>
                </c:pt>
                <c:pt idx="47">
                  <c:v>1.0609751999999999</c:v>
                </c:pt>
                <c:pt idx="48">
                  <c:v>1.0596018</c:v>
                </c:pt>
                <c:pt idx="49">
                  <c:v>1.058238</c:v>
                </c:pt>
                <c:pt idx="50">
                  <c:v>1.0568907000000001</c:v>
                </c:pt>
                <c:pt idx="51">
                  <c:v>1.0555407000000001</c:v>
                </c:pt>
                <c:pt idx="52">
                  <c:v>1.054189</c:v>
                </c:pt>
                <c:pt idx="53">
                  <c:v>1.0526165999999999</c:v>
                </c:pt>
                <c:pt idx="54">
                  <c:v>1.0512817000000001</c:v>
                </c:pt>
                <c:pt idx="55">
                  <c:v>1.0499366999999999</c:v>
                </c:pt>
                <c:pt idx="56">
                  <c:v>1.0486211000000001</c:v>
                </c:pt>
                <c:pt idx="57">
                  <c:v>1.0472682</c:v>
                </c:pt>
                <c:pt idx="58">
                  <c:v>1.0460153000000001</c:v>
                </c:pt>
                <c:pt idx="59">
                  <c:v>1.0446983999999999</c:v>
                </c:pt>
                <c:pt idx="60">
                  <c:v>1.0433673000000001</c:v>
                </c:pt>
                <c:pt idx="61">
                  <c:v>1.0421910999999999</c:v>
                </c:pt>
                <c:pt idx="62">
                  <c:v>1.0407428000000001</c:v>
                </c:pt>
                <c:pt idx="63">
                  <c:v>1.0394933</c:v>
                </c:pt>
                <c:pt idx="64">
                  <c:v>1.0382043999999999</c:v>
                </c:pt>
                <c:pt idx="65" formatCode="General">
                  <c:v>1.0381986000000001</c:v>
                </c:pt>
                <c:pt idx="66" formatCode="General">
                  <c:v>1.0369710999999999</c:v>
                </c:pt>
                <c:pt idx="67" formatCode="General">
                  <c:v>1.0356452</c:v>
                </c:pt>
                <c:pt idx="68" formatCode="General">
                  <c:v>1.0345314999999999</c:v>
                </c:pt>
                <c:pt idx="69" formatCode="General">
                  <c:v>1.0330615000000001</c:v>
                </c:pt>
                <c:pt idx="70" formatCode="General">
                  <c:v>1.0318639999999999</c:v>
                </c:pt>
                <c:pt idx="71" formatCode="General">
                  <c:v>1.0306085</c:v>
                </c:pt>
                <c:pt idx="72" formatCode="General">
                  <c:v>1.0293707000000001</c:v>
                </c:pt>
                <c:pt idx="73" formatCode="General">
                  <c:v>1.0281441</c:v>
                </c:pt>
                <c:pt idx="74" formatCode="General">
                  <c:v>1.0269227000000001</c:v>
                </c:pt>
                <c:pt idx="75" formatCode="General">
                  <c:v>1.0257099999999999</c:v>
                </c:pt>
                <c:pt idx="76" formatCode="General">
                  <c:v>1.0244937000000001</c:v>
                </c:pt>
                <c:pt idx="77" formatCode="General">
                  <c:v>1.0230619000000001</c:v>
                </c:pt>
                <c:pt idx="78" formatCode="General">
                  <c:v>1.0218385000000001</c:v>
                </c:pt>
                <c:pt idx="79" formatCode="General">
                  <c:v>1.0206195</c:v>
                </c:pt>
                <c:pt idx="80" formatCode="General">
                  <c:v>1.0195297999999999</c:v>
                </c:pt>
                <c:pt idx="81" formatCode="General">
                  <c:v>1.0182340999999999</c:v>
                </c:pt>
                <c:pt idx="82" formatCode="General">
                  <c:v>1.0171167000000001</c:v>
                </c:pt>
                <c:pt idx="83" formatCode="General">
                  <c:v>1.0158906000000001</c:v>
                </c:pt>
                <c:pt idx="84" formatCode="General">
                  <c:v>1.0147233</c:v>
                </c:pt>
                <c:pt idx="85" formatCode="General">
                  <c:v>1.0134046000000001</c:v>
                </c:pt>
                <c:pt idx="86" formatCode="General">
                  <c:v>1.0123949999999999</c:v>
                </c:pt>
                <c:pt idx="87" formatCode="General">
                  <c:v>1.0111657000000001</c:v>
                </c:pt>
                <c:pt idx="88" formatCode="General">
                  <c:v>1.0099933999999999</c:v>
                </c:pt>
              </c:numCache>
              <c:extLst xmlns:c15="http://schemas.microsoft.com/office/drawing/2012/chart"/>
            </c:numRef>
          </c:yVal>
          <c:smooth val="1"/>
        </c:ser>
        <c:ser>
          <c:idx val="10"/>
          <c:order val="10"/>
          <c:tx>
            <c:strRef>
              <c:f>Hasil!$R$5</c:f>
              <c:strCache>
                <c:ptCount val="1"/>
                <c:pt idx="0">
                  <c:v>MOX 20%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Hasil!$G$6:$G$94</c:f>
              <c:numCache>
                <c:formatCode>General</c:formatCode>
                <c:ptCount val="89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  <c:pt idx="65">
                  <c:v>5.0821355236139629</c:v>
                </c:pt>
                <c:pt idx="66">
                  <c:v>5.1642710472279258</c:v>
                </c:pt>
                <c:pt idx="67">
                  <c:v>5.2464065708418888</c:v>
                </c:pt>
                <c:pt idx="68">
                  <c:v>5.3285420944558526</c:v>
                </c:pt>
                <c:pt idx="69">
                  <c:v>5.4106776180698155</c:v>
                </c:pt>
                <c:pt idx="70">
                  <c:v>5.4928131416837784</c:v>
                </c:pt>
                <c:pt idx="71">
                  <c:v>5.5749486652977414</c:v>
                </c:pt>
                <c:pt idx="72">
                  <c:v>5.6570841889117043</c:v>
                </c:pt>
                <c:pt idx="73">
                  <c:v>5.7392197125256672</c:v>
                </c:pt>
                <c:pt idx="74">
                  <c:v>5.8213552361396301</c:v>
                </c:pt>
                <c:pt idx="75">
                  <c:v>5.9034907597535931</c:v>
                </c:pt>
                <c:pt idx="76">
                  <c:v>6</c:v>
                </c:pt>
                <c:pt idx="77">
                  <c:v>6.0821355236139629</c:v>
                </c:pt>
                <c:pt idx="78">
                  <c:v>6.1642710472279258</c:v>
                </c:pt>
                <c:pt idx="79">
                  <c:v>6.2464065708418888</c:v>
                </c:pt>
                <c:pt idx="80">
                  <c:v>6.3285420944558526</c:v>
                </c:pt>
                <c:pt idx="81">
                  <c:v>6.4106776180698155</c:v>
                </c:pt>
                <c:pt idx="82">
                  <c:v>6.4928131416837784</c:v>
                </c:pt>
                <c:pt idx="83">
                  <c:v>6.5749486652977414</c:v>
                </c:pt>
                <c:pt idx="84">
                  <c:v>6.6570841889117043</c:v>
                </c:pt>
                <c:pt idx="85">
                  <c:v>6.7392197125256672</c:v>
                </c:pt>
                <c:pt idx="86">
                  <c:v>6.8213552361396301</c:v>
                </c:pt>
                <c:pt idx="87">
                  <c:v>6.9034907597535931</c:v>
                </c:pt>
                <c:pt idx="88">
                  <c:v>7</c:v>
                </c:pt>
              </c:numCache>
              <c:extLst xmlns:c15="http://schemas.microsoft.com/office/drawing/2012/chart"/>
            </c:numRef>
          </c:xVal>
          <c:yVal>
            <c:numRef>
              <c:f>Hasil!$R$6:$R$94</c:f>
              <c:numCache>
                <c:formatCode>0.0000000</c:formatCode>
                <c:ptCount val="89"/>
                <c:pt idx="0">
                  <c:v>1.1545848999999999</c:v>
                </c:pt>
                <c:pt idx="1">
                  <c:v>1.1497185000000001</c:v>
                </c:pt>
                <c:pt idx="2">
                  <c:v>1.1496147999999999</c:v>
                </c:pt>
                <c:pt idx="3">
                  <c:v>1.1490023</c:v>
                </c:pt>
                <c:pt idx="4">
                  <c:v>1.1482356</c:v>
                </c:pt>
                <c:pt idx="5">
                  <c:v>1.1466943000000001</c:v>
                </c:pt>
                <c:pt idx="6">
                  <c:v>1.1452751999999999</c:v>
                </c:pt>
                <c:pt idx="7">
                  <c:v>1.1415297</c:v>
                </c:pt>
                <c:pt idx="8">
                  <c:v>1.1382749999999999</c:v>
                </c:pt>
                <c:pt idx="9">
                  <c:v>1.1353666</c:v>
                </c:pt>
                <c:pt idx="10">
                  <c:v>1.1327331</c:v>
                </c:pt>
                <c:pt idx="11">
                  <c:v>1.1302810000000001</c:v>
                </c:pt>
                <c:pt idx="12">
                  <c:v>1.1280539000000001</c:v>
                </c:pt>
                <c:pt idx="13">
                  <c:v>1.1259252</c:v>
                </c:pt>
                <c:pt idx="14">
                  <c:v>1.1239482000000001</c:v>
                </c:pt>
                <c:pt idx="15">
                  <c:v>1.12208</c:v>
                </c:pt>
                <c:pt idx="16">
                  <c:v>1.1202979</c:v>
                </c:pt>
                <c:pt idx="17">
                  <c:v>1.1203053000000001</c:v>
                </c:pt>
                <c:pt idx="18">
                  <c:v>1.1186332000000001</c:v>
                </c:pt>
                <c:pt idx="19">
                  <c:v>1.1170224</c:v>
                </c:pt>
                <c:pt idx="20">
                  <c:v>1.1154929</c:v>
                </c:pt>
                <c:pt idx="21">
                  <c:v>1.1139889999999999</c:v>
                </c:pt>
                <c:pt idx="22">
                  <c:v>1.1125399</c:v>
                </c:pt>
                <c:pt idx="23">
                  <c:v>1.1110897</c:v>
                </c:pt>
                <c:pt idx="24">
                  <c:v>1.1096978</c:v>
                </c:pt>
                <c:pt idx="25">
                  <c:v>1.1082365999999999</c:v>
                </c:pt>
                <c:pt idx="26">
                  <c:v>1.1067373</c:v>
                </c:pt>
                <c:pt idx="27">
                  <c:v>1.1052995999999999</c:v>
                </c:pt>
                <c:pt idx="28">
                  <c:v>1.1039137000000001</c:v>
                </c:pt>
                <c:pt idx="29">
                  <c:v>1.1022483000000001</c:v>
                </c:pt>
                <c:pt idx="30">
                  <c:v>1.1007279999999999</c:v>
                </c:pt>
                <c:pt idx="31">
                  <c:v>1.0992767999999999</c:v>
                </c:pt>
                <c:pt idx="32">
                  <c:v>1.0978785</c:v>
                </c:pt>
                <c:pt idx="33">
                  <c:v>1.0964354000000001</c:v>
                </c:pt>
                <c:pt idx="34">
                  <c:v>1.0949526999999999</c:v>
                </c:pt>
                <c:pt idx="35">
                  <c:v>1.0934931999999999</c:v>
                </c:pt>
                <c:pt idx="36">
                  <c:v>1.0920597000000001</c:v>
                </c:pt>
                <c:pt idx="37">
                  <c:v>1.090624</c:v>
                </c:pt>
                <c:pt idx="38">
                  <c:v>1.0891447999999999</c:v>
                </c:pt>
                <c:pt idx="39">
                  <c:v>1.0876858</c:v>
                </c:pt>
                <c:pt idx="40">
                  <c:v>1.0862235</c:v>
                </c:pt>
                <c:pt idx="41">
                  <c:v>1.0862461000000001</c:v>
                </c:pt>
                <c:pt idx="42">
                  <c:v>1.0847792999999999</c:v>
                </c:pt>
                <c:pt idx="43">
                  <c:v>1.0833489000000001</c:v>
                </c:pt>
                <c:pt idx="44">
                  <c:v>1.0819456999999999</c:v>
                </c:pt>
                <c:pt idx="45">
                  <c:v>1.0804948999999999</c:v>
                </c:pt>
                <c:pt idx="46">
                  <c:v>1.0790834</c:v>
                </c:pt>
                <c:pt idx="47">
                  <c:v>1.0777211</c:v>
                </c:pt>
                <c:pt idx="48">
                  <c:v>1.0762885</c:v>
                </c:pt>
                <c:pt idx="49">
                  <c:v>1.0749089000000001</c:v>
                </c:pt>
                <c:pt idx="50">
                  <c:v>1.0735711999999999</c:v>
                </c:pt>
                <c:pt idx="51">
                  <c:v>1.0721943</c:v>
                </c:pt>
                <c:pt idx="52">
                  <c:v>1.0707892999999999</c:v>
                </c:pt>
                <c:pt idx="53">
                  <c:v>1.0691974</c:v>
                </c:pt>
                <c:pt idx="54">
                  <c:v>1.0678365999999999</c:v>
                </c:pt>
                <c:pt idx="55">
                  <c:v>1.0666142999999999</c:v>
                </c:pt>
                <c:pt idx="56">
                  <c:v>1.0651735</c:v>
                </c:pt>
                <c:pt idx="57">
                  <c:v>1.0639152999999999</c:v>
                </c:pt>
                <c:pt idx="58">
                  <c:v>1.0624726</c:v>
                </c:pt>
                <c:pt idx="59">
                  <c:v>1.0611358</c:v>
                </c:pt>
                <c:pt idx="60">
                  <c:v>1.0598232999999999</c:v>
                </c:pt>
                <c:pt idx="61">
                  <c:v>1.0585433</c:v>
                </c:pt>
                <c:pt idx="62">
                  <c:v>1.0571809000000001</c:v>
                </c:pt>
                <c:pt idx="63">
                  <c:v>1.0560020999999999</c:v>
                </c:pt>
                <c:pt idx="64">
                  <c:v>1.0545488999999999</c:v>
                </c:pt>
                <c:pt idx="65" formatCode="General">
                  <c:v>1.0546087</c:v>
                </c:pt>
                <c:pt idx="66" formatCode="General">
                  <c:v>1.0532657999999999</c:v>
                </c:pt>
                <c:pt idx="67" formatCode="General">
                  <c:v>1.0521419000000001</c:v>
                </c:pt>
                <c:pt idx="68" formatCode="General">
                  <c:v>1.0506328</c:v>
                </c:pt>
                <c:pt idx="69" formatCode="General">
                  <c:v>1.0494353999999999</c:v>
                </c:pt>
                <c:pt idx="70" formatCode="General">
                  <c:v>1.0481129</c:v>
                </c:pt>
                <c:pt idx="71" formatCode="General">
                  <c:v>1.0468645000000001</c:v>
                </c:pt>
                <c:pt idx="72" formatCode="General">
                  <c:v>1.0456057000000001</c:v>
                </c:pt>
                <c:pt idx="73" formatCode="General">
                  <c:v>1.0443633000000001</c:v>
                </c:pt>
                <c:pt idx="74" formatCode="General">
                  <c:v>1.0431244</c:v>
                </c:pt>
                <c:pt idx="75" formatCode="General">
                  <c:v>1.0418931</c:v>
                </c:pt>
                <c:pt idx="76" formatCode="General">
                  <c:v>1.0406591999999999</c:v>
                </c:pt>
                <c:pt idx="77" formatCode="General">
                  <c:v>1.0392048</c:v>
                </c:pt>
                <c:pt idx="78" formatCode="General">
                  <c:v>1.0379651999999999</c:v>
                </c:pt>
                <c:pt idx="79" formatCode="General">
                  <c:v>1.0367508999999999</c:v>
                </c:pt>
                <c:pt idx="80" formatCode="General">
                  <c:v>1.0355209000000001</c:v>
                </c:pt>
                <c:pt idx="81" formatCode="General">
                  <c:v>1.0343020000000001</c:v>
                </c:pt>
                <c:pt idx="82" formatCode="General">
                  <c:v>1.0330969000000001</c:v>
                </c:pt>
                <c:pt idx="83" formatCode="General">
                  <c:v>1.0318906000000001</c:v>
                </c:pt>
                <c:pt idx="84" formatCode="General">
                  <c:v>1.0307686</c:v>
                </c:pt>
                <c:pt idx="85" formatCode="General">
                  <c:v>1.0294871000000001</c:v>
                </c:pt>
                <c:pt idx="86" formatCode="General">
                  <c:v>1.0283867</c:v>
                </c:pt>
                <c:pt idx="87" formatCode="General">
                  <c:v>1.0271756999999999</c:v>
                </c:pt>
                <c:pt idx="88" formatCode="General">
                  <c:v>1.0259917000000001</c:v>
                </c:pt>
              </c:numCache>
              <c:extLst xmlns:c15="http://schemas.microsoft.com/office/drawing/2012/chart"/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721264"/>
        <c:axId val="1738721808"/>
        <c:extLst/>
      </c:scatterChart>
      <c:valAx>
        <c:axId val="1738721264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Tahun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38721808"/>
        <c:crosses val="autoZero"/>
        <c:crossBetween val="midCat"/>
        <c:majorUnit val="0.5"/>
      </c:valAx>
      <c:valAx>
        <c:axId val="1738721808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K-Efektif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3872126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Hasil!$AB$5</c:f>
              <c:strCache>
                <c:ptCount val="1"/>
                <c:pt idx="0">
                  <c:v>Benchmark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Hasil!$AA$6:$AA$94</c:f>
              <c:numCache>
                <c:formatCode>General</c:formatCode>
                <c:ptCount val="89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  <c:pt idx="65">
                  <c:v>5.0821355236139629</c:v>
                </c:pt>
                <c:pt idx="66">
                  <c:v>5.1642710472279258</c:v>
                </c:pt>
                <c:pt idx="67">
                  <c:v>5.2464065708418888</c:v>
                </c:pt>
                <c:pt idx="68">
                  <c:v>5.3285420944558526</c:v>
                </c:pt>
                <c:pt idx="69">
                  <c:v>5.4106776180698155</c:v>
                </c:pt>
                <c:pt idx="70">
                  <c:v>5.4928131416837784</c:v>
                </c:pt>
                <c:pt idx="71">
                  <c:v>5.5749486652977414</c:v>
                </c:pt>
                <c:pt idx="72">
                  <c:v>5.6570841889117043</c:v>
                </c:pt>
                <c:pt idx="73">
                  <c:v>5.7392197125256672</c:v>
                </c:pt>
                <c:pt idx="74">
                  <c:v>5.8213552361396301</c:v>
                </c:pt>
                <c:pt idx="75">
                  <c:v>5.9034907597535931</c:v>
                </c:pt>
                <c:pt idx="76">
                  <c:v>6</c:v>
                </c:pt>
                <c:pt idx="77">
                  <c:v>6.0821355236139629</c:v>
                </c:pt>
                <c:pt idx="78">
                  <c:v>6.1642710472279258</c:v>
                </c:pt>
                <c:pt idx="79">
                  <c:v>6.2464065708418888</c:v>
                </c:pt>
                <c:pt idx="80">
                  <c:v>6.3285420944558526</c:v>
                </c:pt>
                <c:pt idx="81">
                  <c:v>6.4106776180698155</c:v>
                </c:pt>
                <c:pt idx="82">
                  <c:v>6.4928131416837784</c:v>
                </c:pt>
                <c:pt idx="83">
                  <c:v>6.5749486652977414</c:v>
                </c:pt>
                <c:pt idx="84">
                  <c:v>6.6570841889117043</c:v>
                </c:pt>
                <c:pt idx="85">
                  <c:v>6.7392197125256672</c:v>
                </c:pt>
                <c:pt idx="86">
                  <c:v>6.8213552361396301</c:v>
                </c:pt>
                <c:pt idx="87">
                  <c:v>6.9034907597535931</c:v>
                </c:pt>
                <c:pt idx="88">
                  <c:v>7</c:v>
                </c:pt>
              </c:numCache>
            </c:numRef>
          </c:xVal>
          <c:yVal>
            <c:numRef>
              <c:f>Hasil!$AB$6:$AB$94</c:f>
              <c:numCache>
                <c:formatCode>0.00E+00</c:formatCode>
                <c:ptCount val="89"/>
                <c:pt idx="0">
                  <c:v>0.45779999999999998</c:v>
                </c:pt>
                <c:pt idx="1">
                  <c:v>0.46750000000000003</c:v>
                </c:pt>
                <c:pt idx="2">
                  <c:v>0.46768999999999999</c:v>
                </c:pt>
                <c:pt idx="3">
                  <c:v>0.46812199999999998</c:v>
                </c:pt>
                <c:pt idx="4">
                  <c:v>0.46866799999999997</c:v>
                </c:pt>
                <c:pt idx="5">
                  <c:v>0.46968700000000002</c:v>
                </c:pt>
                <c:pt idx="6">
                  <c:v>0.47053800000000001</c:v>
                </c:pt>
                <c:pt idx="7">
                  <c:v>0.47313899999999998</c:v>
                </c:pt>
                <c:pt idx="8">
                  <c:v>0.476165</c:v>
                </c:pt>
                <c:pt idx="9">
                  <c:v>0.47926999999999997</c:v>
                </c:pt>
                <c:pt idx="10">
                  <c:v>0.481964</c:v>
                </c:pt>
                <c:pt idx="11">
                  <c:v>0.48386400000000002</c:v>
                </c:pt>
                <c:pt idx="12">
                  <c:v>0.48480299999999998</c:v>
                </c:pt>
                <c:pt idx="13">
                  <c:v>0.48515399999999997</c:v>
                </c:pt>
                <c:pt idx="14">
                  <c:v>0.48647699999999999</c:v>
                </c:pt>
                <c:pt idx="15">
                  <c:v>0.49041499999999999</c:v>
                </c:pt>
                <c:pt idx="16">
                  <c:v>0.494755</c:v>
                </c:pt>
                <c:pt idx="17">
                  <c:v>0.49478699999999998</c:v>
                </c:pt>
                <c:pt idx="18">
                  <c:v>0.49871199999999999</c:v>
                </c:pt>
                <c:pt idx="19">
                  <c:v>0.50217500000000004</c:v>
                </c:pt>
                <c:pt idx="20">
                  <c:v>0.50441499999999995</c:v>
                </c:pt>
                <c:pt idx="21">
                  <c:v>0.50558099999999995</c:v>
                </c:pt>
                <c:pt idx="22">
                  <c:v>0.50606300000000004</c:v>
                </c:pt>
                <c:pt idx="23">
                  <c:v>0.50723499999999999</c:v>
                </c:pt>
                <c:pt idx="24">
                  <c:v>0.50968100000000005</c:v>
                </c:pt>
                <c:pt idx="25">
                  <c:v>0.51217699999999999</c:v>
                </c:pt>
                <c:pt idx="26">
                  <c:v>0.51513799999999998</c:v>
                </c:pt>
                <c:pt idx="27">
                  <c:v>0.51829999999999998</c:v>
                </c:pt>
                <c:pt idx="28">
                  <c:v>0.52097400000000005</c:v>
                </c:pt>
                <c:pt idx="29">
                  <c:v>0.52371900000000005</c:v>
                </c:pt>
                <c:pt idx="30">
                  <c:v>0.52587200000000001</c:v>
                </c:pt>
                <c:pt idx="31">
                  <c:v>0.52785099999999996</c:v>
                </c:pt>
                <c:pt idx="32">
                  <c:v>0.52928600000000003</c:v>
                </c:pt>
                <c:pt idx="33">
                  <c:v>0.53100599999999998</c:v>
                </c:pt>
                <c:pt idx="34">
                  <c:v>0.53264400000000001</c:v>
                </c:pt>
                <c:pt idx="35">
                  <c:v>0.53441000000000005</c:v>
                </c:pt>
                <c:pt idx="36">
                  <c:v>0.53593999999999997</c:v>
                </c:pt>
                <c:pt idx="37">
                  <c:v>0.53699799999999998</c:v>
                </c:pt>
                <c:pt idx="38">
                  <c:v>0.53817300000000001</c:v>
                </c:pt>
                <c:pt idx="39">
                  <c:v>0.53965399999999997</c:v>
                </c:pt>
                <c:pt idx="40">
                  <c:v>0.54067100000000001</c:v>
                </c:pt>
                <c:pt idx="41">
                  <c:v>0.54073499999999997</c:v>
                </c:pt>
                <c:pt idx="42">
                  <c:v>0.54238299999999995</c:v>
                </c:pt>
                <c:pt idx="43">
                  <c:v>0.54359900000000005</c:v>
                </c:pt>
                <c:pt idx="44">
                  <c:v>0.54525100000000004</c:v>
                </c:pt>
                <c:pt idx="45">
                  <c:v>0.54680399999999996</c:v>
                </c:pt>
                <c:pt idx="46">
                  <c:v>0.54811500000000002</c:v>
                </c:pt>
                <c:pt idx="47">
                  <c:v>0.54981800000000003</c:v>
                </c:pt>
                <c:pt idx="48">
                  <c:v>0.55155299999999996</c:v>
                </c:pt>
                <c:pt idx="49">
                  <c:v>0.55346099999999998</c:v>
                </c:pt>
                <c:pt idx="50">
                  <c:v>0.55540800000000001</c:v>
                </c:pt>
                <c:pt idx="51">
                  <c:v>0.55720800000000004</c:v>
                </c:pt>
                <c:pt idx="52">
                  <c:v>0.55902200000000002</c:v>
                </c:pt>
                <c:pt idx="53">
                  <c:v>0.56111</c:v>
                </c:pt>
                <c:pt idx="54">
                  <c:v>0.56318699999999999</c:v>
                </c:pt>
                <c:pt idx="55">
                  <c:v>0.56511199999999995</c:v>
                </c:pt>
                <c:pt idx="56">
                  <c:v>0.56748900000000002</c:v>
                </c:pt>
                <c:pt idx="57">
                  <c:v>0.57041500000000001</c:v>
                </c:pt>
                <c:pt idx="58">
                  <c:v>0.573237</c:v>
                </c:pt>
                <c:pt idx="59">
                  <c:v>0.57601400000000003</c:v>
                </c:pt>
                <c:pt idx="60">
                  <c:v>0.57943999999999996</c:v>
                </c:pt>
                <c:pt idx="61">
                  <c:v>0.58291999999999999</c:v>
                </c:pt>
                <c:pt idx="62">
                  <c:v>0.58638599999999996</c:v>
                </c:pt>
                <c:pt idx="63">
                  <c:v>0.58995399999999998</c:v>
                </c:pt>
                <c:pt idx="64">
                  <c:v>0.59353400000000001</c:v>
                </c:pt>
                <c:pt idx="65">
                  <c:v>0.59353800000000001</c:v>
                </c:pt>
                <c:pt idx="66">
                  <c:v>0.59712299999999996</c:v>
                </c:pt>
                <c:pt idx="67">
                  <c:v>0.60065900000000005</c:v>
                </c:pt>
                <c:pt idx="68">
                  <c:v>0.604186</c:v>
                </c:pt>
                <c:pt idx="69">
                  <c:v>0.60772099999999996</c:v>
                </c:pt>
                <c:pt idx="70">
                  <c:v>0.61127299999999996</c:v>
                </c:pt>
                <c:pt idx="71">
                  <c:v>0.61480299999999999</c:v>
                </c:pt>
                <c:pt idx="72">
                  <c:v>0.61830799999999997</c:v>
                </c:pt>
                <c:pt idx="73">
                  <c:v>0.62177899999999997</c:v>
                </c:pt>
                <c:pt idx="74">
                  <c:v>0.62520299999999995</c:v>
                </c:pt>
                <c:pt idx="75">
                  <c:v>0.62856500000000004</c:v>
                </c:pt>
                <c:pt idx="76">
                  <c:v>0.63192899999999996</c:v>
                </c:pt>
                <c:pt idx="77">
                  <c:v>0.63589499999999999</c:v>
                </c:pt>
                <c:pt idx="78">
                  <c:v>0.63929000000000002</c:v>
                </c:pt>
                <c:pt idx="79">
                  <c:v>0.64268800000000004</c:v>
                </c:pt>
                <c:pt idx="80">
                  <c:v>0.64607499999999995</c:v>
                </c:pt>
                <c:pt idx="81">
                  <c:v>0.64944400000000002</c:v>
                </c:pt>
                <c:pt idx="82">
                  <c:v>0.65278599999999998</c:v>
                </c:pt>
                <c:pt idx="83">
                  <c:v>0.65614099999999997</c:v>
                </c:pt>
                <c:pt idx="84">
                  <c:v>0.65951099999999996</c:v>
                </c:pt>
                <c:pt idx="85">
                  <c:v>0.66288999999999998</c:v>
                </c:pt>
                <c:pt idx="86">
                  <c:v>0.66627099999999995</c:v>
                </c:pt>
                <c:pt idx="87">
                  <c:v>0.66962699999999997</c:v>
                </c:pt>
                <c:pt idx="88">
                  <c:v>0.67290399999999995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Hasil!$AC$5</c:f>
              <c:strCache>
                <c:ptCount val="1"/>
                <c:pt idx="0">
                  <c:v>MOX 2%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Hasil!$AA$6:$AA$94</c:f>
              <c:numCache>
                <c:formatCode>General</c:formatCode>
                <c:ptCount val="89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  <c:pt idx="65">
                  <c:v>5.0821355236139629</c:v>
                </c:pt>
                <c:pt idx="66">
                  <c:v>5.1642710472279258</c:v>
                </c:pt>
                <c:pt idx="67">
                  <c:v>5.2464065708418888</c:v>
                </c:pt>
                <c:pt idx="68">
                  <c:v>5.3285420944558526</c:v>
                </c:pt>
                <c:pt idx="69">
                  <c:v>5.4106776180698155</c:v>
                </c:pt>
                <c:pt idx="70">
                  <c:v>5.4928131416837784</c:v>
                </c:pt>
                <c:pt idx="71">
                  <c:v>5.5749486652977414</c:v>
                </c:pt>
                <c:pt idx="72">
                  <c:v>5.6570841889117043</c:v>
                </c:pt>
                <c:pt idx="73">
                  <c:v>5.7392197125256672</c:v>
                </c:pt>
                <c:pt idx="74">
                  <c:v>5.8213552361396301</c:v>
                </c:pt>
                <c:pt idx="75">
                  <c:v>5.9034907597535931</c:v>
                </c:pt>
                <c:pt idx="76">
                  <c:v>6</c:v>
                </c:pt>
                <c:pt idx="77">
                  <c:v>6.0821355236139629</c:v>
                </c:pt>
                <c:pt idx="78">
                  <c:v>6.1642710472279258</c:v>
                </c:pt>
                <c:pt idx="79">
                  <c:v>6.2464065708418888</c:v>
                </c:pt>
                <c:pt idx="80">
                  <c:v>6.3285420944558526</c:v>
                </c:pt>
                <c:pt idx="81">
                  <c:v>6.4106776180698155</c:v>
                </c:pt>
                <c:pt idx="82">
                  <c:v>6.4928131416837784</c:v>
                </c:pt>
                <c:pt idx="83">
                  <c:v>6.5749486652977414</c:v>
                </c:pt>
                <c:pt idx="84">
                  <c:v>6.6570841889117043</c:v>
                </c:pt>
                <c:pt idx="85">
                  <c:v>6.7392197125256672</c:v>
                </c:pt>
                <c:pt idx="86">
                  <c:v>6.8213552361396301</c:v>
                </c:pt>
                <c:pt idx="87">
                  <c:v>6.9034907597535931</c:v>
                </c:pt>
                <c:pt idx="88">
                  <c:v>7</c:v>
                </c:pt>
              </c:numCache>
            </c:numRef>
          </c:xVal>
          <c:yVal>
            <c:numRef>
              <c:f>Hasil!$AC$6:$AC$94</c:f>
              <c:numCache>
                <c:formatCode>0.000000</c:formatCode>
                <c:ptCount val="89"/>
                <c:pt idx="0">
                  <c:v>0.76747299999999996</c:v>
                </c:pt>
                <c:pt idx="1">
                  <c:v>0.78282399999999996</c:v>
                </c:pt>
                <c:pt idx="2">
                  <c:v>0.78339000000000003</c:v>
                </c:pt>
                <c:pt idx="3">
                  <c:v>0.78502799999999995</c:v>
                </c:pt>
                <c:pt idx="4">
                  <c:v>0.78707099999999997</c:v>
                </c:pt>
                <c:pt idx="5">
                  <c:v>0.79085799999999995</c:v>
                </c:pt>
                <c:pt idx="6">
                  <c:v>0.79383000000000004</c:v>
                </c:pt>
                <c:pt idx="7">
                  <c:v>0.80016500000000002</c:v>
                </c:pt>
                <c:pt idx="8">
                  <c:v>0.80459999999999998</c:v>
                </c:pt>
                <c:pt idx="9">
                  <c:v>0.80748699999999995</c:v>
                </c:pt>
                <c:pt idx="10">
                  <c:v>0.80888400000000005</c:v>
                </c:pt>
                <c:pt idx="11">
                  <c:v>0.80737999999999999</c:v>
                </c:pt>
                <c:pt idx="12">
                  <c:v>0.80363899999999999</c:v>
                </c:pt>
                <c:pt idx="13">
                  <c:v>0.79862100000000003</c:v>
                </c:pt>
                <c:pt idx="14">
                  <c:v>0.79698999999999998</c:v>
                </c:pt>
                <c:pt idx="15">
                  <c:v>0.79942599999999997</c:v>
                </c:pt>
                <c:pt idx="16">
                  <c:v>0.80307300000000004</c:v>
                </c:pt>
                <c:pt idx="17">
                  <c:v>0.80310300000000001</c:v>
                </c:pt>
                <c:pt idx="18">
                  <c:v>0.80608400000000002</c:v>
                </c:pt>
                <c:pt idx="19">
                  <c:v>0.80828</c:v>
                </c:pt>
                <c:pt idx="20">
                  <c:v>0.80869599999999997</c:v>
                </c:pt>
                <c:pt idx="21">
                  <c:v>0.80781899999999995</c:v>
                </c:pt>
                <c:pt idx="22">
                  <c:v>0.80650500000000003</c:v>
                </c:pt>
                <c:pt idx="23">
                  <c:v>0.80616500000000002</c:v>
                </c:pt>
                <c:pt idx="24">
                  <c:v>0.80624899999999999</c:v>
                </c:pt>
                <c:pt idx="25">
                  <c:v>0.80736799999999997</c:v>
                </c:pt>
                <c:pt idx="26">
                  <c:v>0.80859599999999998</c:v>
                </c:pt>
                <c:pt idx="27">
                  <c:v>0.81023500000000004</c:v>
                </c:pt>
                <c:pt idx="28">
                  <c:v>0.81122499999999997</c:v>
                </c:pt>
                <c:pt idx="29">
                  <c:v>0.81186999999999998</c:v>
                </c:pt>
                <c:pt idx="30">
                  <c:v>0.81233</c:v>
                </c:pt>
                <c:pt idx="31">
                  <c:v>0.81254899999999997</c:v>
                </c:pt>
                <c:pt idx="32">
                  <c:v>0.81233699999999998</c:v>
                </c:pt>
                <c:pt idx="33">
                  <c:v>0.81237300000000001</c:v>
                </c:pt>
                <c:pt idx="34">
                  <c:v>0.81261700000000003</c:v>
                </c:pt>
                <c:pt idx="35">
                  <c:v>0.81309699999999996</c:v>
                </c:pt>
                <c:pt idx="36">
                  <c:v>0.81330599999999997</c:v>
                </c:pt>
                <c:pt idx="37">
                  <c:v>0.81327099999999997</c:v>
                </c:pt>
                <c:pt idx="38">
                  <c:v>0.81324600000000002</c:v>
                </c:pt>
                <c:pt idx="39">
                  <c:v>0.81314900000000001</c:v>
                </c:pt>
                <c:pt idx="40">
                  <c:v>0.81297200000000003</c:v>
                </c:pt>
                <c:pt idx="41">
                  <c:v>0.81303899999999996</c:v>
                </c:pt>
                <c:pt idx="42">
                  <c:v>0.81340800000000002</c:v>
                </c:pt>
                <c:pt idx="43">
                  <c:v>0.81360399999999999</c:v>
                </c:pt>
                <c:pt idx="44">
                  <c:v>0.81415599999999999</c:v>
                </c:pt>
                <c:pt idx="45">
                  <c:v>0.81453600000000004</c:v>
                </c:pt>
                <c:pt idx="46">
                  <c:v>0.81471099999999996</c:v>
                </c:pt>
                <c:pt idx="47">
                  <c:v>0.81547199999999997</c:v>
                </c:pt>
                <c:pt idx="48">
                  <c:v>0.81600099999999998</c:v>
                </c:pt>
                <c:pt idx="49">
                  <c:v>0.81671099999999996</c:v>
                </c:pt>
                <c:pt idx="50">
                  <c:v>0.81750400000000001</c:v>
                </c:pt>
                <c:pt idx="51">
                  <c:v>0.81805799999999995</c:v>
                </c:pt>
                <c:pt idx="52">
                  <c:v>0.81909500000000002</c:v>
                </c:pt>
                <c:pt idx="53">
                  <c:v>0.81999</c:v>
                </c:pt>
                <c:pt idx="54">
                  <c:v>0.82069899999999996</c:v>
                </c:pt>
                <c:pt idx="55">
                  <c:v>0.82151399999999997</c:v>
                </c:pt>
                <c:pt idx="56">
                  <c:v>0.82210700000000003</c:v>
                </c:pt>
                <c:pt idx="57">
                  <c:v>0.82342599999999999</c:v>
                </c:pt>
                <c:pt idx="58">
                  <c:v>0.82467000000000001</c:v>
                </c:pt>
                <c:pt idx="59">
                  <c:v>0.82603899999999997</c:v>
                </c:pt>
                <c:pt idx="60">
                  <c:v>0.82781099999999996</c:v>
                </c:pt>
                <c:pt idx="61">
                  <c:v>0.82969300000000001</c:v>
                </c:pt>
                <c:pt idx="62">
                  <c:v>0.83168500000000001</c:v>
                </c:pt>
                <c:pt idx="63">
                  <c:v>0.833789</c:v>
                </c:pt>
                <c:pt idx="64">
                  <c:v>0.83609599999999995</c:v>
                </c:pt>
                <c:pt idx="65" formatCode="0.00E+00">
                  <c:v>0.83608899999999997</c:v>
                </c:pt>
                <c:pt idx="66" formatCode="0.00E+00">
                  <c:v>0.83843100000000004</c:v>
                </c:pt>
                <c:pt idx="67" formatCode="0.00E+00">
                  <c:v>0.84063900000000003</c:v>
                </c:pt>
                <c:pt idx="68" formatCode="0.00E+00">
                  <c:v>0.84290900000000002</c:v>
                </c:pt>
                <c:pt idx="69" formatCode="0.00E+00">
                  <c:v>0.84504699999999999</c:v>
                </c:pt>
                <c:pt idx="70" formatCode="0.00E+00">
                  <c:v>0.84717900000000002</c:v>
                </c:pt>
                <c:pt idx="71" formatCode="0.00E+00">
                  <c:v>0.84932200000000002</c:v>
                </c:pt>
                <c:pt idx="72" formatCode="0.00E+00">
                  <c:v>0.85136999999999996</c:v>
                </c:pt>
                <c:pt idx="73" formatCode="0.00E+00">
                  <c:v>0.85341900000000004</c:v>
                </c:pt>
                <c:pt idx="74" formatCode="0.00E+00">
                  <c:v>0.85543599999999997</c:v>
                </c:pt>
                <c:pt idx="75" formatCode="0.00E+00">
                  <c:v>0.85738999999999999</c:v>
                </c:pt>
                <c:pt idx="76" formatCode="0.00E+00">
                  <c:v>0.85931800000000003</c:v>
                </c:pt>
                <c:pt idx="77" formatCode="0.00E+00">
                  <c:v>0.86145400000000005</c:v>
                </c:pt>
                <c:pt idx="78" formatCode="0.00E+00">
                  <c:v>0.86334699999999998</c:v>
                </c:pt>
                <c:pt idx="79" formatCode="0.00E+00">
                  <c:v>0.86508099999999999</c:v>
                </c:pt>
                <c:pt idx="80" formatCode="0.00E+00">
                  <c:v>0.86689000000000005</c:v>
                </c:pt>
                <c:pt idx="81" formatCode="0.00E+00">
                  <c:v>0.86864300000000005</c:v>
                </c:pt>
                <c:pt idx="82" formatCode="0.00E+00">
                  <c:v>0.87040099999999998</c:v>
                </c:pt>
                <c:pt idx="83" formatCode="0.00E+00">
                  <c:v>0.87211700000000003</c:v>
                </c:pt>
                <c:pt idx="84" formatCode="0.00E+00">
                  <c:v>0.87383100000000002</c:v>
                </c:pt>
                <c:pt idx="85" formatCode="0.00E+00">
                  <c:v>0.87549900000000003</c:v>
                </c:pt>
                <c:pt idx="86" formatCode="0.00E+00">
                  <c:v>0.87712500000000004</c:v>
                </c:pt>
                <c:pt idx="87" formatCode="0.00E+00">
                  <c:v>0.87873100000000004</c:v>
                </c:pt>
                <c:pt idx="88" formatCode="0.00E+00">
                  <c:v>0.88031599999999999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Hasil!$AD$5</c:f>
              <c:strCache>
                <c:ptCount val="1"/>
                <c:pt idx="0">
                  <c:v>MOX 4%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Hasil!$AA$6:$AA$94</c:f>
              <c:numCache>
                <c:formatCode>General</c:formatCode>
                <c:ptCount val="89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  <c:pt idx="65">
                  <c:v>5.0821355236139629</c:v>
                </c:pt>
                <c:pt idx="66">
                  <c:v>5.1642710472279258</c:v>
                </c:pt>
                <c:pt idx="67">
                  <c:v>5.2464065708418888</c:v>
                </c:pt>
                <c:pt idx="68">
                  <c:v>5.3285420944558526</c:v>
                </c:pt>
                <c:pt idx="69">
                  <c:v>5.4106776180698155</c:v>
                </c:pt>
                <c:pt idx="70">
                  <c:v>5.4928131416837784</c:v>
                </c:pt>
                <c:pt idx="71">
                  <c:v>5.5749486652977414</c:v>
                </c:pt>
                <c:pt idx="72">
                  <c:v>5.6570841889117043</c:v>
                </c:pt>
                <c:pt idx="73">
                  <c:v>5.7392197125256672</c:v>
                </c:pt>
                <c:pt idx="74">
                  <c:v>5.8213552361396301</c:v>
                </c:pt>
                <c:pt idx="75">
                  <c:v>5.9034907597535931</c:v>
                </c:pt>
                <c:pt idx="76">
                  <c:v>6</c:v>
                </c:pt>
                <c:pt idx="77">
                  <c:v>6.0821355236139629</c:v>
                </c:pt>
                <c:pt idx="78">
                  <c:v>6.1642710472279258</c:v>
                </c:pt>
                <c:pt idx="79">
                  <c:v>6.2464065708418888</c:v>
                </c:pt>
                <c:pt idx="80">
                  <c:v>6.3285420944558526</c:v>
                </c:pt>
                <c:pt idx="81">
                  <c:v>6.4106776180698155</c:v>
                </c:pt>
                <c:pt idx="82">
                  <c:v>6.4928131416837784</c:v>
                </c:pt>
                <c:pt idx="83">
                  <c:v>6.5749486652977414</c:v>
                </c:pt>
                <c:pt idx="84">
                  <c:v>6.6570841889117043</c:v>
                </c:pt>
                <c:pt idx="85">
                  <c:v>6.7392197125256672</c:v>
                </c:pt>
                <c:pt idx="86">
                  <c:v>6.8213552361396301</c:v>
                </c:pt>
                <c:pt idx="87">
                  <c:v>6.9034907597535931</c:v>
                </c:pt>
                <c:pt idx="88">
                  <c:v>7</c:v>
                </c:pt>
              </c:numCache>
            </c:numRef>
          </c:xVal>
          <c:yVal>
            <c:numRef>
              <c:f>Hasil!$AD$6:$AD$94</c:f>
              <c:numCache>
                <c:formatCode>0.000000</c:formatCode>
                <c:ptCount val="89"/>
                <c:pt idx="0">
                  <c:v>0.71327399999999996</c:v>
                </c:pt>
                <c:pt idx="1">
                  <c:v>0.724441</c:v>
                </c:pt>
                <c:pt idx="2">
                  <c:v>0.72474899999999998</c:v>
                </c:pt>
                <c:pt idx="3">
                  <c:v>0.72564600000000001</c:v>
                </c:pt>
                <c:pt idx="4">
                  <c:v>0.72677499999999995</c:v>
                </c:pt>
                <c:pt idx="5">
                  <c:v>0.72896000000000005</c:v>
                </c:pt>
                <c:pt idx="6">
                  <c:v>0.73074700000000004</c:v>
                </c:pt>
                <c:pt idx="7">
                  <c:v>0.73458900000000005</c:v>
                </c:pt>
                <c:pt idx="8">
                  <c:v>0.73723899999999998</c:v>
                </c:pt>
                <c:pt idx="9">
                  <c:v>0.73912100000000003</c:v>
                </c:pt>
                <c:pt idx="10">
                  <c:v>0.74031599999999997</c:v>
                </c:pt>
                <c:pt idx="11">
                  <c:v>0.74077599999999999</c:v>
                </c:pt>
                <c:pt idx="12">
                  <c:v>0.74040499999999998</c:v>
                </c:pt>
                <c:pt idx="13">
                  <c:v>0.73939600000000005</c:v>
                </c:pt>
                <c:pt idx="14">
                  <c:v>0.73852899999999999</c:v>
                </c:pt>
                <c:pt idx="15">
                  <c:v>0.73830399999999996</c:v>
                </c:pt>
                <c:pt idx="16">
                  <c:v>0.73817100000000002</c:v>
                </c:pt>
                <c:pt idx="17">
                  <c:v>0.73816099999999996</c:v>
                </c:pt>
                <c:pt idx="18">
                  <c:v>0.73855800000000005</c:v>
                </c:pt>
                <c:pt idx="19">
                  <c:v>0.73957300000000004</c:v>
                </c:pt>
                <c:pt idx="20">
                  <c:v>0.74063199999999996</c:v>
                </c:pt>
                <c:pt idx="21">
                  <c:v>0.74153400000000003</c:v>
                </c:pt>
                <c:pt idx="22">
                  <c:v>0.74216800000000005</c:v>
                </c:pt>
                <c:pt idx="23">
                  <c:v>0.74271900000000002</c:v>
                </c:pt>
                <c:pt idx="24">
                  <c:v>0.74313200000000001</c:v>
                </c:pt>
                <c:pt idx="25">
                  <c:v>0.74341299999999999</c:v>
                </c:pt>
                <c:pt idx="26">
                  <c:v>0.74363100000000004</c:v>
                </c:pt>
                <c:pt idx="27">
                  <c:v>0.74378200000000005</c:v>
                </c:pt>
                <c:pt idx="28">
                  <c:v>0.74414800000000003</c:v>
                </c:pt>
                <c:pt idx="29">
                  <c:v>0.74466100000000002</c:v>
                </c:pt>
                <c:pt idx="30">
                  <c:v>0.74512900000000004</c:v>
                </c:pt>
                <c:pt idx="31">
                  <c:v>0.74582199999999998</c:v>
                </c:pt>
                <c:pt idx="32">
                  <c:v>0.74620200000000003</c:v>
                </c:pt>
                <c:pt idx="33">
                  <c:v>0.746695</c:v>
                </c:pt>
                <c:pt idx="34">
                  <c:v>0.74713200000000002</c:v>
                </c:pt>
                <c:pt idx="35">
                  <c:v>0.747668</c:v>
                </c:pt>
                <c:pt idx="36">
                  <c:v>0.74786200000000003</c:v>
                </c:pt>
                <c:pt idx="37">
                  <c:v>0.74800699999999998</c:v>
                </c:pt>
                <c:pt idx="38">
                  <c:v>0.74823399999999995</c:v>
                </c:pt>
                <c:pt idx="39">
                  <c:v>0.748529</c:v>
                </c:pt>
                <c:pt idx="40">
                  <c:v>0.74879200000000001</c:v>
                </c:pt>
                <c:pt idx="41">
                  <c:v>0.74882099999999996</c:v>
                </c:pt>
                <c:pt idx="42">
                  <c:v>0.74906600000000001</c:v>
                </c:pt>
                <c:pt idx="43">
                  <c:v>0.74934699999999999</c:v>
                </c:pt>
                <c:pt idx="44">
                  <c:v>0.74970800000000004</c:v>
                </c:pt>
                <c:pt idx="45">
                  <c:v>0.749892</c:v>
                </c:pt>
                <c:pt idx="46">
                  <c:v>0.75012000000000001</c:v>
                </c:pt>
                <c:pt idx="47">
                  <c:v>0.75047799999999998</c:v>
                </c:pt>
                <c:pt idx="48">
                  <c:v>0.75081399999999998</c:v>
                </c:pt>
                <c:pt idx="49">
                  <c:v>0.75116700000000003</c:v>
                </c:pt>
                <c:pt idx="50">
                  <c:v>0.75158000000000003</c:v>
                </c:pt>
                <c:pt idx="51">
                  <c:v>0.75198600000000004</c:v>
                </c:pt>
                <c:pt idx="52">
                  <c:v>0.75247299999999995</c:v>
                </c:pt>
                <c:pt idx="53">
                  <c:v>0.75301099999999999</c:v>
                </c:pt>
                <c:pt idx="54">
                  <c:v>0.75345899999999999</c:v>
                </c:pt>
                <c:pt idx="55">
                  <c:v>0.754</c:v>
                </c:pt>
                <c:pt idx="56">
                  <c:v>0.75445399999999996</c:v>
                </c:pt>
                <c:pt idx="57">
                  <c:v>0.75492300000000001</c:v>
                </c:pt>
                <c:pt idx="58">
                  <c:v>0.75560799999999995</c:v>
                </c:pt>
                <c:pt idx="59">
                  <c:v>0.75635300000000005</c:v>
                </c:pt>
                <c:pt idx="60">
                  <c:v>0.75706200000000001</c:v>
                </c:pt>
                <c:pt idx="61">
                  <c:v>0.75785100000000005</c:v>
                </c:pt>
                <c:pt idx="62">
                  <c:v>0.75851999999999997</c:v>
                </c:pt>
                <c:pt idx="63">
                  <c:v>0.759432</c:v>
                </c:pt>
                <c:pt idx="64">
                  <c:v>0.76037600000000005</c:v>
                </c:pt>
                <c:pt idx="65" formatCode="0.00E+00">
                  <c:v>0.76042200000000004</c:v>
                </c:pt>
                <c:pt idx="66" formatCode="0.00E+00">
                  <c:v>0.76131599999999999</c:v>
                </c:pt>
                <c:pt idx="67" formatCode="0.00E+00">
                  <c:v>0.76222299999999998</c:v>
                </c:pt>
                <c:pt idx="68" formatCode="0.00E+00">
                  <c:v>0.76333600000000001</c:v>
                </c:pt>
                <c:pt idx="69" formatCode="0.00E+00">
                  <c:v>0.76442699999999997</c:v>
                </c:pt>
                <c:pt idx="70" formatCode="0.00E+00">
                  <c:v>0.76559500000000003</c:v>
                </c:pt>
                <c:pt idx="71" formatCode="0.00E+00">
                  <c:v>0.76675700000000002</c:v>
                </c:pt>
                <c:pt idx="72" formatCode="0.00E+00">
                  <c:v>0.76807800000000004</c:v>
                </c:pt>
                <c:pt idx="73" formatCode="0.00E+00">
                  <c:v>0.76937100000000003</c:v>
                </c:pt>
                <c:pt idx="74" formatCode="0.00E+00">
                  <c:v>0.770783</c:v>
                </c:pt>
                <c:pt idx="75" formatCode="0.00E+00">
                  <c:v>0.77213500000000002</c:v>
                </c:pt>
                <c:pt idx="76" formatCode="0.00E+00">
                  <c:v>0.77360300000000004</c:v>
                </c:pt>
                <c:pt idx="77" formatCode="0.00E+00">
                  <c:v>0.77525999999999995</c:v>
                </c:pt>
                <c:pt idx="78" formatCode="0.00E+00">
                  <c:v>0.77667299999999995</c:v>
                </c:pt>
                <c:pt idx="79" formatCode="0.00E+00">
                  <c:v>0.77813500000000002</c:v>
                </c:pt>
                <c:pt idx="80" formatCode="0.00E+00">
                  <c:v>0.77956199999999998</c:v>
                </c:pt>
                <c:pt idx="81" formatCode="0.00E+00">
                  <c:v>0.78102700000000003</c:v>
                </c:pt>
                <c:pt idx="82" formatCode="0.00E+00">
                  <c:v>0.78245500000000001</c:v>
                </c:pt>
                <c:pt idx="83" formatCode="0.00E+00">
                  <c:v>0.78390099999999996</c:v>
                </c:pt>
                <c:pt idx="84" formatCode="0.00E+00">
                  <c:v>0.78531200000000001</c:v>
                </c:pt>
                <c:pt idx="85" formatCode="0.00E+00">
                  <c:v>0.78673800000000005</c:v>
                </c:pt>
                <c:pt idx="86" formatCode="0.00E+00">
                  <c:v>0.78814799999999996</c:v>
                </c:pt>
                <c:pt idx="87" formatCode="0.00E+00">
                  <c:v>0.78957900000000003</c:v>
                </c:pt>
                <c:pt idx="88" formatCode="0.00E+00">
                  <c:v>0.79096900000000003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Hasil!$AE$5</c:f>
              <c:strCache>
                <c:ptCount val="1"/>
                <c:pt idx="0">
                  <c:v>MOX 6%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Hasil!$AA$6:$AA$94</c:f>
              <c:numCache>
                <c:formatCode>General</c:formatCode>
                <c:ptCount val="89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  <c:pt idx="65">
                  <c:v>5.0821355236139629</c:v>
                </c:pt>
                <c:pt idx="66">
                  <c:v>5.1642710472279258</c:v>
                </c:pt>
                <c:pt idx="67">
                  <c:v>5.2464065708418888</c:v>
                </c:pt>
                <c:pt idx="68">
                  <c:v>5.3285420944558526</c:v>
                </c:pt>
                <c:pt idx="69">
                  <c:v>5.4106776180698155</c:v>
                </c:pt>
                <c:pt idx="70">
                  <c:v>5.4928131416837784</c:v>
                </c:pt>
                <c:pt idx="71">
                  <c:v>5.5749486652977414</c:v>
                </c:pt>
                <c:pt idx="72">
                  <c:v>5.6570841889117043</c:v>
                </c:pt>
                <c:pt idx="73">
                  <c:v>5.7392197125256672</c:v>
                </c:pt>
                <c:pt idx="74">
                  <c:v>5.8213552361396301</c:v>
                </c:pt>
                <c:pt idx="75">
                  <c:v>5.9034907597535931</c:v>
                </c:pt>
                <c:pt idx="76">
                  <c:v>6</c:v>
                </c:pt>
                <c:pt idx="77">
                  <c:v>6.0821355236139629</c:v>
                </c:pt>
                <c:pt idx="78">
                  <c:v>6.1642710472279258</c:v>
                </c:pt>
                <c:pt idx="79">
                  <c:v>6.2464065708418888</c:v>
                </c:pt>
                <c:pt idx="80">
                  <c:v>6.3285420944558526</c:v>
                </c:pt>
                <c:pt idx="81">
                  <c:v>6.4106776180698155</c:v>
                </c:pt>
                <c:pt idx="82">
                  <c:v>6.4928131416837784</c:v>
                </c:pt>
                <c:pt idx="83">
                  <c:v>6.5749486652977414</c:v>
                </c:pt>
                <c:pt idx="84">
                  <c:v>6.6570841889117043</c:v>
                </c:pt>
                <c:pt idx="85">
                  <c:v>6.7392197125256672</c:v>
                </c:pt>
                <c:pt idx="86">
                  <c:v>6.8213552361396301</c:v>
                </c:pt>
                <c:pt idx="87">
                  <c:v>6.9034907597535931</c:v>
                </c:pt>
                <c:pt idx="88">
                  <c:v>7</c:v>
                </c:pt>
              </c:numCache>
            </c:numRef>
          </c:xVal>
          <c:yVal>
            <c:numRef>
              <c:f>Hasil!$AE$6:$AE$94</c:f>
              <c:numCache>
                <c:formatCode>0.000000</c:formatCode>
                <c:ptCount val="89"/>
                <c:pt idx="0">
                  <c:v>0.68591299999999999</c:v>
                </c:pt>
                <c:pt idx="1">
                  <c:v>0.69417499999999999</c:v>
                </c:pt>
                <c:pt idx="2">
                  <c:v>0.69435000000000002</c:v>
                </c:pt>
                <c:pt idx="3">
                  <c:v>0.69494199999999995</c:v>
                </c:pt>
                <c:pt idx="4">
                  <c:v>0.695689</c:v>
                </c:pt>
                <c:pt idx="5">
                  <c:v>0.69716400000000001</c:v>
                </c:pt>
                <c:pt idx="6">
                  <c:v>0.69842099999999996</c:v>
                </c:pt>
                <c:pt idx="7">
                  <c:v>0.70120199999999999</c:v>
                </c:pt>
                <c:pt idx="8">
                  <c:v>0.70311599999999996</c:v>
                </c:pt>
                <c:pt idx="9">
                  <c:v>0.70448599999999995</c:v>
                </c:pt>
                <c:pt idx="10">
                  <c:v>0.705457</c:v>
                </c:pt>
                <c:pt idx="11">
                  <c:v>0.706013</c:v>
                </c:pt>
                <c:pt idx="12">
                  <c:v>0.70620799999999995</c:v>
                </c:pt>
                <c:pt idx="13">
                  <c:v>0.70607200000000003</c:v>
                </c:pt>
                <c:pt idx="14">
                  <c:v>0.70586800000000005</c:v>
                </c:pt>
                <c:pt idx="15">
                  <c:v>0.70578600000000002</c:v>
                </c:pt>
                <c:pt idx="16">
                  <c:v>0.70559799999999995</c:v>
                </c:pt>
                <c:pt idx="17">
                  <c:v>0.705592</c:v>
                </c:pt>
                <c:pt idx="18">
                  <c:v>0.70570699999999997</c:v>
                </c:pt>
                <c:pt idx="19">
                  <c:v>0.70591800000000005</c:v>
                </c:pt>
                <c:pt idx="20">
                  <c:v>0.70623800000000003</c:v>
                </c:pt>
                <c:pt idx="21">
                  <c:v>0.70670100000000002</c:v>
                </c:pt>
                <c:pt idx="22">
                  <c:v>0.70716800000000002</c:v>
                </c:pt>
                <c:pt idx="23">
                  <c:v>0.70773200000000003</c:v>
                </c:pt>
                <c:pt idx="24">
                  <c:v>0.70830099999999996</c:v>
                </c:pt>
                <c:pt idx="25">
                  <c:v>0.70874099999999995</c:v>
                </c:pt>
                <c:pt idx="26">
                  <c:v>0.70916800000000002</c:v>
                </c:pt>
                <c:pt idx="27">
                  <c:v>0.70946600000000004</c:v>
                </c:pt>
                <c:pt idx="28">
                  <c:v>0.709781</c:v>
                </c:pt>
                <c:pt idx="29">
                  <c:v>0.71024500000000002</c:v>
                </c:pt>
                <c:pt idx="30">
                  <c:v>0.71056299999999994</c:v>
                </c:pt>
                <c:pt idx="31">
                  <c:v>0.71085299999999996</c:v>
                </c:pt>
                <c:pt idx="32">
                  <c:v>0.71122399999999997</c:v>
                </c:pt>
                <c:pt idx="33">
                  <c:v>0.711565</c:v>
                </c:pt>
                <c:pt idx="34">
                  <c:v>0.71201800000000004</c:v>
                </c:pt>
                <c:pt idx="35">
                  <c:v>0.71240700000000001</c:v>
                </c:pt>
                <c:pt idx="36">
                  <c:v>0.71270699999999998</c:v>
                </c:pt>
                <c:pt idx="37">
                  <c:v>0.71301599999999998</c:v>
                </c:pt>
                <c:pt idx="38">
                  <c:v>0.71335499999999996</c:v>
                </c:pt>
                <c:pt idx="39">
                  <c:v>0.71386000000000005</c:v>
                </c:pt>
                <c:pt idx="40">
                  <c:v>0.71420399999999995</c:v>
                </c:pt>
                <c:pt idx="41">
                  <c:v>0.71424399999999999</c:v>
                </c:pt>
                <c:pt idx="42">
                  <c:v>0.71448400000000001</c:v>
                </c:pt>
                <c:pt idx="43">
                  <c:v>0.71477199999999996</c:v>
                </c:pt>
                <c:pt idx="44">
                  <c:v>0.71508499999999997</c:v>
                </c:pt>
                <c:pt idx="45">
                  <c:v>0.71533400000000003</c:v>
                </c:pt>
                <c:pt idx="46">
                  <c:v>0.71554899999999999</c:v>
                </c:pt>
                <c:pt idx="47">
                  <c:v>0.71588200000000002</c:v>
                </c:pt>
                <c:pt idx="48">
                  <c:v>0.71626000000000001</c:v>
                </c:pt>
                <c:pt idx="49">
                  <c:v>0.716584</c:v>
                </c:pt>
                <c:pt idx="50">
                  <c:v>0.71687000000000001</c:v>
                </c:pt>
                <c:pt idx="51">
                  <c:v>0.71723000000000003</c:v>
                </c:pt>
                <c:pt idx="52">
                  <c:v>0.71763299999999997</c:v>
                </c:pt>
                <c:pt idx="53">
                  <c:v>0.71807799999999999</c:v>
                </c:pt>
                <c:pt idx="54">
                  <c:v>0.71840099999999996</c:v>
                </c:pt>
                <c:pt idx="55">
                  <c:v>0.71876499999999999</c:v>
                </c:pt>
                <c:pt idx="56">
                  <c:v>0.71918599999999999</c:v>
                </c:pt>
                <c:pt idx="57">
                  <c:v>0.71961299999999995</c:v>
                </c:pt>
                <c:pt idx="58">
                  <c:v>0.72000900000000001</c:v>
                </c:pt>
                <c:pt idx="59">
                  <c:v>0.720441</c:v>
                </c:pt>
                <c:pt idx="60">
                  <c:v>0.72095699999999996</c:v>
                </c:pt>
                <c:pt idx="61">
                  <c:v>0.72150700000000001</c:v>
                </c:pt>
                <c:pt idx="62">
                  <c:v>0.72203700000000004</c:v>
                </c:pt>
                <c:pt idx="63">
                  <c:v>0.72250000000000003</c:v>
                </c:pt>
                <c:pt idx="64">
                  <c:v>0.72306199999999998</c:v>
                </c:pt>
                <c:pt idx="65" formatCode="0.00E+00">
                  <c:v>0.72308700000000004</c:v>
                </c:pt>
                <c:pt idx="66" formatCode="0.00E+00">
                  <c:v>0.72366399999999997</c:v>
                </c:pt>
                <c:pt idx="67" formatCode="0.00E+00">
                  <c:v>0.72426800000000002</c:v>
                </c:pt>
                <c:pt idx="68" formatCode="0.00E+00">
                  <c:v>0.72491499999999998</c:v>
                </c:pt>
                <c:pt idx="69" formatCode="0.00E+00">
                  <c:v>0.72550899999999996</c:v>
                </c:pt>
                <c:pt idx="70" formatCode="0.00E+00">
                  <c:v>0.72616400000000003</c:v>
                </c:pt>
                <c:pt idx="71" formatCode="0.00E+00">
                  <c:v>0.72680400000000001</c:v>
                </c:pt>
                <c:pt idx="72" formatCode="0.00E+00">
                  <c:v>0.72757899999999998</c:v>
                </c:pt>
                <c:pt idx="73" formatCode="0.00E+00">
                  <c:v>0.72830799999999996</c:v>
                </c:pt>
                <c:pt idx="74" formatCode="0.00E+00">
                  <c:v>0.72906400000000005</c:v>
                </c:pt>
                <c:pt idx="75" formatCode="0.00E+00">
                  <c:v>0.72987100000000005</c:v>
                </c:pt>
                <c:pt idx="76" formatCode="0.00E+00">
                  <c:v>0.73075299999999999</c:v>
                </c:pt>
                <c:pt idx="77" formatCode="0.00E+00">
                  <c:v>0.73178900000000002</c:v>
                </c:pt>
                <c:pt idx="78" formatCode="0.00E+00">
                  <c:v>0.73272300000000001</c:v>
                </c:pt>
                <c:pt idx="79" formatCode="0.00E+00">
                  <c:v>0.73360400000000003</c:v>
                </c:pt>
                <c:pt idx="80" formatCode="0.00E+00">
                  <c:v>0.73456900000000003</c:v>
                </c:pt>
                <c:pt idx="81" formatCode="0.00E+00">
                  <c:v>0.73551100000000003</c:v>
                </c:pt>
                <c:pt idx="82" formatCode="0.00E+00">
                  <c:v>0.736487</c:v>
                </c:pt>
                <c:pt idx="83" formatCode="0.00E+00">
                  <c:v>0.73743300000000001</c:v>
                </c:pt>
                <c:pt idx="84" formatCode="0.00E+00">
                  <c:v>0.73843199999999998</c:v>
                </c:pt>
                <c:pt idx="85" formatCode="0.00E+00">
                  <c:v>0.739398</c:v>
                </c:pt>
                <c:pt idx="86" formatCode="0.00E+00">
                  <c:v>0.74047700000000005</c:v>
                </c:pt>
                <c:pt idx="87" formatCode="0.00E+00">
                  <c:v>0.74152099999999999</c:v>
                </c:pt>
                <c:pt idx="88" formatCode="0.00E+00">
                  <c:v>0.74260400000000004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Hasil!$AF$5</c:f>
              <c:strCache>
                <c:ptCount val="1"/>
                <c:pt idx="0">
                  <c:v>MOX 8%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Hasil!$AA$6:$AA$94</c:f>
              <c:numCache>
                <c:formatCode>General</c:formatCode>
                <c:ptCount val="89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  <c:pt idx="65">
                  <c:v>5.0821355236139629</c:v>
                </c:pt>
                <c:pt idx="66">
                  <c:v>5.1642710472279258</c:v>
                </c:pt>
                <c:pt idx="67">
                  <c:v>5.2464065708418888</c:v>
                </c:pt>
                <c:pt idx="68">
                  <c:v>5.3285420944558526</c:v>
                </c:pt>
                <c:pt idx="69">
                  <c:v>5.4106776180698155</c:v>
                </c:pt>
                <c:pt idx="70">
                  <c:v>5.4928131416837784</c:v>
                </c:pt>
                <c:pt idx="71">
                  <c:v>5.5749486652977414</c:v>
                </c:pt>
                <c:pt idx="72">
                  <c:v>5.6570841889117043</c:v>
                </c:pt>
                <c:pt idx="73">
                  <c:v>5.7392197125256672</c:v>
                </c:pt>
                <c:pt idx="74">
                  <c:v>5.8213552361396301</c:v>
                </c:pt>
                <c:pt idx="75">
                  <c:v>5.9034907597535931</c:v>
                </c:pt>
                <c:pt idx="76">
                  <c:v>6</c:v>
                </c:pt>
                <c:pt idx="77">
                  <c:v>6.0821355236139629</c:v>
                </c:pt>
                <c:pt idx="78">
                  <c:v>6.1642710472279258</c:v>
                </c:pt>
                <c:pt idx="79">
                  <c:v>6.2464065708418888</c:v>
                </c:pt>
                <c:pt idx="80">
                  <c:v>6.3285420944558526</c:v>
                </c:pt>
                <c:pt idx="81">
                  <c:v>6.4106776180698155</c:v>
                </c:pt>
                <c:pt idx="82">
                  <c:v>6.4928131416837784</c:v>
                </c:pt>
                <c:pt idx="83">
                  <c:v>6.5749486652977414</c:v>
                </c:pt>
                <c:pt idx="84">
                  <c:v>6.6570841889117043</c:v>
                </c:pt>
                <c:pt idx="85">
                  <c:v>6.7392197125256672</c:v>
                </c:pt>
                <c:pt idx="86">
                  <c:v>6.8213552361396301</c:v>
                </c:pt>
                <c:pt idx="87">
                  <c:v>6.9034907597535931</c:v>
                </c:pt>
                <c:pt idx="88">
                  <c:v>7</c:v>
                </c:pt>
              </c:numCache>
            </c:numRef>
          </c:xVal>
          <c:yVal>
            <c:numRef>
              <c:f>Hasil!$AF$6:$AF$94</c:f>
              <c:numCache>
                <c:formatCode>0.000000</c:formatCode>
                <c:ptCount val="89"/>
                <c:pt idx="0">
                  <c:v>0.66342599999999996</c:v>
                </c:pt>
                <c:pt idx="1">
                  <c:v>0.66966599999999998</c:v>
                </c:pt>
                <c:pt idx="2">
                  <c:v>0.66977200000000003</c:v>
                </c:pt>
                <c:pt idx="3">
                  <c:v>0.67020500000000005</c:v>
                </c:pt>
                <c:pt idx="4">
                  <c:v>0.67075200000000001</c:v>
                </c:pt>
                <c:pt idx="5">
                  <c:v>0.671844</c:v>
                </c:pt>
                <c:pt idx="6">
                  <c:v>0.67280899999999999</c:v>
                </c:pt>
                <c:pt idx="7">
                  <c:v>0.67504399999999998</c:v>
                </c:pt>
                <c:pt idx="8">
                  <c:v>0.67663700000000004</c:v>
                </c:pt>
                <c:pt idx="9">
                  <c:v>0.67781599999999997</c:v>
                </c:pt>
                <c:pt idx="10">
                  <c:v>0.67872100000000002</c:v>
                </c:pt>
                <c:pt idx="11">
                  <c:v>0.67934899999999998</c:v>
                </c:pt>
                <c:pt idx="12">
                  <c:v>0.67976000000000003</c:v>
                </c:pt>
                <c:pt idx="13">
                  <c:v>0.67998199999999998</c:v>
                </c:pt>
                <c:pt idx="14">
                  <c:v>0.68016200000000004</c:v>
                </c:pt>
                <c:pt idx="15">
                  <c:v>0.68020599999999998</c:v>
                </c:pt>
                <c:pt idx="16">
                  <c:v>0.68023900000000004</c:v>
                </c:pt>
                <c:pt idx="17">
                  <c:v>0.68023599999999995</c:v>
                </c:pt>
                <c:pt idx="18">
                  <c:v>0.68035500000000004</c:v>
                </c:pt>
                <c:pt idx="19">
                  <c:v>0.68052199999999996</c:v>
                </c:pt>
                <c:pt idx="20">
                  <c:v>0.68078799999999995</c:v>
                </c:pt>
                <c:pt idx="21">
                  <c:v>0.68112300000000003</c:v>
                </c:pt>
                <c:pt idx="22">
                  <c:v>0.68150699999999997</c:v>
                </c:pt>
                <c:pt idx="23">
                  <c:v>0.68194100000000002</c:v>
                </c:pt>
                <c:pt idx="24">
                  <c:v>0.682361</c:v>
                </c:pt>
                <c:pt idx="25">
                  <c:v>0.68277399999999999</c:v>
                </c:pt>
                <c:pt idx="26">
                  <c:v>0.68320099999999995</c:v>
                </c:pt>
                <c:pt idx="27">
                  <c:v>0.68356600000000001</c:v>
                </c:pt>
                <c:pt idx="28">
                  <c:v>0.68394600000000005</c:v>
                </c:pt>
                <c:pt idx="29">
                  <c:v>0.68441600000000002</c:v>
                </c:pt>
                <c:pt idx="30">
                  <c:v>0.68474500000000005</c:v>
                </c:pt>
                <c:pt idx="31">
                  <c:v>0.68511599999999995</c:v>
                </c:pt>
                <c:pt idx="32">
                  <c:v>0.68551799999999996</c:v>
                </c:pt>
                <c:pt idx="33">
                  <c:v>0.68588700000000002</c:v>
                </c:pt>
                <c:pt idx="34">
                  <c:v>0.68624300000000005</c:v>
                </c:pt>
                <c:pt idx="35">
                  <c:v>0.68660200000000005</c:v>
                </c:pt>
                <c:pt idx="36">
                  <c:v>0.68692399999999998</c:v>
                </c:pt>
                <c:pt idx="37">
                  <c:v>0.68729399999999996</c:v>
                </c:pt>
                <c:pt idx="38">
                  <c:v>0.68774000000000002</c:v>
                </c:pt>
                <c:pt idx="39">
                  <c:v>0.68814699999999995</c:v>
                </c:pt>
                <c:pt idx="40">
                  <c:v>0.68849800000000005</c:v>
                </c:pt>
                <c:pt idx="41">
                  <c:v>0.68850699999999998</c:v>
                </c:pt>
                <c:pt idx="42">
                  <c:v>0.688832</c:v>
                </c:pt>
                <c:pt idx="43">
                  <c:v>0.68915099999999996</c:v>
                </c:pt>
                <c:pt idx="44">
                  <c:v>0.68952500000000005</c:v>
                </c:pt>
                <c:pt idx="45">
                  <c:v>0.68983499999999998</c:v>
                </c:pt>
                <c:pt idx="46">
                  <c:v>0.69020400000000004</c:v>
                </c:pt>
                <c:pt idx="47">
                  <c:v>0.69056300000000004</c:v>
                </c:pt>
                <c:pt idx="48">
                  <c:v>0.69093199999999999</c:v>
                </c:pt>
                <c:pt idx="49">
                  <c:v>0.69124699999999994</c:v>
                </c:pt>
                <c:pt idx="50">
                  <c:v>0.691604</c:v>
                </c:pt>
                <c:pt idx="51">
                  <c:v>0.69196599999999997</c:v>
                </c:pt>
                <c:pt idx="52">
                  <c:v>0.69232099999999996</c:v>
                </c:pt>
                <c:pt idx="53">
                  <c:v>0.69277100000000003</c:v>
                </c:pt>
                <c:pt idx="54">
                  <c:v>0.69310300000000002</c:v>
                </c:pt>
                <c:pt idx="55">
                  <c:v>0.69347199999999998</c:v>
                </c:pt>
                <c:pt idx="56">
                  <c:v>0.69384500000000005</c:v>
                </c:pt>
                <c:pt idx="57">
                  <c:v>0.69422700000000004</c:v>
                </c:pt>
                <c:pt idx="58">
                  <c:v>0.69463799999999998</c:v>
                </c:pt>
                <c:pt idx="59">
                  <c:v>0.69502399999999998</c:v>
                </c:pt>
                <c:pt idx="60">
                  <c:v>0.69543200000000005</c:v>
                </c:pt>
                <c:pt idx="61">
                  <c:v>0.69589000000000001</c:v>
                </c:pt>
                <c:pt idx="62">
                  <c:v>0.69632000000000005</c:v>
                </c:pt>
                <c:pt idx="63">
                  <c:v>0.69675100000000001</c:v>
                </c:pt>
                <c:pt idx="64">
                  <c:v>0.69719399999999998</c:v>
                </c:pt>
                <c:pt idx="65" formatCode="0.00E+00">
                  <c:v>0.69721100000000003</c:v>
                </c:pt>
                <c:pt idx="66" formatCode="0.00E+00">
                  <c:v>0.69767599999999996</c:v>
                </c:pt>
                <c:pt idx="67" formatCode="0.00E+00">
                  <c:v>0.69816400000000001</c:v>
                </c:pt>
                <c:pt idx="68" formatCode="0.00E+00">
                  <c:v>0.69870100000000002</c:v>
                </c:pt>
                <c:pt idx="69" formatCode="0.00E+00">
                  <c:v>0.69917899999999999</c:v>
                </c:pt>
                <c:pt idx="70" formatCode="0.00E+00">
                  <c:v>0.69971300000000003</c:v>
                </c:pt>
                <c:pt idx="71" formatCode="0.00E+00">
                  <c:v>0.70020199999999999</c:v>
                </c:pt>
                <c:pt idx="72" formatCode="0.00E+00">
                  <c:v>0.70077500000000004</c:v>
                </c:pt>
                <c:pt idx="73" formatCode="0.00E+00">
                  <c:v>0.70132499999999998</c:v>
                </c:pt>
                <c:pt idx="74" formatCode="0.00E+00">
                  <c:v>0.701936</c:v>
                </c:pt>
                <c:pt idx="75" formatCode="0.00E+00">
                  <c:v>0.70250199999999996</c:v>
                </c:pt>
                <c:pt idx="76" formatCode="0.00E+00">
                  <c:v>0.70313999999999999</c:v>
                </c:pt>
                <c:pt idx="77" formatCode="0.00E+00">
                  <c:v>0.70391899999999996</c:v>
                </c:pt>
                <c:pt idx="78" formatCode="0.00E+00">
                  <c:v>0.70462100000000005</c:v>
                </c:pt>
                <c:pt idx="79" formatCode="0.00E+00">
                  <c:v>0.70529500000000001</c:v>
                </c:pt>
                <c:pt idx="80" formatCode="0.00E+00">
                  <c:v>0.70595699999999995</c:v>
                </c:pt>
                <c:pt idx="81" formatCode="0.00E+00">
                  <c:v>0.706592</c:v>
                </c:pt>
                <c:pt idx="82" formatCode="0.00E+00">
                  <c:v>0.70731900000000003</c:v>
                </c:pt>
                <c:pt idx="83" formatCode="0.00E+00">
                  <c:v>0.70799900000000004</c:v>
                </c:pt>
                <c:pt idx="84" formatCode="0.00E+00">
                  <c:v>0.70877500000000004</c:v>
                </c:pt>
                <c:pt idx="85" formatCode="0.00E+00">
                  <c:v>0.70948100000000003</c:v>
                </c:pt>
                <c:pt idx="86" formatCode="0.00E+00">
                  <c:v>0.71026699999999998</c:v>
                </c:pt>
                <c:pt idx="87" formatCode="0.00E+00">
                  <c:v>0.71104000000000001</c:v>
                </c:pt>
                <c:pt idx="88" formatCode="0.00E+00">
                  <c:v>0.71184800000000004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Hasil!$AG$5</c:f>
              <c:strCache>
                <c:ptCount val="1"/>
                <c:pt idx="0">
                  <c:v>MOX 10%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Hasil!$AA$6:$AA$94</c:f>
              <c:numCache>
                <c:formatCode>General</c:formatCode>
                <c:ptCount val="89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  <c:pt idx="65">
                  <c:v>5.0821355236139629</c:v>
                </c:pt>
                <c:pt idx="66">
                  <c:v>5.1642710472279258</c:v>
                </c:pt>
                <c:pt idx="67">
                  <c:v>5.2464065708418888</c:v>
                </c:pt>
                <c:pt idx="68">
                  <c:v>5.3285420944558526</c:v>
                </c:pt>
                <c:pt idx="69">
                  <c:v>5.4106776180698155</c:v>
                </c:pt>
                <c:pt idx="70">
                  <c:v>5.4928131416837784</c:v>
                </c:pt>
                <c:pt idx="71">
                  <c:v>5.5749486652977414</c:v>
                </c:pt>
                <c:pt idx="72">
                  <c:v>5.6570841889117043</c:v>
                </c:pt>
                <c:pt idx="73">
                  <c:v>5.7392197125256672</c:v>
                </c:pt>
                <c:pt idx="74">
                  <c:v>5.8213552361396301</c:v>
                </c:pt>
                <c:pt idx="75">
                  <c:v>5.9034907597535931</c:v>
                </c:pt>
                <c:pt idx="76">
                  <c:v>6</c:v>
                </c:pt>
                <c:pt idx="77">
                  <c:v>6.0821355236139629</c:v>
                </c:pt>
                <c:pt idx="78">
                  <c:v>6.1642710472279258</c:v>
                </c:pt>
                <c:pt idx="79">
                  <c:v>6.2464065708418888</c:v>
                </c:pt>
                <c:pt idx="80">
                  <c:v>6.3285420944558526</c:v>
                </c:pt>
                <c:pt idx="81">
                  <c:v>6.4106776180698155</c:v>
                </c:pt>
                <c:pt idx="82">
                  <c:v>6.4928131416837784</c:v>
                </c:pt>
                <c:pt idx="83">
                  <c:v>6.5749486652977414</c:v>
                </c:pt>
                <c:pt idx="84">
                  <c:v>6.6570841889117043</c:v>
                </c:pt>
                <c:pt idx="85">
                  <c:v>6.7392197125256672</c:v>
                </c:pt>
                <c:pt idx="86">
                  <c:v>6.8213552361396301</c:v>
                </c:pt>
                <c:pt idx="87">
                  <c:v>6.9034907597535931</c:v>
                </c:pt>
                <c:pt idx="88">
                  <c:v>7</c:v>
                </c:pt>
              </c:numCache>
            </c:numRef>
          </c:xVal>
          <c:yVal>
            <c:numRef>
              <c:f>Hasil!$AG$6:$AG$94</c:f>
              <c:numCache>
                <c:formatCode>0.000000</c:formatCode>
                <c:ptCount val="89"/>
                <c:pt idx="0">
                  <c:v>0.64234199999999997</c:v>
                </c:pt>
                <c:pt idx="1">
                  <c:v>0.64715299999999998</c:v>
                </c:pt>
                <c:pt idx="2">
                  <c:v>0.647227</c:v>
                </c:pt>
                <c:pt idx="3">
                  <c:v>0.64756800000000003</c:v>
                </c:pt>
                <c:pt idx="4">
                  <c:v>0.64799600000000002</c:v>
                </c:pt>
                <c:pt idx="5">
                  <c:v>0.64885599999999999</c:v>
                </c:pt>
                <c:pt idx="6">
                  <c:v>0.64963700000000002</c:v>
                </c:pt>
                <c:pt idx="7">
                  <c:v>0.65152900000000002</c:v>
                </c:pt>
                <c:pt idx="8">
                  <c:v>0.65294600000000003</c:v>
                </c:pt>
                <c:pt idx="9">
                  <c:v>0.65404300000000004</c:v>
                </c:pt>
                <c:pt idx="10">
                  <c:v>0.65492399999999995</c:v>
                </c:pt>
                <c:pt idx="11">
                  <c:v>0.65561899999999995</c:v>
                </c:pt>
                <c:pt idx="12">
                  <c:v>0.65616099999999999</c:v>
                </c:pt>
                <c:pt idx="13">
                  <c:v>0.65658300000000003</c:v>
                </c:pt>
                <c:pt idx="14">
                  <c:v>0.65694399999999997</c:v>
                </c:pt>
                <c:pt idx="15">
                  <c:v>0.65717700000000001</c:v>
                </c:pt>
                <c:pt idx="16">
                  <c:v>0.65741899999999998</c:v>
                </c:pt>
                <c:pt idx="17">
                  <c:v>0.65741700000000003</c:v>
                </c:pt>
                <c:pt idx="18">
                  <c:v>0.657613</c:v>
                </c:pt>
                <c:pt idx="19">
                  <c:v>0.65787399999999996</c:v>
                </c:pt>
                <c:pt idx="20">
                  <c:v>0.65815100000000004</c:v>
                </c:pt>
                <c:pt idx="21">
                  <c:v>0.658474</c:v>
                </c:pt>
                <c:pt idx="22">
                  <c:v>0.65885700000000003</c:v>
                </c:pt>
                <c:pt idx="23">
                  <c:v>0.65926399999999996</c:v>
                </c:pt>
                <c:pt idx="24">
                  <c:v>0.65966800000000003</c:v>
                </c:pt>
                <c:pt idx="25">
                  <c:v>0.66011900000000001</c:v>
                </c:pt>
                <c:pt idx="26">
                  <c:v>0.66054800000000002</c:v>
                </c:pt>
                <c:pt idx="27">
                  <c:v>0.66096100000000002</c:v>
                </c:pt>
                <c:pt idx="28">
                  <c:v>0.66133299999999995</c:v>
                </c:pt>
                <c:pt idx="29">
                  <c:v>0.66181999999999996</c:v>
                </c:pt>
                <c:pt idx="30">
                  <c:v>0.66218900000000003</c:v>
                </c:pt>
                <c:pt idx="31">
                  <c:v>0.66258099999999998</c:v>
                </c:pt>
                <c:pt idx="32">
                  <c:v>0.66300700000000001</c:v>
                </c:pt>
                <c:pt idx="33">
                  <c:v>0.66339700000000001</c:v>
                </c:pt>
                <c:pt idx="34">
                  <c:v>0.66377699999999995</c:v>
                </c:pt>
                <c:pt idx="35">
                  <c:v>0.66416799999999998</c:v>
                </c:pt>
                <c:pt idx="36">
                  <c:v>0.66455500000000001</c:v>
                </c:pt>
                <c:pt idx="37">
                  <c:v>0.66495199999999999</c:v>
                </c:pt>
                <c:pt idx="38">
                  <c:v>0.66540699999999997</c:v>
                </c:pt>
                <c:pt idx="39">
                  <c:v>0.66580700000000004</c:v>
                </c:pt>
                <c:pt idx="40">
                  <c:v>0.66616600000000004</c:v>
                </c:pt>
                <c:pt idx="41">
                  <c:v>0.66617199999999999</c:v>
                </c:pt>
                <c:pt idx="42">
                  <c:v>0.66655500000000001</c:v>
                </c:pt>
                <c:pt idx="43">
                  <c:v>0.66694900000000001</c:v>
                </c:pt>
                <c:pt idx="44">
                  <c:v>0.66735299999999997</c:v>
                </c:pt>
                <c:pt idx="45">
                  <c:v>0.66775099999999998</c:v>
                </c:pt>
                <c:pt idx="46">
                  <c:v>0.66811299999999996</c:v>
                </c:pt>
                <c:pt idx="47">
                  <c:v>0.66848099999999999</c:v>
                </c:pt>
                <c:pt idx="48">
                  <c:v>0.66886800000000002</c:v>
                </c:pt>
                <c:pt idx="49">
                  <c:v>0.66925400000000002</c:v>
                </c:pt>
                <c:pt idx="50">
                  <c:v>0.66964900000000005</c:v>
                </c:pt>
                <c:pt idx="51">
                  <c:v>0.670045</c:v>
                </c:pt>
                <c:pt idx="52">
                  <c:v>0.67042999999999997</c:v>
                </c:pt>
                <c:pt idx="53">
                  <c:v>0.670875</c:v>
                </c:pt>
                <c:pt idx="54">
                  <c:v>0.67129000000000005</c:v>
                </c:pt>
                <c:pt idx="55">
                  <c:v>0.67166199999999998</c:v>
                </c:pt>
                <c:pt idx="56">
                  <c:v>0.67205499999999996</c:v>
                </c:pt>
                <c:pt idx="57">
                  <c:v>0.67247800000000002</c:v>
                </c:pt>
                <c:pt idx="58">
                  <c:v>0.67287200000000003</c:v>
                </c:pt>
                <c:pt idx="59">
                  <c:v>0.673288</c:v>
                </c:pt>
                <c:pt idx="60">
                  <c:v>0.67368899999999998</c:v>
                </c:pt>
                <c:pt idx="61">
                  <c:v>0.67410700000000001</c:v>
                </c:pt>
                <c:pt idx="62">
                  <c:v>0.67453200000000002</c:v>
                </c:pt>
                <c:pt idx="63">
                  <c:v>0.67494900000000002</c:v>
                </c:pt>
                <c:pt idx="64">
                  <c:v>0.675369</c:v>
                </c:pt>
                <c:pt idx="65" formatCode="0.00E+00">
                  <c:v>0.67538100000000001</c:v>
                </c:pt>
                <c:pt idx="66" formatCode="0.00E+00">
                  <c:v>0.67579900000000004</c:v>
                </c:pt>
                <c:pt idx="67" formatCode="0.00E+00">
                  <c:v>0.67626500000000001</c:v>
                </c:pt>
                <c:pt idx="68" formatCode="0.00E+00">
                  <c:v>0.676755</c:v>
                </c:pt>
                <c:pt idx="69" formatCode="0.00E+00">
                  <c:v>0.67722800000000005</c:v>
                </c:pt>
                <c:pt idx="70" formatCode="0.00E+00">
                  <c:v>0.67768099999999998</c:v>
                </c:pt>
                <c:pt idx="71" formatCode="0.00E+00">
                  <c:v>0.67814099999999999</c:v>
                </c:pt>
                <c:pt idx="72" formatCode="0.00E+00">
                  <c:v>0.67863200000000001</c:v>
                </c:pt>
                <c:pt idx="73" formatCode="0.00E+00">
                  <c:v>0.679145</c:v>
                </c:pt>
                <c:pt idx="74" formatCode="0.00E+00">
                  <c:v>0.67966000000000004</c:v>
                </c:pt>
                <c:pt idx="75" formatCode="0.00E+00">
                  <c:v>0.68017499999999997</c:v>
                </c:pt>
                <c:pt idx="76" formatCode="0.00E+00">
                  <c:v>0.68070600000000003</c:v>
                </c:pt>
                <c:pt idx="77" formatCode="0.00E+00">
                  <c:v>0.68134300000000003</c:v>
                </c:pt>
                <c:pt idx="78" formatCode="0.00E+00">
                  <c:v>0.681952</c:v>
                </c:pt>
                <c:pt idx="79" formatCode="0.00E+00">
                  <c:v>0.68254499999999996</c:v>
                </c:pt>
                <c:pt idx="80" formatCode="0.00E+00">
                  <c:v>0.68312200000000001</c:v>
                </c:pt>
                <c:pt idx="81" formatCode="0.00E+00">
                  <c:v>0.68369100000000005</c:v>
                </c:pt>
                <c:pt idx="82" formatCode="0.00E+00">
                  <c:v>0.68422499999999997</c:v>
                </c:pt>
                <c:pt idx="83" formatCode="0.00E+00">
                  <c:v>0.68485200000000002</c:v>
                </c:pt>
                <c:pt idx="84" formatCode="0.00E+00">
                  <c:v>0.68552299999999999</c:v>
                </c:pt>
                <c:pt idx="85" formatCode="0.00E+00">
                  <c:v>0.68607700000000005</c:v>
                </c:pt>
                <c:pt idx="86" formatCode="0.00E+00">
                  <c:v>0.68673399999999996</c:v>
                </c:pt>
                <c:pt idx="87" formatCode="0.00E+00">
                  <c:v>0.687365</c:v>
                </c:pt>
                <c:pt idx="88" formatCode="0.00E+00">
                  <c:v>0.688056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Hasil!$AH$5</c:f>
              <c:strCache>
                <c:ptCount val="1"/>
                <c:pt idx="0">
                  <c:v>MOX 12%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Hasil!$AA$6:$AA$94</c:f>
              <c:numCache>
                <c:formatCode>General</c:formatCode>
                <c:ptCount val="89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  <c:pt idx="65">
                  <c:v>5.0821355236139629</c:v>
                </c:pt>
                <c:pt idx="66">
                  <c:v>5.1642710472279258</c:v>
                </c:pt>
                <c:pt idx="67">
                  <c:v>5.2464065708418888</c:v>
                </c:pt>
                <c:pt idx="68">
                  <c:v>5.3285420944558526</c:v>
                </c:pt>
                <c:pt idx="69">
                  <c:v>5.4106776180698155</c:v>
                </c:pt>
                <c:pt idx="70">
                  <c:v>5.4928131416837784</c:v>
                </c:pt>
                <c:pt idx="71">
                  <c:v>5.5749486652977414</c:v>
                </c:pt>
                <c:pt idx="72">
                  <c:v>5.6570841889117043</c:v>
                </c:pt>
                <c:pt idx="73">
                  <c:v>5.7392197125256672</c:v>
                </c:pt>
                <c:pt idx="74">
                  <c:v>5.8213552361396301</c:v>
                </c:pt>
                <c:pt idx="75">
                  <c:v>5.9034907597535931</c:v>
                </c:pt>
                <c:pt idx="76">
                  <c:v>6</c:v>
                </c:pt>
                <c:pt idx="77">
                  <c:v>6.0821355236139629</c:v>
                </c:pt>
                <c:pt idx="78">
                  <c:v>6.1642710472279258</c:v>
                </c:pt>
                <c:pt idx="79">
                  <c:v>6.2464065708418888</c:v>
                </c:pt>
                <c:pt idx="80">
                  <c:v>6.3285420944558526</c:v>
                </c:pt>
                <c:pt idx="81">
                  <c:v>6.4106776180698155</c:v>
                </c:pt>
                <c:pt idx="82">
                  <c:v>6.4928131416837784</c:v>
                </c:pt>
                <c:pt idx="83">
                  <c:v>6.5749486652977414</c:v>
                </c:pt>
                <c:pt idx="84">
                  <c:v>6.6570841889117043</c:v>
                </c:pt>
                <c:pt idx="85">
                  <c:v>6.7392197125256672</c:v>
                </c:pt>
                <c:pt idx="86">
                  <c:v>6.8213552361396301</c:v>
                </c:pt>
                <c:pt idx="87">
                  <c:v>6.9034907597535931</c:v>
                </c:pt>
                <c:pt idx="88">
                  <c:v>7</c:v>
                </c:pt>
              </c:numCache>
            </c:numRef>
          </c:xVal>
          <c:yVal>
            <c:numRef>
              <c:f>Hasil!$AH$6:$AH$94</c:f>
              <c:numCache>
                <c:formatCode>0.000000</c:formatCode>
                <c:ptCount val="89"/>
                <c:pt idx="0">
                  <c:v>0.622004</c:v>
                </c:pt>
                <c:pt idx="1">
                  <c:v>0.62578400000000001</c:v>
                </c:pt>
                <c:pt idx="2">
                  <c:v>0.62583999999999995</c:v>
                </c:pt>
                <c:pt idx="3">
                  <c:v>0.62611899999999998</c:v>
                </c:pt>
                <c:pt idx="4">
                  <c:v>0.62646999999999997</c:v>
                </c:pt>
                <c:pt idx="5">
                  <c:v>0.62717800000000001</c:v>
                </c:pt>
                <c:pt idx="6">
                  <c:v>0.62783299999999997</c:v>
                </c:pt>
                <c:pt idx="7">
                  <c:v>0.62948499999999996</c:v>
                </c:pt>
                <c:pt idx="8">
                  <c:v>0.63078100000000004</c:v>
                </c:pt>
                <c:pt idx="9">
                  <c:v>0.63183</c:v>
                </c:pt>
                <c:pt idx="10">
                  <c:v>0.63271200000000005</c:v>
                </c:pt>
                <c:pt idx="11">
                  <c:v>0.63344900000000004</c:v>
                </c:pt>
                <c:pt idx="12">
                  <c:v>0.63407599999999997</c:v>
                </c:pt>
                <c:pt idx="13">
                  <c:v>0.63461999999999996</c:v>
                </c:pt>
                <c:pt idx="14">
                  <c:v>0.6351</c:v>
                </c:pt>
                <c:pt idx="15">
                  <c:v>0.63549299999999997</c:v>
                </c:pt>
                <c:pt idx="16">
                  <c:v>0.63588199999999995</c:v>
                </c:pt>
                <c:pt idx="17">
                  <c:v>0.63588</c:v>
                </c:pt>
                <c:pt idx="18">
                  <c:v>0.63619199999999998</c:v>
                </c:pt>
                <c:pt idx="19">
                  <c:v>0.63653000000000004</c:v>
                </c:pt>
                <c:pt idx="20">
                  <c:v>0.63685599999999998</c:v>
                </c:pt>
                <c:pt idx="21">
                  <c:v>0.63722699999999999</c:v>
                </c:pt>
                <c:pt idx="22">
                  <c:v>0.63762600000000003</c:v>
                </c:pt>
                <c:pt idx="23">
                  <c:v>0.63803900000000002</c:v>
                </c:pt>
                <c:pt idx="24">
                  <c:v>0.63846000000000003</c:v>
                </c:pt>
                <c:pt idx="25">
                  <c:v>0.63893</c:v>
                </c:pt>
                <c:pt idx="26">
                  <c:v>0.63940799999999998</c:v>
                </c:pt>
                <c:pt idx="27">
                  <c:v>0.63985300000000001</c:v>
                </c:pt>
                <c:pt idx="28">
                  <c:v>0.640262</c:v>
                </c:pt>
                <c:pt idx="29">
                  <c:v>0.64077700000000004</c:v>
                </c:pt>
                <c:pt idx="30">
                  <c:v>0.64120999999999995</c:v>
                </c:pt>
                <c:pt idx="31">
                  <c:v>0.64162399999999997</c:v>
                </c:pt>
                <c:pt idx="32">
                  <c:v>0.64205800000000002</c:v>
                </c:pt>
                <c:pt idx="33">
                  <c:v>0.64246599999999998</c:v>
                </c:pt>
                <c:pt idx="34">
                  <c:v>0.64288400000000001</c:v>
                </c:pt>
                <c:pt idx="35">
                  <c:v>0.64332199999999995</c:v>
                </c:pt>
                <c:pt idx="36">
                  <c:v>0.643733</c:v>
                </c:pt>
                <c:pt idx="37">
                  <c:v>0.64415699999999998</c:v>
                </c:pt>
                <c:pt idx="38">
                  <c:v>0.64461599999999997</c:v>
                </c:pt>
                <c:pt idx="39">
                  <c:v>0.64503200000000005</c:v>
                </c:pt>
                <c:pt idx="40">
                  <c:v>0.64545399999999997</c:v>
                </c:pt>
                <c:pt idx="41">
                  <c:v>0.645459</c:v>
                </c:pt>
                <c:pt idx="42">
                  <c:v>0.64589099999999999</c:v>
                </c:pt>
                <c:pt idx="43">
                  <c:v>0.64632900000000004</c:v>
                </c:pt>
                <c:pt idx="44">
                  <c:v>0.64676100000000003</c:v>
                </c:pt>
                <c:pt idx="45">
                  <c:v>0.64717000000000002</c:v>
                </c:pt>
                <c:pt idx="46">
                  <c:v>0.64757399999999998</c:v>
                </c:pt>
                <c:pt idx="47">
                  <c:v>0.64796500000000001</c:v>
                </c:pt>
                <c:pt idx="48">
                  <c:v>0.64838399999999996</c:v>
                </c:pt>
                <c:pt idx="49">
                  <c:v>0.64881299999999997</c:v>
                </c:pt>
                <c:pt idx="50">
                  <c:v>0.64922500000000005</c:v>
                </c:pt>
                <c:pt idx="51">
                  <c:v>0.64964900000000003</c:v>
                </c:pt>
                <c:pt idx="52">
                  <c:v>0.65006699999999995</c:v>
                </c:pt>
                <c:pt idx="53">
                  <c:v>0.65056899999999995</c:v>
                </c:pt>
                <c:pt idx="54">
                  <c:v>0.65094399999999997</c:v>
                </c:pt>
                <c:pt idx="55">
                  <c:v>0.65140799999999999</c:v>
                </c:pt>
                <c:pt idx="56">
                  <c:v>0.65181699999999998</c:v>
                </c:pt>
                <c:pt idx="57">
                  <c:v>0.65226300000000004</c:v>
                </c:pt>
                <c:pt idx="58">
                  <c:v>0.65268300000000001</c:v>
                </c:pt>
                <c:pt idx="59">
                  <c:v>0.65306699999999995</c:v>
                </c:pt>
                <c:pt idx="60">
                  <c:v>0.65353700000000003</c:v>
                </c:pt>
                <c:pt idx="61">
                  <c:v>0.65395599999999998</c:v>
                </c:pt>
                <c:pt idx="62">
                  <c:v>0.65441099999999996</c:v>
                </c:pt>
                <c:pt idx="63">
                  <c:v>0.65478099999999995</c:v>
                </c:pt>
                <c:pt idx="64">
                  <c:v>0.65527599999999997</c:v>
                </c:pt>
                <c:pt idx="65" formatCode="0.00E+00">
                  <c:v>0.65526899999999999</c:v>
                </c:pt>
                <c:pt idx="66" formatCode="0.00E+00">
                  <c:v>0.65568800000000005</c:v>
                </c:pt>
                <c:pt idx="67" formatCode="0.00E+00">
                  <c:v>0.65616300000000005</c:v>
                </c:pt>
                <c:pt idx="68" formatCode="0.00E+00">
                  <c:v>0.65662799999999999</c:v>
                </c:pt>
                <c:pt idx="69" formatCode="0.00E+00">
                  <c:v>0.65709200000000001</c:v>
                </c:pt>
                <c:pt idx="70" formatCode="0.00E+00">
                  <c:v>0.65754199999999996</c:v>
                </c:pt>
                <c:pt idx="71" formatCode="0.00E+00">
                  <c:v>0.65800599999999998</c:v>
                </c:pt>
                <c:pt idx="72" formatCode="0.00E+00">
                  <c:v>0.65846800000000005</c:v>
                </c:pt>
                <c:pt idx="73" formatCode="0.00E+00">
                  <c:v>0.65894799999999998</c:v>
                </c:pt>
                <c:pt idx="74" formatCode="0.00E+00">
                  <c:v>0.65940299999999996</c:v>
                </c:pt>
                <c:pt idx="75" formatCode="0.00E+00">
                  <c:v>0.659941</c:v>
                </c:pt>
                <c:pt idx="76" formatCode="0.00E+00">
                  <c:v>0.66041899999999998</c:v>
                </c:pt>
                <c:pt idx="77" formatCode="0.00E+00">
                  <c:v>0.66101699999999997</c:v>
                </c:pt>
                <c:pt idx="78" formatCode="0.00E+00">
                  <c:v>0.66156300000000001</c:v>
                </c:pt>
                <c:pt idx="79" formatCode="0.00E+00">
                  <c:v>0.66206100000000001</c:v>
                </c:pt>
                <c:pt idx="80" formatCode="0.00E+00">
                  <c:v>0.66266199999999997</c:v>
                </c:pt>
                <c:pt idx="81" formatCode="0.00E+00">
                  <c:v>0.66317499999999996</c:v>
                </c:pt>
                <c:pt idx="82" formatCode="0.00E+00">
                  <c:v>0.66366800000000004</c:v>
                </c:pt>
                <c:pt idx="83" formatCode="0.00E+00">
                  <c:v>0.66428900000000002</c:v>
                </c:pt>
                <c:pt idx="84" formatCode="0.00E+00">
                  <c:v>0.664798</c:v>
                </c:pt>
                <c:pt idx="85" formatCode="0.00E+00">
                  <c:v>0.66542900000000005</c:v>
                </c:pt>
                <c:pt idx="86" formatCode="0.00E+00">
                  <c:v>0.66598800000000002</c:v>
                </c:pt>
                <c:pt idx="87" formatCode="0.00E+00">
                  <c:v>0.66657200000000005</c:v>
                </c:pt>
                <c:pt idx="88" formatCode="0.00E+00">
                  <c:v>0.66716600000000004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Hasil!$AI$5</c:f>
              <c:strCache>
                <c:ptCount val="1"/>
                <c:pt idx="0">
                  <c:v>MOX 14%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Hasil!$AA$6:$AA$94</c:f>
              <c:numCache>
                <c:formatCode>General</c:formatCode>
                <c:ptCount val="89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  <c:pt idx="65">
                  <c:v>5.0821355236139629</c:v>
                </c:pt>
                <c:pt idx="66">
                  <c:v>5.1642710472279258</c:v>
                </c:pt>
                <c:pt idx="67">
                  <c:v>5.2464065708418888</c:v>
                </c:pt>
                <c:pt idx="68">
                  <c:v>5.3285420944558526</c:v>
                </c:pt>
                <c:pt idx="69">
                  <c:v>5.4106776180698155</c:v>
                </c:pt>
                <c:pt idx="70">
                  <c:v>5.4928131416837784</c:v>
                </c:pt>
                <c:pt idx="71">
                  <c:v>5.5749486652977414</c:v>
                </c:pt>
                <c:pt idx="72">
                  <c:v>5.6570841889117043</c:v>
                </c:pt>
                <c:pt idx="73">
                  <c:v>5.7392197125256672</c:v>
                </c:pt>
                <c:pt idx="74">
                  <c:v>5.8213552361396301</c:v>
                </c:pt>
                <c:pt idx="75">
                  <c:v>5.9034907597535931</c:v>
                </c:pt>
                <c:pt idx="76">
                  <c:v>6</c:v>
                </c:pt>
                <c:pt idx="77">
                  <c:v>6.0821355236139629</c:v>
                </c:pt>
                <c:pt idx="78">
                  <c:v>6.1642710472279258</c:v>
                </c:pt>
                <c:pt idx="79">
                  <c:v>6.2464065708418888</c:v>
                </c:pt>
                <c:pt idx="80">
                  <c:v>6.3285420944558526</c:v>
                </c:pt>
                <c:pt idx="81">
                  <c:v>6.4106776180698155</c:v>
                </c:pt>
                <c:pt idx="82">
                  <c:v>6.4928131416837784</c:v>
                </c:pt>
                <c:pt idx="83">
                  <c:v>6.5749486652977414</c:v>
                </c:pt>
                <c:pt idx="84">
                  <c:v>6.6570841889117043</c:v>
                </c:pt>
                <c:pt idx="85">
                  <c:v>6.7392197125256672</c:v>
                </c:pt>
                <c:pt idx="86">
                  <c:v>6.8213552361396301</c:v>
                </c:pt>
                <c:pt idx="87">
                  <c:v>6.9034907597535931</c:v>
                </c:pt>
                <c:pt idx="88">
                  <c:v>7</c:v>
                </c:pt>
              </c:numCache>
            </c:numRef>
          </c:xVal>
          <c:yVal>
            <c:numRef>
              <c:f>Hasil!$AI$6:$AI$94</c:f>
              <c:numCache>
                <c:formatCode>0.000000</c:formatCode>
                <c:ptCount val="89"/>
                <c:pt idx="0">
                  <c:v>0.60233599999999998</c:v>
                </c:pt>
                <c:pt idx="1">
                  <c:v>0.60535099999999997</c:v>
                </c:pt>
                <c:pt idx="2">
                  <c:v>0.60539500000000002</c:v>
                </c:pt>
                <c:pt idx="3">
                  <c:v>0.60563199999999995</c:v>
                </c:pt>
                <c:pt idx="4">
                  <c:v>0.60593300000000005</c:v>
                </c:pt>
                <c:pt idx="5">
                  <c:v>0.60653299999999999</c:v>
                </c:pt>
                <c:pt idx="6">
                  <c:v>0.60709900000000006</c:v>
                </c:pt>
                <c:pt idx="7">
                  <c:v>0.608568</c:v>
                </c:pt>
                <c:pt idx="8">
                  <c:v>0.60977300000000001</c:v>
                </c:pt>
                <c:pt idx="9">
                  <c:v>0.61078200000000005</c:v>
                </c:pt>
                <c:pt idx="10">
                  <c:v>0.61165700000000001</c:v>
                </c:pt>
                <c:pt idx="11">
                  <c:v>0.612429</c:v>
                </c:pt>
                <c:pt idx="12">
                  <c:v>0.61310799999999999</c:v>
                </c:pt>
                <c:pt idx="13">
                  <c:v>0.61373</c:v>
                </c:pt>
                <c:pt idx="14">
                  <c:v>0.614286</c:v>
                </c:pt>
                <c:pt idx="15">
                  <c:v>0.61478600000000005</c:v>
                </c:pt>
                <c:pt idx="16">
                  <c:v>0.61526800000000004</c:v>
                </c:pt>
                <c:pt idx="17">
                  <c:v>0.61526599999999998</c:v>
                </c:pt>
                <c:pt idx="18">
                  <c:v>0.61568699999999998</c:v>
                </c:pt>
                <c:pt idx="19">
                  <c:v>0.616116</c:v>
                </c:pt>
                <c:pt idx="20">
                  <c:v>0.61651299999999998</c:v>
                </c:pt>
                <c:pt idx="21">
                  <c:v>0.61693799999999999</c:v>
                </c:pt>
                <c:pt idx="22">
                  <c:v>0.61736000000000002</c:v>
                </c:pt>
                <c:pt idx="23">
                  <c:v>0.61779600000000001</c:v>
                </c:pt>
                <c:pt idx="24">
                  <c:v>0.61824599999999996</c:v>
                </c:pt>
                <c:pt idx="25">
                  <c:v>0.61872700000000003</c:v>
                </c:pt>
                <c:pt idx="26">
                  <c:v>0.61923099999999998</c:v>
                </c:pt>
                <c:pt idx="27">
                  <c:v>0.61970199999999998</c:v>
                </c:pt>
                <c:pt idx="28">
                  <c:v>0.62015600000000004</c:v>
                </c:pt>
                <c:pt idx="29">
                  <c:v>0.620699</c:v>
                </c:pt>
                <c:pt idx="30">
                  <c:v>0.621174</c:v>
                </c:pt>
                <c:pt idx="31">
                  <c:v>0.62163299999999999</c:v>
                </c:pt>
                <c:pt idx="32">
                  <c:v>0.62208799999999997</c:v>
                </c:pt>
                <c:pt idx="33">
                  <c:v>0.62252300000000005</c:v>
                </c:pt>
                <c:pt idx="34">
                  <c:v>0.62298600000000004</c:v>
                </c:pt>
                <c:pt idx="35">
                  <c:v>0.62344100000000002</c:v>
                </c:pt>
                <c:pt idx="36">
                  <c:v>0.62387999999999999</c:v>
                </c:pt>
                <c:pt idx="37">
                  <c:v>0.62432200000000004</c:v>
                </c:pt>
                <c:pt idx="38">
                  <c:v>0.62479700000000005</c:v>
                </c:pt>
                <c:pt idx="39">
                  <c:v>0.62525200000000003</c:v>
                </c:pt>
                <c:pt idx="40">
                  <c:v>0.62569799999999998</c:v>
                </c:pt>
                <c:pt idx="41">
                  <c:v>0.62570099999999995</c:v>
                </c:pt>
                <c:pt idx="42">
                  <c:v>0.62617999999999996</c:v>
                </c:pt>
                <c:pt idx="43">
                  <c:v>0.62663899999999995</c:v>
                </c:pt>
                <c:pt idx="44">
                  <c:v>0.627081</c:v>
                </c:pt>
                <c:pt idx="45">
                  <c:v>0.62752200000000002</c:v>
                </c:pt>
                <c:pt idx="46">
                  <c:v>0.62795699999999999</c:v>
                </c:pt>
                <c:pt idx="47">
                  <c:v>0.62839</c:v>
                </c:pt>
                <c:pt idx="48">
                  <c:v>0.62883199999999995</c:v>
                </c:pt>
                <c:pt idx="49">
                  <c:v>0.62928300000000004</c:v>
                </c:pt>
                <c:pt idx="50">
                  <c:v>0.62971100000000002</c:v>
                </c:pt>
                <c:pt idx="51">
                  <c:v>0.63017400000000001</c:v>
                </c:pt>
                <c:pt idx="52">
                  <c:v>0.63061500000000004</c:v>
                </c:pt>
                <c:pt idx="53">
                  <c:v>0.63114000000000003</c:v>
                </c:pt>
                <c:pt idx="54">
                  <c:v>0.63158099999999995</c:v>
                </c:pt>
                <c:pt idx="55">
                  <c:v>0.63201700000000005</c:v>
                </c:pt>
                <c:pt idx="56">
                  <c:v>0.63248000000000004</c:v>
                </c:pt>
                <c:pt idx="57">
                  <c:v>0.63293299999999997</c:v>
                </c:pt>
                <c:pt idx="58">
                  <c:v>0.633378</c:v>
                </c:pt>
                <c:pt idx="59">
                  <c:v>0.63382000000000005</c:v>
                </c:pt>
                <c:pt idx="60">
                  <c:v>0.63421799999999995</c:v>
                </c:pt>
                <c:pt idx="61">
                  <c:v>0.634718</c:v>
                </c:pt>
                <c:pt idx="62">
                  <c:v>0.63517400000000002</c:v>
                </c:pt>
                <c:pt idx="63">
                  <c:v>0.63562399999999997</c:v>
                </c:pt>
                <c:pt idx="64">
                  <c:v>0.63606799999999997</c:v>
                </c:pt>
                <c:pt idx="65" formatCode="0.00E+00">
                  <c:v>0.63607599999999997</c:v>
                </c:pt>
                <c:pt idx="66" formatCode="0.00E+00">
                  <c:v>0.63650200000000001</c:v>
                </c:pt>
                <c:pt idx="67" formatCode="0.00E+00">
                  <c:v>0.63698399999999999</c:v>
                </c:pt>
                <c:pt idx="68" formatCode="0.00E+00">
                  <c:v>0.637459</c:v>
                </c:pt>
                <c:pt idx="69" formatCode="0.00E+00">
                  <c:v>0.637934</c:v>
                </c:pt>
                <c:pt idx="70" formatCode="0.00E+00">
                  <c:v>0.63839699999999999</c:v>
                </c:pt>
                <c:pt idx="71" formatCode="0.00E+00">
                  <c:v>0.63883599999999996</c:v>
                </c:pt>
                <c:pt idx="72" formatCode="0.00E+00">
                  <c:v>0.63929000000000002</c:v>
                </c:pt>
                <c:pt idx="73" formatCode="0.00E+00">
                  <c:v>0.63976900000000003</c:v>
                </c:pt>
                <c:pt idx="74" formatCode="0.00E+00">
                  <c:v>0.64029499999999995</c:v>
                </c:pt>
                <c:pt idx="75" formatCode="0.00E+00">
                  <c:v>0.64076200000000005</c:v>
                </c:pt>
                <c:pt idx="76" formatCode="0.00E+00">
                  <c:v>0.64124199999999998</c:v>
                </c:pt>
                <c:pt idx="77" formatCode="0.00E+00">
                  <c:v>0.64177399999999996</c:v>
                </c:pt>
                <c:pt idx="78" formatCode="0.00E+00">
                  <c:v>0.64235500000000001</c:v>
                </c:pt>
                <c:pt idx="79" formatCode="0.00E+00">
                  <c:v>0.642818</c:v>
                </c:pt>
                <c:pt idx="80" formatCode="0.00E+00">
                  <c:v>0.64336199999999999</c:v>
                </c:pt>
                <c:pt idx="81" formatCode="0.00E+00">
                  <c:v>0.64391699999999996</c:v>
                </c:pt>
                <c:pt idx="82" formatCode="0.00E+00">
                  <c:v>0.644374</c:v>
                </c:pt>
                <c:pt idx="83" formatCode="0.00E+00">
                  <c:v>0.64492300000000002</c:v>
                </c:pt>
                <c:pt idx="84" formatCode="0.00E+00">
                  <c:v>0.64550399999999997</c:v>
                </c:pt>
                <c:pt idx="85" formatCode="0.00E+00">
                  <c:v>0.64599700000000004</c:v>
                </c:pt>
                <c:pt idx="86" formatCode="0.00E+00">
                  <c:v>0.64659299999999997</c:v>
                </c:pt>
                <c:pt idx="87" formatCode="0.00E+00">
                  <c:v>0.64712199999999998</c:v>
                </c:pt>
                <c:pt idx="88" formatCode="0.00E+00">
                  <c:v>0.64768400000000004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Hasil!$AJ$5</c:f>
              <c:strCache>
                <c:ptCount val="1"/>
                <c:pt idx="0">
                  <c:v>MOX 16%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Hasil!$AA$6:$AA$94</c:f>
              <c:numCache>
                <c:formatCode>General</c:formatCode>
                <c:ptCount val="89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  <c:pt idx="65">
                  <c:v>5.0821355236139629</c:v>
                </c:pt>
                <c:pt idx="66">
                  <c:v>5.1642710472279258</c:v>
                </c:pt>
                <c:pt idx="67">
                  <c:v>5.2464065708418888</c:v>
                </c:pt>
                <c:pt idx="68">
                  <c:v>5.3285420944558526</c:v>
                </c:pt>
                <c:pt idx="69">
                  <c:v>5.4106776180698155</c:v>
                </c:pt>
                <c:pt idx="70">
                  <c:v>5.4928131416837784</c:v>
                </c:pt>
                <c:pt idx="71">
                  <c:v>5.5749486652977414</c:v>
                </c:pt>
                <c:pt idx="72">
                  <c:v>5.6570841889117043</c:v>
                </c:pt>
                <c:pt idx="73">
                  <c:v>5.7392197125256672</c:v>
                </c:pt>
                <c:pt idx="74">
                  <c:v>5.8213552361396301</c:v>
                </c:pt>
                <c:pt idx="75">
                  <c:v>5.9034907597535931</c:v>
                </c:pt>
                <c:pt idx="76">
                  <c:v>6</c:v>
                </c:pt>
                <c:pt idx="77">
                  <c:v>6.0821355236139629</c:v>
                </c:pt>
                <c:pt idx="78">
                  <c:v>6.1642710472279258</c:v>
                </c:pt>
                <c:pt idx="79">
                  <c:v>6.2464065708418888</c:v>
                </c:pt>
                <c:pt idx="80">
                  <c:v>6.3285420944558526</c:v>
                </c:pt>
                <c:pt idx="81">
                  <c:v>6.4106776180698155</c:v>
                </c:pt>
                <c:pt idx="82">
                  <c:v>6.4928131416837784</c:v>
                </c:pt>
                <c:pt idx="83">
                  <c:v>6.5749486652977414</c:v>
                </c:pt>
                <c:pt idx="84">
                  <c:v>6.6570841889117043</c:v>
                </c:pt>
                <c:pt idx="85">
                  <c:v>6.7392197125256672</c:v>
                </c:pt>
                <c:pt idx="86">
                  <c:v>6.8213552361396301</c:v>
                </c:pt>
                <c:pt idx="87">
                  <c:v>6.9034907597535931</c:v>
                </c:pt>
                <c:pt idx="88">
                  <c:v>7</c:v>
                </c:pt>
              </c:numCache>
            </c:numRef>
          </c:xVal>
          <c:yVal>
            <c:numRef>
              <c:f>Hasil!$AJ$6:$AJ$94</c:f>
              <c:numCache>
                <c:formatCode>0.000000</c:formatCode>
                <c:ptCount val="89"/>
                <c:pt idx="0">
                  <c:v>0.58335700000000001</c:v>
                </c:pt>
                <c:pt idx="1">
                  <c:v>0.58579700000000001</c:v>
                </c:pt>
                <c:pt idx="2">
                  <c:v>0.58583799999999997</c:v>
                </c:pt>
                <c:pt idx="3">
                  <c:v>0.58604599999999996</c:v>
                </c:pt>
                <c:pt idx="4">
                  <c:v>0.58630499999999997</c:v>
                </c:pt>
                <c:pt idx="5">
                  <c:v>0.58683099999999999</c:v>
                </c:pt>
                <c:pt idx="6">
                  <c:v>0.58733100000000005</c:v>
                </c:pt>
                <c:pt idx="7">
                  <c:v>0.58865900000000004</c:v>
                </c:pt>
                <c:pt idx="8">
                  <c:v>0.589785</c:v>
                </c:pt>
                <c:pt idx="9">
                  <c:v>0.59075900000000003</c:v>
                </c:pt>
                <c:pt idx="10">
                  <c:v>0.59162199999999998</c:v>
                </c:pt>
                <c:pt idx="11">
                  <c:v>0.59240899999999996</c:v>
                </c:pt>
                <c:pt idx="12">
                  <c:v>0.59311800000000003</c:v>
                </c:pt>
                <c:pt idx="13">
                  <c:v>0.59378299999999995</c:v>
                </c:pt>
                <c:pt idx="14">
                  <c:v>0.594391</c:v>
                </c:pt>
                <c:pt idx="15">
                  <c:v>0.59496000000000004</c:v>
                </c:pt>
                <c:pt idx="16">
                  <c:v>0.59550700000000001</c:v>
                </c:pt>
                <c:pt idx="17">
                  <c:v>0.59550700000000001</c:v>
                </c:pt>
                <c:pt idx="18">
                  <c:v>0.59600699999999995</c:v>
                </c:pt>
                <c:pt idx="19">
                  <c:v>0.59650199999999998</c:v>
                </c:pt>
                <c:pt idx="20">
                  <c:v>0.59696800000000005</c:v>
                </c:pt>
                <c:pt idx="21">
                  <c:v>0.597445</c:v>
                </c:pt>
                <c:pt idx="22">
                  <c:v>0.59790699999999997</c:v>
                </c:pt>
                <c:pt idx="23">
                  <c:v>0.59837700000000005</c:v>
                </c:pt>
                <c:pt idx="24">
                  <c:v>0.59884899999999996</c:v>
                </c:pt>
                <c:pt idx="25">
                  <c:v>0.59934500000000002</c:v>
                </c:pt>
                <c:pt idx="26">
                  <c:v>0.59986200000000001</c:v>
                </c:pt>
                <c:pt idx="27">
                  <c:v>0.60035799999999995</c:v>
                </c:pt>
                <c:pt idx="28">
                  <c:v>0.60083699999999995</c:v>
                </c:pt>
                <c:pt idx="29">
                  <c:v>0.60140499999999997</c:v>
                </c:pt>
                <c:pt idx="30">
                  <c:v>0.601908</c:v>
                </c:pt>
                <c:pt idx="31">
                  <c:v>0.60240199999999999</c:v>
                </c:pt>
                <c:pt idx="32">
                  <c:v>0.602877</c:v>
                </c:pt>
                <c:pt idx="33">
                  <c:v>0.60335000000000005</c:v>
                </c:pt>
                <c:pt idx="34">
                  <c:v>0.60383699999999996</c:v>
                </c:pt>
                <c:pt idx="35">
                  <c:v>0.604321</c:v>
                </c:pt>
                <c:pt idx="36">
                  <c:v>0.60478299999999996</c:v>
                </c:pt>
                <c:pt idx="37">
                  <c:v>0.60525399999999996</c:v>
                </c:pt>
                <c:pt idx="38">
                  <c:v>0.60573299999999997</c:v>
                </c:pt>
                <c:pt idx="39">
                  <c:v>0.60622299999999996</c:v>
                </c:pt>
                <c:pt idx="40">
                  <c:v>0.60669799999999996</c:v>
                </c:pt>
                <c:pt idx="41">
                  <c:v>0.60670000000000002</c:v>
                </c:pt>
                <c:pt idx="42">
                  <c:v>0.60718799999999995</c:v>
                </c:pt>
                <c:pt idx="43">
                  <c:v>0.60767099999999996</c:v>
                </c:pt>
                <c:pt idx="44">
                  <c:v>0.60813099999999998</c:v>
                </c:pt>
                <c:pt idx="45">
                  <c:v>0.60860099999999995</c:v>
                </c:pt>
                <c:pt idx="46">
                  <c:v>0.60905600000000004</c:v>
                </c:pt>
                <c:pt idx="47">
                  <c:v>0.60952600000000001</c:v>
                </c:pt>
                <c:pt idx="48">
                  <c:v>0.60998699999999995</c:v>
                </c:pt>
                <c:pt idx="49">
                  <c:v>0.610456</c:v>
                </c:pt>
                <c:pt idx="50">
                  <c:v>0.61091300000000004</c:v>
                </c:pt>
                <c:pt idx="51">
                  <c:v>0.61138199999999998</c:v>
                </c:pt>
                <c:pt idx="52">
                  <c:v>0.611842</c:v>
                </c:pt>
                <c:pt idx="53">
                  <c:v>0.61239500000000002</c:v>
                </c:pt>
                <c:pt idx="54">
                  <c:v>0.612869</c:v>
                </c:pt>
                <c:pt idx="55">
                  <c:v>0.61334100000000003</c:v>
                </c:pt>
                <c:pt idx="56">
                  <c:v>0.61380599999999996</c:v>
                </c:pt>
                <c:pt idx="57">
                  <c:v>0.61427699999999996</c:v>
                </c:pt>
                <c:pt idx="58">
                  <c:v>0.61474600000000001</c:v>
                </c:pt>
                <c:pt idx="59">
                  <c:v>0.61519500000000005</c:v>
                </c:pt>
                <c:pt idx="60">
                  <c:v>0.61566100000000001</c:v>
                </c:pt>
                <c:pt idx="61">
                  <c:v>0.61614000000000002</c:v>
                </c:pt>
                <c:pt idx="62">
                  <c:v>0.61656999999999995</c:v>
                </c:pt>
                <c:pt idx="63">
                  <c:v>0.61706700000000003</c:v>
                </c:pt>
                <c:pt idx="64">
                  <c:v>0.61753000000000002</c:v>
                </c:pt>
                <c:pt idx="65" formatCode="0.00E+00">
                  <c:v>0.61753400000000003</c:v>
                </c:pt>
                <c:pt idx="66" formatCode="0.00E+00">
                  <c:v>0.61794700000000002</c:v>
                </c:pt>
                <c:pt idx="67" formatCode="0.00E+00">
                  <c:v>0.61847300000000005</c:v>
                </c:pt>
                <c:pt idx="68" formatCode="0.00E+00">
                  <c:v>0.61896899999999999</c:v>
                </c:pt>
                <c:pt idx="69" formatCode="0.00E+00">
                  <c:v>0.61945099999999997</c:v>
                </c:pt>
                <c:pt idx="70" formatCode="0.00E+00">
                  <c:v>0.61987700000000001</c:v>
                </c:pt>
                <c:pt idx="71" formatCode="0.00E+00">
                  <c:v>0.62036400000000003</c:v>
                </c:pt>
                <c:pt idx="72" formatCode="0.00E+00">
                  <c:v>0.62088500000000002</c:v>
                </c:pt>
                <c:pt idx="73" formatCode="0.00E+00">
                  <c:v>0.62135200000000002</c:v>
                </c:pt>
                <c:pt idx="74" formatCode="0.00E+00">
                  <c:v>0.62183699999999997</c:v>
                </c:pt>
                <c:pt idx="75" formatCode="0.00E+00">
                  <c:v>0.62228000000000006</c:v>
                </c:pt>
                <c:pt idx="76" formatCode="0.00E+00">
                  <c:v>0.62279200000000001</c:v>
                </c:pt>
                <c:pt idx="77" formatCode="0.00E+00">
                  <c:v>0.62333000000000005</c:v>
                </c:pt>
                <c:pt idx="78" formatCode="0.00E+00">
                  <c:v>0.62385699999999999</c:v>
                </c:pt>
                <c:pt idx="79" formatCode="0.00E+00">
                  <c:v>0.624413</c:v>
                </c:pt>
                <c:pt idx="80" formatCode="0.00E+00">
                  <c:v>0.62488699999999997</c:v>
                </c:pt>
                <c:pt idx="81" formatCode="0.00E+00">
                  <c:v>0.62539299999999998</c:v>
                </c:pt>
                <c:pt idx="82" formatCode="0.00E+00">
                  <c:v>0.62590299999999999</c:v>
                </c:pt>
                <c:pt idx="83" formatCode="0.00E+00">
                  <c:v>0.62642600000000004</c:v>
                </c:pt>
                <c:pt idx="84" formatCode="0.00E+00">
                  <c:v>0.62696499999999999</c:v>
                </c:pt>
                <c:pt idx="85" formatCode="0.00E+00">
                  <c:v>0.62748599999999999</c:v>
                </c:pt>
                <c:pt idx="86" formatCode="0.00E+00">
                  <c:v>0.62798799999999999</c:v>
                </c:pt>
                <c:pt idx="87" formatCode="0.00E+00">
                  <c:v>0.62851900000000005</c:v>
                </c:pt>
                <c:pt idx="88" formatCode="0.00E+00">
                  <c:v>0.62905800000000001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Hasil!$AK$5</c:f>
              <c:strCache>
                <c:ptCount val="1"/>
                <c:pt idx="0">
                  <c:v>MOX 18%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Hasil!$AA$6:$AA$94</c:f>
              <c:numCache>
                <c:formatCode>General</c:formatCode>
                <c:ptCount val="89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  <c:pt idx="65">
                  <c:v>5.0821355236139629</c:v>
                </c:pt>
                <c:pt idx="66">
                  <c:v>5.1642710472279258</c:v>
                </c:pt>
                <c:pt idx="67">
                  <c:v>5.2464065708418888</c:v>
                </c:pt>
                <c:pt idx="68">
                  <c:v>5.3285420944558526</c:v>
                </c:pt>
                <c:pt idx="69">
                  <c:v>5.4106776180698155</c:v>
                </c:pt>
                <c:pt idx="70">
                  <c:v>5.4928131416837784</c:v>
                </c:pt>
                <c:pt idx="71">
                  <c:v>5.5749486652977414</c:v>
                </c:pt>
                <c:pt idx="72">
                  <c:v>5.6570841889117043</c:v>
                </c:pt>
                <c:pt idx="73">
                  <c:v>5.7392197125256672</c:v>
                </c:pt>
                <c:pt idx="74">
                  <c:v>5.8213552361396301</c:v>
                </c:pt>
                <c:pt idx="75">
                  <c:v>5.9034907597535931</c:v>
                </c:pt>
                <c:pt idx="76">
                  <c:v>6</c:v>
                </c:pt>
                <c:pt idx="77">
                  <c:v>6.0821355236139629</c:v>
                </c:pt>
                <c:pt idx="78">
                  <c:v>6.1642710472279258</c:v>
                </c:pt>
                <c:pt idx="79">
                  <c:v>6.2464065708418888</c:v>
                </c:pt>
                <c:pt idx="80">
                  <c:v>6.3285420944558526</c:v>
                </c:pt>
                <c:pt idx="81">
                  <c:v>6.4106776180698155</c:v>
                </c:pt>
                <c:pt idx="82">
                  <c:v>6.4928131416837784</c:v>
                </c:pt>
                <c:pt idx="83">
                  <c:v>6.5749486652977414</c:v>
                </c:pt>
                <c:pt idx="84">
                  <c:v>6.6570841889117043</c:v>
                </c:pt>
                <c:pt idx="85">
                  <c:v>6.7392197125256672</c:v>
                </c:pt>
                <c:pt idx="86">
                  <c:v>6.8213552361396301</c:v>
                </c:pt>
                <c:pt idx="87">
                  <c:v>6.9034907597535931</c:v>
                </c:pt>
                <c:pt idx="88">
                  <c:v>7</c:v>
                </c:pt>
              </c:numCache>
            </c:numRef>
          </c:xVal>
          <c:yVal>
            <c:numRef>
              <c:f>Hasil!$AK$6:$AK$94</c:f>
              <c:numCache>
                <c:formatCode>0.000000</c:formatCode>
                <c:ptCount val="89"/>
                <c:pt idx="0">
                  <c:v>0.56510099999999996</c:v>
                </c:pt>
                <c:pt idx="1">
                  <c:v>0.56710199999999999</c:v>
                </c:pt>
                <c:pt idx="2">
                  <c:v>0.56713800000000003</c:v>
                </c:pt>
                <c:pt idx="3">
                  <c:v>0.56732300000000002</c:v>
                </c:pt>
                <c:pt idx="4">
                  <c:v>0.56755500000000003</c:v>
                </c:pt>
                <c:pt idx="5">
                  <c:v>0.56802299999999994</c:v>
                </c:pt>
                <c:pt idx="6">
                  <c:v>0.56847000000000003</c:v>
                </c:pt>
                <c:pt idx="7">
                  <c:v>0.56968600000000003</c:v>
                </c:pt>
                <c:pt idx="8">
                  <c:v>0.57074499999999995</c:v>
                </c:pt>
                <c:pt idx="9">
                  <c:v>0.57168099999999999</c:v>
                </c:pt>
                <c:pt idx="10">
                  <c:v>0.57253200000000004</c:v>
                </c:pt>
                <c:pt idx="11">
                  <c:v>0.57331900000000002</c:v>
                </c:pt>
                <c:pt idx="12">
                  <c:v>0.57404299999999997</c:v>
                </c:pt>
                <c:pt idx="13">
                  <c:v>0.57473099999999999</c:v>
                </c:pt>
                <c:pt idx="14">
                  <c:v>0.57537199999999999</c:v>
                </c:pt>
                <c:pt idx="15">
                  <c:v>0.57598199999999999</c:v>
                </c:pt>
                <c:pt idx="16">
                  <c:v>0.57657199999999997</c:v>
                </c:pt>
                <c:pt idx="17">
                  <c:v>0.57657099999999994</c:v>
                </c:pt>
                <c:pt idx="18">
                  <c:v>0.577121</c:v>
                </c:pt>
                <c:pt idx="19">
                  <c:v>0.57766499999999998</c:v>
                </c:pt>
                <c:pt idx="20">
                  <c:v>0.57818700000000001</c:v>
                </c:pt>
                <c:pt idx="21">
                  <c:v>0.57870299999999997</c:v>
                </c:pt>
                <c:pt idx="22">
                  <c:v>0.57920499999999997</c:v>
                </c:pt>
                <c:pt idx="23">
                  <c:v>0.57971200000000001</c:v>
                </c:pt>
                <c:pt idx="24">
                  <c:v>0.58020799999999995</c:v>
                </c:pt>
                <c:pt idx="25">
                  <c:v>0.58072400000000002</c:v>
                </c:pt>
                <c:pt idx="26">
                  <c:v>0.58125199999999999</c:v>
                </c:pt>
                <c:pt idx="27">
                  <c:v>0.58176499999999998</c:v>
                </c:pt>
                <c:pt idx="28">
                  <c:v>0.58226299999999998</c:v>
                </c:pt>
                <c:pt idx="29">
                  <c:v>0.58285100000000001</c:v>
                </c:pt>
                <c:pt idx="30">
                  <c:v>0.583372</c:v>
                </c:pt>
                <c:pt idx="31">
                  <c:v>0.58388399999999996</c:v>
                </c:pt>
                <c:pt idx="32">
                  <c:v>0.58438000000000001</c:v>
                </c:pt>
                <c:pt idx="33">
                  <c:v>0.58488399999999996</c:v>
                </c:pt>
                <c:pt idx="34">
                  <c:v>0.58539300000000005</c:v>
                </c:pt>
                <c:pt idx="35">
                  <c:v>0.585893</c:v>
                </c:pt>
                <c:pt idx="36">
                  <c:v>0.58637899999999998</c:v>
                </c:pt>
                <c:pt idx="37">
                  <c:v>0.58687199999999995</c:v>
                </c:pt>
                <c:pt idx="38">
                  <c:v>0.58738000000000001</c:v>
                </c:pt>
                <c:pt idx="39">
                  <c:v>0.58787400000000001</c:v>
                </c:pt>
                <c:pt idx="40">
                  <c:v>0.58837499999999998</c:v>
                </c:pt>
                <c:pt idx="41">
                  <c:v>0.58837799999999996</c:v>
                </c:pt>
                <c:pt idx="42">
                  <c:v>0.58887500000000004</c:v>
                </c:pt>
                <c:pt idx="43">
                  <c:v>0.58935899999999997</c:v>
                </c:pt>
                <c:pt idx="44">
                  <c:v>0.58984499999999995</c:v>
                </c:pt>
                <c:pt idx="45">
                  <c:v>0.59032899999999999</c:v>
                </c:pt>
                <c:pt idx="46">
                  <c:v>0.59081600000000001</c:v>
                </c:pt>
                <c:pt idx="47">
                  <c:v>0.59129299999999996</c:v>
                </c:pt>
                <c:pt idx="48">
                  <c:v>0.59177999999999997</c:v>
                </c:pt>
                <c:pt idx="49">
                  <c:v>0.59226199999999996</c:v>
                </c:pt>
                <c:pt idx="50">
                  <c:v>0.59273900000000002</c:v>
                </c:pt>
                <c:pt idx="51">
                  <c:v>0.59322399999999997</c:v>
                </c:pt>
                <c:pt idx="52">
                  <c:v>0.59371099999999999</c:v>
                </c:pt>
                <c:pt idx="53">
                  <c:v>0.59427799999999997</c:v>
                </c:pt>
                <c:pt idx="54">
                  <c:v>0.59475800000000001</c:v>
                </c:pt>
                <c:pt idx="55">
                  <c:v>0.59524900000000003</c:v>
                </c:pt>
                <c:pt idx="56">
                  <c:v>0.59572700000000001</c:v>
                </c:pt>
                <c:pt idx="57">
                  <c:v>0.59622399999999998</c:v>
                </c:pt>
                <c:pt idx="58">
                  <c:v>0.59669000000000005</c:v>
                </c:pt>
                <c:pt idx="59">
                  <c:v>0.59716999999999998</c:v>
                </c:pt>
                <c:pt idx="60">
                  <c:v>0.59765999999999997</c:v>
                </c:pt>
                <c:pt idx="61">
                  <c:v>0.59810300000000005</c:v>
                </c:pt>
                <c:pt idx="62">
                  <c:v>0.59862800000000005</c:v>
                </c:pt>
                <c:pt idx="63">
                  <c:v>0.59909599999999996</c:v>
                </c:pt>
                <c:pt idx="64" formatCode="0.00E+00">
                  <c:v>0.59957499999999997</c:v>
                </c:pt>
                <c:pt idx="65" formatCode="0.00E+00">
                  <c:v>0.59958</c:v>
                </c:pt>
                <c:pt idx="66" formatCode="0.00E+00">
                  <c:v>0.60004500000000005</c:v>
                </c:pt>
                <c:pt idx="67" formatCode="0.00E+00">
                  <c:v>0.600549</c:v>
                </c:pt>
                <c:pt idx="68" formatCode="0.00E+00">
                  <c:v>0.600993</c:v>
                </c:pt>
                <c:pt idx="69" formatCode="0.00E+00">
                  <c:v>0.60154700000000005</c:v>
                </c:pt>
                <c:pt idx="70" formatCode="0.00E+00">
                  <c:v>0.60202299999999997</c:v>
                </c:pt>
                <c:pt idx="71" formatCode="0.00E+00">
                  <c:v>0.60250700000000001</c:v>
                </c:pt>
                <c:pt idx="72" formatCode="0.00E+00">
                  <c:v>0.602993</c:v>
                </c:pt>
                <c:pt idx="73" formatCode="0.00E+00">
                  <c:v>0.60347399999999995</c:v>
                </c:pt>
                <c:pt idx="74" formatCode="0.00E+00">
                  <c:v>0.60395699999999997</c:v>
                </c:pt>
                <c:pt idx="75" formatCode="0.00E+00">
                  <c:v>0.60443599999999997</c:v>
                </c:pt>
                <c:pt idx="76" formatCode="0.00E+00">
                  <c:v>0.60492699999999999</c:v>
                </c:pt>
                <c:pt idx="77" formatCode="0.00E+00">
                  <c:v>0.60550999999999999</c:v>
                </c:pt>
                <c:pt idx="78" formatCode="0.00E+00">
                  <c:v>0.60602400000000001</c:v>
                </c:pt>
                <c:pt idx="79" formatCode="0.00E+00">
                  <c:v>0.60653699999999999</c:v>
                </c:pt>
                <c:pt idx="80" formatCode="0.00E+00">
                  <c:v>0.60700399999999999</c:v>
                </c:pt>
                <c:pt idx="81" formatCode="0.00E+00">
                  <c:v>0.60753999999999997</c:v>
                </c:pt>
                <c:pt idx="82" formatCode="0.00E+00">
                  <c:v>0.60802</c:v>
                </c:pt>
                <c:pt idx="83" formatCode="0.00E+00">
                  <c:v>0.60854399999999997</c:v>
                </c:pt>
                <c:pt idx="84" formatCode="0.00E+00">
                  <c:v>0.60904899999999995</c:v>
                </c:pt>
                <c:pt idx="85" formatCode="0.00E+00">
                  <c:v>0.60961200000000004</c:v>
                </c:pt>
                <c:pt idx="86" formatCode="0.00E+00">
                  <c:v>0.61006800000000005</c:v>
                </c:pt>
                <c:pt idx="87" formatCode="0.00E+00">
                  <c:v>0.61060300000000001</c:v>
                </c:pt>
                <c:pt idx="88" formatCode="0.00E+00">
                  <c:v>0.61112500000000003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Hasil!$AL$5</c:f>
              <c:strCache>
                <c:ptCount val="1"/>
                <c:pt idx="0">
                  <c:v>MOX 20%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Hasil!$AA$6:$AA$94</c:f>
              <c:numCache>
                <c:formatCode>General</c:formatCode>
                <c:ptCount val="89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  <c:pt idx="65">
                  <c:v>5.0821355236139629</c:v>
                </c:pt>
                <c:pt idx="66">
                  <c:v>5.1642710472279258</c:v>
                </c:pt>
                <c:pt idx="67">
                  <c:v>5.2464065708418888</c:v>
                </c:pt>
                <c:pt idx="68">
                  <c:v>5.3285420944558526</c:v>
                </c:pt>
                <c:pt idx="69">
                  <c:v>5.4106776180698155</c:v>
                </c:pt>
                <c:pt idx="70">
                  <c:v>5.4928131416837784</c:v>
                </c:pt>
                <c:pt idx="71">
                  <c:v>5.5749486652977414</c:v>
                </c:pt>
                <c:pt idx="72">
                  <c:v>5.6570841889117043</c:v>
                </c:pt>
                <c:pt idx="73">
                  <c:v>5.7392197125256672</c:v>
                </c:pt>
                <c:pt idx="74">
                  <c:v>5.8213552361396301</c:v>
                </c:pt>
                <c:pt idx="75">
                  <c:v>5.9034907597535931</c:v>
                </c:pt>
                <c:pt idx="76">
                  <c:v>6</c:v>
                </c:pt>
                <c:pt idx="77">
                  <c:v>6.0821355236139629</c:v>
                </c:pt>
                <c:pt idx="78">
                  <c:v>6.1642710472279258</c:v>
                </c:pt>
                <c:pt idx="79">
                  <c:v>6.2464065708418888</c:v>
                </c:pt>
                <c:pt idx="80">
                  <c:v>6.3285420944558526</c:v>
                </c:pt>
                <c:pt idx="81">
                  <c:v>6.4106776180698155</c:v>
                </c:pt>
                <c:pt idx="82">
                  <c:v>6.4928131416837784</c:v>
                </c:pt>
                <c:pt idx="83">
                  <c:v>6.5749486652977414</c:v>
                </c:pt>
                <c:pt idx="84">
                  <c:v>6.6570841889117043</c:v>
                </c:pt>
                <c:pt idx="85">
                  <c:v>6.7392197125256672</c:v>
                </c:pt>
                <c:pt idx="86">
                  <c:v>6.8213552361396301</c:v>
                </c:pt>
                <c:pt idx="87">
                  <c:v>6.9034907597535931</c:v>
                </c:pt>
                <c:pt idx="88">
                  <c:v>7</c:v>
                </c:pt>
              </c:numCache>
            </c:numRef>
          </c:xVal>
          <c:yVal>
            <c:numRef>
              <c:f>Hasil!$AL$6:$AL$94</c:f>
              <c:numCache>
                <c:formatCode>0.000000</c:formatCode>
                <c:ptCount val="89"/>
                <c:pt idx="0">
                  <c:v>0.54757900000000004</c:v>
                </c:pt>
                <c:pt idx="1">
                  <c:v>0.54923500000000003</c:v>
                </c:pt>
                <c:pt idx="2">
                  <c:v>0.54927099999999995</c:v>
                </c:pt>
                <c:pt idx="3">
                  <c:v>0.54943799999999998</c:v>
                </c:pt>
                <c:pt idx="4">
                  <c:v>0.549647</c:v>
                </c:pt>
                <c:pt idx="5">
                  <c:v>0.55006999999999995</c:v>
                </c:pt>
                <c:pt idx="6">
                  <c:v>0.55047900000000005</c:v>
                </c:pt>
                <c:pt idx="7">
                  <c:v>0.55160399999999998</c:v>
                </c:pt>
                <c:pt idx="8">
                  <c:v>0.55260100000000001</c:v>
                </c:pt>
                <c:pt idx="9">
                  <c:v>0.55350200000000005</c:v>
                </c:pt>
                <c:pt idx="10">
                  <c:v>0.55433100000000002</c:v>
                </c:pt>
                <c:pt idx="11">
                  <c:v>0.55511200000000005</c:v>
                </c:pt>
                <c:pt idx="12">
                  <c:v>0.55583700000000003</c:v>
                </c:pt>
                <c:pt idx="13">
                  <c:v>0.556535</c:v>
                </c:pt>
                <c:pt idx="14">
                  <c:v>0.55719399999999997</c:v>
                </c:pt>
                <c:pt idx="15">
                  <c:v>0.55782799999999999</c:v>
                </c:pt>
                <c:pt idx="16">
                  <c:v>0.55844400000000005</c:v>
                </c:pt>
                <c:pt idx="17">
                  <c:v>0.55844300000000002</c:v>
                </c:pt>
                <c:pt idx="18">
                  <c:v>0.55902799999999997</c:v>
                </c:pt>
                <c:pt idx="19">
                  <c:v>0.55959999999999999</c:v>
                </c:pt>
                <c:pt idx="20">
                  <c:v>0.56015599999999999</c:v>
                </c:pt>
                <c:pt idx="21">
                  <c:v>0.56070600000000004</c:v>
                </c:pt>
                <c:pt idx="22">
                  <c:v>0.56123800000000001</c:v>
                </c:pt>
                <c:pt idx="23">
                  <c:v>0.56177200000000005</c:v>
                </c:pt>
                <c:pt idx="24">
                  <c:v>0.56229300000000004</c:v>
                </c:pt>
                <c:pt idx="25">
                  <c:v>0.56282799999999999</c:v>
                </c:pt>
                <c:pt idx="26">
                  <c:v>0.56336699999999995</c:v>
                </c:pt>
                <c:pt idx="27">
                  <c:v>0.56389299999999998</c:v>
                </c:pt>
                <c:pt idx="28">
                  <c:v>0.56440599999999996</c:v>
                </c:pt>
                <c:pt idx="29">
                  <c:v>0.56501299999999999</c:v>
                </c:pt>
                <c:pt idx="30">
                  <c:v>0.56554899999999997</c:v>
                </c:pt>
                <c:pt idx="31">
                  <c:v>0.56607200000000002</c:v>
                </c:pt>
                <c:pt idx="32">
                  <c:v>0.56657999999999997</c:v>
                </c:pt>
                <c:pt idx="33">
                  <c:v>0.56709399999999999</c:v>
                </c:pt>
                <c:pt idx="34">
                  <c:v>0.56761700000000004</c:v>
                </c:pt>
                <c:pt idx="35">
                  <c:v>0.56813199999999997</c:v>
                </c:pt>
                <c:pt idx="36">
                  <c:v>0.56863799999999998</c:v>
                </c:pt>
                <c:pt idx="37">
                  <c:v>0.56914799999999999</c:v>
                </c:pt>
                <c:pt idx="38">
                  <c:v>0.56966899999999998</c:v>
                </c:pt>
                <c:pt idx="39">
                  <c:v>0.57018000000000002</c:v>
                </c:pt>
                <c:pt idx="40">
                  <c:v>0.57069599999999998</c:v>
                </c:pt>
                <c:pt idx="41">
                  <c:v>0.57069400000000003</c:v>
                </c:pt>
                <c:pt idx="42">
                  <c:v>0.57120499999999996</c:v>
                </c:pt>
                <c:pt idx="43">
                  <c:v>0.57170799999999999</c:v>
                </c:pt>
                <c:pt idx="44">
                  <c:v>0.57219799999999998</c:v>
                </c:pt>
                <c:pt idx="45">
                  <c:v>0.57270900000000002</c:v>
                </c:pt>
                <c:pt idx="46">
                  <c:v>0.57320899999999997</c:v>
                </c:pt>
                <c:pt idx="47">
                  <c:v>0.57369400000000004</c:v>
                </c:pt>
                <c:pt idx="48">
                  <c:v>0.57420199999999999</c:v>
                </c:pt>
                <c:pt idx="49">
                  <c:v>0.57469499999999996</c:v>
                </c:pt>
                <c:pt idx="50">
                  <c:v>0.57517499999999999</c:v>
                </c:pt>
                <c:pt idx="51">
                  <c:v>0.57567400000000002</c:v>
                </c:pt>
                <c:pt idx="52">
                  <c:v>0.576183</c:v>
                </c:pt>
                <c:pt idx="53">
                  <c:v>0.57676000000000005</c:v>
                </c:pt>
                <c:pt idx="54">
                  <c:v>0.57725599999999999</c:v>
                </c:pt>
                <c:pt idx="55">
                  <c:v>0.57770999999999995</c:v>
                </c:pt>
                <c:pt idx="56">
                  <c:v>0.578233</c:v>
                </c:pt>
                <c:pt idx="57">
                  <c:v>0.57870699999999997</c:v>
                </c:pt>
                <c:pt idx="58">
                  <c:v>0.579233</c:v>
                </c:pt>
                <c:pt idx="59">
                  <c:v>0.57972800000000002</c:v>
                </c:pt>
                <c:pt idx="60">
                  <c:v>0.58021800000000001</c:v>
                </c:pt>
                <c:pt idx="61">
                  <c:v>0.58069700000000002</c:v>
                </c:pt>
                <c:pt idx="62">
                  <c:v>0.58120099999999997</c:v>
                </c:pt>
                <c:pt idx="63">
                  <c:v>0.58164899999999997</c:v>
                </c:pt>
                <c:pt idx="64">
                  <c:v>0.58218599999999998</c:v>
                </c:pt>
                <c:pt idx="65" formatCode="0.00E+00">
                  <c:v>0.58217200000000002</c:v>
                </c:pt>
                <c:pt idx="66" formatCode="0.00E+00">
                  <c:v>0.58267500000000005</c:v>
                </c:pt>
                <c:pt idx="67" formatCode="0.00E+00">
                  <c:v>0.58311900000000005</c:v>
                </c:pt>
                <c:pt idx="68" formatCode="0.00E+00">
                  <c:v>0.58368600000000004</c:v>
                </c:pt>
                <c:pt idx="69" formatCode="0.00E+00">
                  <c:v>0.58416400000000002</c:v>
                </c:pt>
                <c:pt idx="70" formatCode="0.00E+00">
                  <c:v>0.58467199999999997</c:v>
                </c:pt>
                <c:pt idx="71" formatCode="0.00E+00">
                  <c:v>0.58516000000000001</c:v>
                </c:pt>
                <c:pt idx="72" formatCode="0.00E+00">
                  <c:v>0.58565199999999995</c:v>
                </c:pt>
                <c:pt idx="73" formatCode="0.00E+00">
                  <c:v>0.58613800000000005</c:v>
                </c:pt>
                <c:pt idx="74" formatCode="0.00E+00">
                  <c:v>0.58662499999999995</c:v>
                </c:pt>
                <c:pt idx="75" formatCode="0.00E+00">
                  <c:v>0.587113</c:v>
                </c:pt>
                <c:pt idx="76" formatCode="0.00E+00">
                  <c:v>0.58760800000000002</c:v>
                </c:pt>
                <c:pt idx="77" formatCode="0.00E+00">
                  <c:v>0.588198</c:v>
                </c:pt>
                <c:pt idx="78" formatCode="0.00E+00">
                  <c:v>0.58871099999999998</c:v>
                </c:pt>
                <c:pt idx="79" formatCode="0.00E+00">
                  <c:v>0.58921999999999997</c:v>
                </c:pt>
                <c:pt idx="80" formatCode="0.00E+00">
                  <c:v>0.58972999999999998</c:v>
                </c:pt>
                <c:pt idx="81" formatCode="0.00E+00">
                  <c:v>0.59023700000000001</c:v>
                </c:pt>
                <c:pt idx="82" formatCode="0.00E+00">
                  <c:v>0.59074199999999999</c:v>
                </c:pt>
                <c:pt idx="83" formatCode="0.00E+00">
                  <c:v>0.591252</c:v>
                </c:pt>
                <c:pt idx="84" formatCode="0.00E+00">
                  <c:v>0.59173100000000001</c:v>
                </c:pt>
                <c:pt idx="85" formatCode="0.00E+00">
                  <c:v>0.59227200000000002</c:v>
                </c:pt>
                <c:pt idx="86" formatCode="0.00E+00">
                  <c:v>0.59275</c:v>
                </c:pt>
                <c:pt idx="87" formatCode="0.00E+00">
                  <c:v>0.59327200000000002</c:v>
                </c:pt>
                <c:pt idx="88" formatCode="0.00E+00">
                  <c:v>0.59378600000000004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707664"/>
        <c:axId val="1738716368"/>
      </c:scatterChart>
      <c:valAx>
        <c:axId val="1738707664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Tahun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38716368"/>
        <c:crosses val="autoZero"/>
        <c:crossBetween val="midCat"/>
        <c:majorUnit val="0.5"/>
      </c:valAx>
      <c:valAx>
        <c:axId val="1738716368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Conversion Ratio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3870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Hasil!$BS$5</c:f>
              <c:strCache>
                <c:ptCount val="1"/>
                <c:pt idx="0">
                  <c:v>Awal Tahun Ke-0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Hasil!$BR$6:$BR$44</c:f>
              <c:numCache>
                <c:formatCode>General</c:formatCode>
                <c:ptCount val="39"/>
                <c:pt idx="0">
                  <c:v>0</c:v>
                </c:pt>
                <c:pt idx="1">
                  <c:v>7.3811999999999998</c:v>
                </c:pt>
                <c:pt idx="2">
                  <c:v>14.7624</c:v>
                </c:pt>
                <c:pt idx="3">
                  <c:v>20</c:v>
                </c:pt>
                <c:pt idx="4">
                  <c:v>26.25</c:v>
                </c:pt>
                <c:pt idx="5">
                  <c:v>32.5</c:v>
                </c:pt>
                <c:pt idx="6">
                  <c:v>38.75</c:v>
                </c:pt>
                <c:pt idx="7">
                  <c:v>45</c:v>
                </c:pt>
                <c:pt idx="8">
                  <c:v>51.25</c:v>
                </c:pt>
                <c:pt idx="9">
                  <c:v>57.5</c:v>
                </c:pt>
                <c:pt idx="10">
                  <c:v>63.75</c:v>
                </c:pt>
                <c:pt idx="11">
                  <c:v>70</c:v>
                </c:pt>
                <c:pt idx="12">
                  <c:v>76.25</c:v>
                </c:pt>
                <c:pt idx="13">
                  <c:v>82.5</c:v>
                </c:pt>
                <c:pt idx="14">
                  <c:v>88.75</c:v>
                </c:pt>
                <c:pt idx="15">
                  <c:v>95</c:v>
                </c:pt>
                <c:pt idx="16">
                  <c:v>101.25</c:v>
                </c:pt>
                <c:pt idx="17">
                  <c:v>107.5</c:v>
                </c:pt>
                <c:pt idx="18">
                  <c:v>113.75</c:v>
                </c:pt>
                <c:pt idx="19">
                  <c:v>120</c:v>
                </c:pt>
                <c:pt idx="20">
                  <c:v>126.25</c:v>
                </c:pt>
                <c:pt idx="21">
                  <c:v>132.5</c:v>
                </c:pt>
                <c:pt idx="22">
                  <c:v>138.75</c:v>
                </c:pt>
                <c:pt idx="23">
                  <c:v>145</c:v>
                </c:pt>
                <c:pt idx="24">
                  <c:v>151.25</c:v>
                </c:pt>
                <c:pt idx="25">
                  <c:v>157.5</c:v>
                </c:pt>
                <c:pt idx="26">
                  <c:v>163.75</c:v>
                </c:pt>
                <c:pt idx="27">
                  <c:v>170</c:v>
                </c:pt>
                <c:pt idx="28">
                  <c:v>176.25</c:v>
                </c:pt>
                <c:pt idx="29">
                  <c:v>182.5</c:v>
                </c:pt>
                <c:pt idx="30">
                  <c:v>188.75</c:v>
                </c:pt>
                <c:pt idx="31">
                  <c:v>195</c:v>
                </c:pt>
                <c:pt idx="32">
                  <c:v>201.25</c:v>
                </c:pt>
                <c:pt idx="33">
                  <c:v>207.5</c:v>
                </c:pt>
                <c:pt idx="34">
                  <c:v>213.75</c:v>
                </c:pt>
                <c:pt idx="35">
                  <c:v>220</c:v>
                </c:pt>
                <c:pt idx="36">
                  <c:v>225.23759999999999</c:v>
                </c:pt>
                <c:pt idx="37">
                  <c:v>232.61879999999999</c:v>
                </c:pt>
                <c:pt idx="38">
                  <c:v>240</c:v>
                </c:pt>
              </c:numCache>
            </c:numRef>
          </c:xVal>
          <c:yVal>
            <c:numRef>
              <c:f>Hasil!$BS$6:$BS$44</c:f>
              <c:numCache>
                <c:formatCode>0.000000E+00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33.781850423400002</c:v>
                </c:pt>
                <c:pt idx="5">
                  <c:v>44.795215001479995</c:v>
                </c:pt>
                <c:pt idx="6">
                  <c:v>60.695433295480001</c:v>
                </c:pt>
                <c:pt idx="7">
                  <c:v>76.247909298319996</c:v>
                </c:pt>
                <c:pt idx="8">
                  <c:v>91.271999537079992</c:v>
                </c:pt>
                <c:pt idx="9">
                  <c:v>105.65397087072</c:v>
                </c:pt>
                <c:pt idx="10">
                  <c:v>119.28083753992</c:v>
                </c:pt>
                <c:pt idx="11">
                  <c:v>132.04333758199999</c:v>
                </c:pt>
                <c:pt idx="12">
                  <c:v>143.83610328639998</c:v>
                </c:pt>
                <c:pt idx="13">
                  <c:v>154.55814633719999</c:v>
                </c:pt>
                <c:pt idx="14">
                  <c:v>164.1130938284</c:v>
                </c:pt>
                <c:pt idx="15">
                  <c:v>172.41034211639999</c:v>
                </c:pt>
                <c:pt idx="16">
                  <c:v>179.36558129839997</c:v>
                </c:pt>
                <c:pt idx="17">
                  <c:v>184.90236864759999</c:v>
                </c:pt>
                <c:pt idx="18">
                  <c:v>188.95370204839998</c:v>
                </c:pt>
                <c:pt idx="19">
                  <c:v>191.4624133552</c:v>
                </c:pt>
                <c:pt idx="20">
                  <c:v>192.38365966480001</c:v>
                </c:pt>
                <c:pt idx="21">
                  <c:v>191.68557891439997</c:v>
                </c:pt>
                <c:pt idx="22">
                  <c:v>189.35086331679997</c:v>
                </c:pt>
                <c:pt idx="23">
                  <c:v>185.37754607799999</c:v>
                </c:pt>
                <c:pt idx="24">
                  <c:v>179.77991923439998</c:v>
                </c:pt>
                <c:pt idx="25">
                  <c:v>172.58945148999999</c:v>
                </c:pt>
                <c:pt idx="26">
                  <c:v>163.85426373799999</c:v>
                </c:pt>
                <c:pt idx="27">
                  <c:v>153.63978465879998</c:v>
                </c:pt>
                <c:pt idx="28">
                  <c:v>142.02770176319999</c:v>
                </c:pt>
                <c:pt idx="29">
                  <c:v>129.11572537711999</c:v>
                </c:pt>
                <c:pt idx="30">
                  <c:v>115.01705105123999</c:v>
                </c:pt>
                <c:pt idx="31">
                  <c:v>99.858969693239985</c:v>
                </c:pt>
                <c:pt idx="32">
                  <c:v>83.78218574588</c:v>
                </c:pt>
                <c:pt idx="33">
                  <c:v>66.936214889039988</c:v>
                </c:pt>
                <c:pt idx="34">
                  <c:v>49.551617827359998</c:v>
                </c:pt>
                <c:pt idx="35">
                  <c:v>37.504899681680001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Hasil!$BT$5</c:f>
              <c:strCache>
                <c:ptCount val="1"/>
                <c:pt idx="0">
                  <c:v>Akhir Tahun Ke-1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Hasil!$BR$6:$BR$44</c:f>
              <c:numCache>
                <c:formatCode>General</c:formatCode>
                <c:ptCount val="39"/>
                <c:pt idx="0">
                  <c:v>0</c:v>
                </c:pt>
                <c:pt idx="1">
                  <c:v>7.3811999999999998</c:v>
                </c:pt>
                <c:pt idx="2">
                  <c:v>14.7624</c:v>
                </c:pt>
                <c:pt idx="3">
                  <c:v>20</c:v>
                </c:pt>
                <c:pt idx="4">
                  <c:v>26.25</c:v>
                </c:pt>
                <c:pt idx="5">
                  <c:v>32.5</c:v>
                </c:pt>
                <c:pt idx="6">
                  <c:v>38.75</c:v>
                </c:pt>
                <c:pt idx="7">
                  <c:v>45</c:v>
                </c:pt>
                <c:pt idx="8">
                  <c:v>51.25</c:v>
                </c:pt>
                <c:pt idx="9">
                  <c:v>57.5</c:v>
                </c:pt>
                <c:pt idx="10">
                  <c:v>63.75</c:v>
                </c:pt>
                <c:pt idx="11">
                  <c:v>70</c:v>
                </c:pt>
                <c:pt idx="12">
                  <c:v>76.25</c:v>
                </c:pt>
                <c:pt idx="13">
                  <c:v>82.5</c:v>
                </c:pt>
                <c:pt idx="14">
                  <c:v>88.75</c:v>
                </c:pt>
                <c:pt idx="15">
                  <c:v>95</c:v>
                </c:pt>
                <c:pt idx="16">
                  <c:v>101.25</c:v>
                </c:pt>
                <c:pt idx="17">
                  <c:v>107.5</c:v>
                </c:pt>
                <c:pt idx="18">
                  <c:v>113.75</c:v>
                </c:pt>
                <c:pt idx="19">
                  <c:v>120</c:v>
                </c:pt>
                <c:pt idx="20">
                  <c:v>126.25</c:v>
                </c:pt>
                <c:pt idx="21">
                  <c:v>132.5</c:v>
                </c:pt>
                <c:pt idx="22">
                  <c:v>138.75</c:v>
                </c:pt>
                <c:pt idx="23">
                  <c:v>145</c:v>
                </c:pt>
                <c:pt idx="24">
                  <c:v>151.25</c:v>
                </c:pt>
                <c:pt idx="25">
                  <c:v>157.5</c:v>
                </c:pt>
                <c:pt idx="26">
                  <c:v>163.75</c:v>
                </c:pt>
                <c:pt idx="27">
                  <c:v>170</c:v>
                </c:pt>
                <c:pt idx="28">
                  <c:v>176.25</c:v>
                </c:pt>
                <c:pt idx="29">
                  <c:v>182.5</c:v>
                </c:pt>
                <c:pt idx="30">
                  <c:v>188.75</c:v>
                </c:pt>
                <c:pt idx="31">
                  <c:v>195</c:v>
                </c:pt>
                <c:pt idx="32">
                  <c:v>201.25</c:v>
                </c:pt>
                <c:pt idx="33">
                  <c:v>207.5</c:v>
                </c:pt>
                <c:pt idx="34">
                  <c:v>213.75</c:v>
                </c:pt>
                <c:pt idx="35">
                  <c:v>220</c:v>
                </c:pt>
                <c:pt idx="36">
                  <c:v>225.23759999999999</c:v>
                </c:pt>
                <c:pt idx="37">
                  <c:v>232.61879999999999</c:v>
                </c:pt>
                <c:pt idx="38">
                  <c:v>240</c:v>
                </c:pt>
              </c:numCache>
            </c:numRef>
          </c:xVal>
          <c:yVal>
            <c:numRef>
              <c:f>Hasil!$BT$6:$BT$44</c:f>
              <c:numCache>
                <c:formatCode>0.000000E+00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31.260237945790003</c:v>
                </c:pt>
                <c:pt idx="5">
                  <c:v>41.144107881170001</c:v>
                </c:pt>
                <c:pt idx="6">
                  <c:v>55.35078300304</c:v>
                </c:pt>
                <c:pt idx="7">
                  <c:v>68.878934597620002</c:v>
                </c:pt>
                <c:pt idx="8">
                  <c:v>81.444573681380007</c:v>
                </c:pt>
                <c:pt idx="9">
                  <c:v>92.804319632359991</c:v>
                </c:pt>
                <c:pt idx="10">
                  <c:v>102.67151909406</c:v>
                </c:pt>
                <c:pt idx="11">
                  <c:v>110.7091548038</c:v>
                </c:pt>
                <c:pt idx="12">
                  <c:v>113.2467367955</c:v>
                </c:pt>
                <c:pt idx="13">
                  <c:v>118.84347511399999</c:v>
                </c:pt>
                <c:pt idx="14">
                  <c:v>124.12235477390001</c:v>
                </c:pt>
                <c:pt idx="15">
                  <c:v>128.8817335407</c:v>
                </c:pt>
                <c:pt idx="16">
                  <c:v>132.96931709949999</c:v>
                </c:pt>
                <c:pt idx="17">
                  <c:v>136.27739013839999</c:v>
                </c:pt>
                <c:pt idx="18">
                  <c:v>138.7216672401</c:v>
                </c:pt>
                <c:pt idx="19">
                  <c:v>140.23082199980001</c:v>
                </c:pt>
                <c:pt idx="20">
                  <c:v>140.43764783929998</c:v>
                </c:pt>
                <c:pt idx="21">
                  <c:v>140.11543495250001</c:v>
                </c:pt>
                <c:pt idx="22">
                  <c:v>138.92351681880001</c:v>
                </c:pt>
                <c:pt idx="23">
                  <c:v>136.84509855799999</c:v>
                </c:pt>
                <c:pt idx="24">
                  <c:v>133.8913767569</c:v>
                </c:pt>
                <c:pt idx="25">
                  <c:v>130.11429113759999</c:v>
                </c:pt>
                <c:pt idx="26">
                  <c:v>125.62445983080001</c:v>
                </c:pt>
                <c:pt idx="27">
                  <c:v>120.59574094820002</c:v>
                </c:pt>
                <c:pt idx="28">
                  <c:v>118.47139594710001</c:v>
                </c:pt>
                <c:pt idx="29">
                  <c:v>110.49372418000002</c:v>
                </c:pt>
                <c:pt idx="30">
                  <c:v>100.39487977806</c:v>
                </c:pt>
                <c:pt idx="31">
                  <c:v>88.519147418170007</c:v>
                </c:pt>
                <c:pt idx="32">
                  <c:v>75.172079880660007</c:v>
                </c:pt>
                <c:pt idx="33">
                  <c:v>60.626003037809994</c:v>
                </c:pt>
                <c:pt idx="34">
                  <c:v>45.209671485930002</c:v>
                </c:pt>
                <c:pt idx="35">
                  <c:v>34.516661544469997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Hasil!$BU$5</c:f>
              <c:strCache>
                <c:ptCount val="1"/>
                <c:pt idx="0">
                  <c:v>Akhir Tahun Ke-3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Hasil!$BR$6:$BR$44</c:f>
              <c:numCache>
                <c:formatCode>General</c:formatCode>
                <c:ptCount val="39"/>
                <c:pt idx="0">
                  <c:v>0</c:v>
                </c:pt>
                <c:pt idx="1">
                  <c:v>7.3811999999999998</c:v>
                </c:pt>
                <c:pt idx="2">
                  <c:v>14.7624</c:v>
                </c:pt>
                <c:pt idx="3">
                  <c:v>20</c:v>
                </c:pt>
                <c:pt idx="4">
                  <c:v>26.25</c:v>
                </c:pt>
                <c:pt idx="5">
                  <c:v>32.5</c:v>
                </c:pt>
                <c:pt idx="6">
                  <c:v>38.75</c:v>
                </c:pt>
                <c:pt idx="7">
                  <c:v>45</c:v>
                </c:pt>
                <c:pt idx="8">
                  <c:v>51.25</c:v>
                </c:pt>
                <c:pt idx="9">
                  <c:v>57.5</c:v>
                </c:pt>
                <c:pt idx="10">
                  <c:v>63.75</c:v>
                </c:pt>
                <c:pt idx="11">
                  <c:v>70</c:v>
                </c:pt>
                <c:pt idx="12">
                  <c:v>76.25</c:v>
                </c:pt>
                <c:pt idx="13">
                  <c:v>82.5</c:v>
                </c:pt>
                <c:pt idx="14">
                  <c:v>88.75</c:v>
                </c:pt>
                <c:pt idx="15">
                  <c:v>95</c:v>
                </c:pt>
                <c:pt idx="16">
                  <c:v>101.25</c:v>
                </c:pt>
                <c:pt idx="17">
                  <c:v>107.5</c:v>
                </c:pt>
                <c:pt idx="18">
                  <c:v>113.75</c:v>
                </c:pt>
                <c:pt idx="19">
                  <c:v>120</c:v>
                </c:pt>
                <c:pt idx="20">
                  <c:v>126.25</c:v>
                </c:pt>
                <c:pt idx="21">
                  <c:v>132.5</c:v>
                </c:pt>
                <c:pt idx="22">
                  <c:v>138.75</c:v>
                </c:pt>
                <c:pt idx="23">
                  <c:v>145</c:v>
                </c:pt>
                <c:pt idx="24">
                  <c:v>151.25</c:v>
                </c:pt>
                <c:pt idx="25">
                  <c:v>157.5</c:v>
                </c:pt>
                <c:pt idx="26">
                  <c:v>163.75</c:v>
                </c:pt>
                <c:pt idx="27">
                  <c:v>170</c:v>
                </c:pt>
                <c:pt idx="28">
                  <c:v>176.25</c:v>
                </c:pt>
                <c:pt idx="29">
                  <c:v>182.5</c:v>
                </c:pt>
                <c:pt idx="30">
                  <c:v>188.75</c:v>
                </c:pt>
                <c:pt idx="31">
                  <c:v>195</c:v>
                </c:pt>
                <c:pt idx="32">
                  <c:v>201.25</c:v>
                </c:pt>
                <c:pt idx="33">
                  <c:v>207.5</c:v>
                </c:pt>
                <c:pt idx="34">
                  <c:v>213.75</c:v>
                </c:pt>
                <c:pt idx="35">
                  <c:v>220</c:v>
                </c:pt>
                <c:pt idx="36">
                  <c:v>225.23759999999999</c:v>
                </c:pt>
                <c:pt idx="37">
                  <c:v>232.61879999999999</c:v>
                </c:pt>
                <c:pt idx="38">
                  <c:v>240</c:v>
                </c:pt>
              </c:numCache>
            </c:numRef>
          </c:xVal>
          <c:yVal>
            <c:numRef>
              <c:f>Hasil!$BU$6:$BU$44</c:f>
              <c:numCache>
                <c:formatCode>0.000000E+00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30.408395746876</c:v>
                </c:pt>
                <c:pt idx="5">
                  <c:v>41.137761867496003</c:v>
                </c:pt>
                <c:pt idx="6">
                  <c:v>54.546948749622004</c:v>
                </c:pt>
                <c:pt idx="7">
                  <c:v>66.329804411332006</c:v>
                </c:pt>
                <c:pt idx="8">
                  <c:v>76.118656168982</c:v>
                </c:pt>
                <c:pt idx="9">
                  <c:v>83.589407479060014</c:v>
                </c:pt>
                <c:pt idx="10">
                  <c:v>88.463958834859994</c:v>
                </c:pt>
                <c:pt idx="11">
                  <c:v>90.607291315940003</c:v>
                </c:pt>
                <c:pt idx="12">
                  <c:v>89.25518456959999</c:v>
                </c:pt>
                <c:pt idx="13">
                  <c:v>88.852740459139994</c:v>
                </c:pt>
                <c:pt idx="14">
                  <c:v>88.681599842780017</c:v>
                </c:pt>
                <c:pt idx="15">
                  <c:v>88.738886407639995</c:v>
                </c:pt>
                <c:pt idx="16">
                  <c:v>88.943344314859999</c:v>
                </c:pt>
                <c:pt idx="17">
                  <c:v>89.216913628780006</c:v>
                </c:pt>
                <c:pt idx="18">
                  <c:v>89.492160791879996</c:v>
                </c:pt>
                <c:pt idx="19">
                  <c:v>89.717152377160005</c:v>
                </c:pt>
                <c:pt idx="20">
                  <c:v>89.635976435879996</c:v>
                </c:pt>
                <c:pt idx="21">
                  <c:v>89.928641271420005</c:v>
                </c:pt>
                <c:pt idx="22">
                  <c:v>90.361606257440002</c:v>
                </c:pt>
                <c:pt idx="23">
                  <c:v>90.928958973020002</c:v>
                </c:pt>
                <c:pt idx="24">
                  <c:v>91.635493272960005</c:v>
                </c:pt>
                <c:pt idx="25">
                  <c:v>92.503580479660016</c:v>
                </c:pt>
                <c:pt idx="26">
                  <c:v>93.567736347679997</c:v>
                </c:pt>
                <c:pt idx="27">
                  <c:v>94.795762152280005</c:v>
                </c:pt>
                <c:pt idx="28">
                  <c:v>97.371580233900005</c:v>
                </c:pt>
                <c:pt idx="29">
                  <c:v>95.656978167099993</c:v>
                </c:pt>
                <c:pt idx="30">
                  <c:v>90.873510052500009</c:v>
                </c:pt>
                <c:pt idx="31">
                  <c:v>83.147414066500005</c:v>
                </c:pt>
                <c:pt idx="32">
                  <c:v>72.763628948654002</c:v>
                </c:pt>
                <c:pt idx="33">
                  <c:v>60.069717161720007</c:v>
                </c:pt>
                <c:pt idx="34">
                  <c:v>45.476360256656001</c:v>
                </c:pt>
                <c:pt idx="35">
                  <c:v>33.905984219198004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Hasil!$BV$5</c:f>
              <c:strCache>
                <c:ptCount val="1"/>
                <c:pt idx="0">
                  <c:v>Akhir Tahun Ke-5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Hasil!$BR$6:$BR$44</c:f>
              <c:numCache>
                <c:formatCode>General</c:formatCode>
                <c:ptCount val="39"/>
                <c:pt idx="0">
                  <c:v>0</c:v>
                </c:pt>
                <c:pt idx="1">
                  <c:v>7.3811999999999998</c:v>
                </c:pt>
                <c:pt idx="2">
                  <c:v>14.7624</c:v>
                </c:pt>
                <c:pt idx="3">
                  <c:v>20</c:v>
                </c:pt>
                <c:pt idx="4">
                  <c:v>26.25</c:v>
                </c:pt>
                <c:pt idx="5">
                  <c:v>32.5</c:v>
                </c:pt>
                <c:pt idx="6">
                  <c:v>38.75</c:v>
                </c:pt>
                <c:pt idx="7">
                  <c:v>45</c:v>
                </c:pt>
                <c:pt idx="8">
                  <c:v>51.25</c:v>
                </c:pt>
                <c:pt idx="9">
                  <c:v>57.5</c:v>
                </c:pt>
                <c:pt idx="10">
                  <c:v>63.75</c:v>
                </c:pt>
                <c:pt idx="11">
                  <c:v>70</c:v>
                </c:pt>
                <c:pt idx="12">
                  <c:v>76.25</c:v>
                </c:pt>
                <c:pt idx="13">
                  <c:v>82.5</c:v>
                </c:pt>
                <c:pt idx="14">
                  <c:v>88.75</c:v>
                </c:pt>
                <c:pt idx="15">
                  <c:v>95</c:v>
                </c:pt>
                <c:pt idx="16">
                  <c:v>101.25</c:v>
                </c:pt>
                <c:pt idx="17">
                  <c:v>107.5</c:v>
                </c:pt>
                <c:pt idx="18">
                  <c:v>113.75</c:v>
                </c:pt>
                <c:pt idx="19">
                  <c:v>120</c:v>
                </c:pt>
                <c:pt idx="20">
                  <c:v>126.25</c:v>
                </c:pt>
                <c:pt idx="21">
                  <c:v>132.5</c:v>
                </c:pt>
                <c:pt idx="22">
                  <c:v>138.75</c:v>
                </c:pt>
                <c:pt idx="23">
                  <c:v>145</c:v>
                </c:pt>
                <c:pt idx="24">
                  <c:v>151.25</c:v>
                </c:pt>
                <c:pt idx="25">
                  <c:v>157.5</c:v>
                </c:pt>
                <c:pt idx="26">
                  <c:v>163.75</c:v>
                </c:pt>
                <c:pt idx="27">
                  <c:v>170</c:v>
                </c:pt>
                <c:pt idx="28">
                  <c:v>176.25</c:v>
                </c:pt>
                <c:pt idx="29">
                  <c:v>182.5</c:v>
                </c:pt>
                <c:pt idx="30">
                  <c:v>188.75</c:v>
                </c:pt>
                <c:pt idx="31">
                  <c:v>195</c:v>
                </c:pt>
                <c:pt idx="32">
                  <c:v>201.25</c:v>
                </c:pt>
                <c:pt idx="33">
                  <c:v>207.5</c:v>
                </c:pt>
                <c:pt idx="34">
                  <c:v>213.75</c:v>
                </c:pt>
                <c:pt idx="35">
                  <c:v>220</c:v>
                </c:pt>
                <c:pt idx="36">
                  <c:v>225.23759999999999</c:v>
                </c:pt>
                <c:pt idx="37">
                  <c:v>232.61879999999999</c:v>
                </c:pt>
                <c:pt idx="38">
                  <c:v>240</c:v>
                </c:pt>
              </c:numCache>
            </c:numRef>
          </c:xVal>
          <c:yVal>
            <c:numRef>
              <c:f>Hasil!$BV$6:$BV$44</c:f>
              <c:numCache>
                <c:formatCode>0.000000E+00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28.671662728800001</c:v>
                </c:pt>
                <c:pt idx="5">
                  <c:v>38.908274605199999</c:v>
                </c:pt>
                <c:pt idx="6">
                  <c:v>51.332169552300002</c:v>
                </c:pt>
                <c:pt idx="7">
                  <c:v>61.908198288299999</c:v>
                </c:pt>
                <c:pt idx="8">
                  <c:v>70.282057481999999</c:v>
                </c:pt>
                <c:pt idx="9">
                  <c:v>76.124931245999989</c:v>
                </c:pt>
                <c:pt idx="10">
                  <c:v>79.143289407000012</c:v>
                </c:pt>
                <c:pt idx="11">
                  <c:v>79.138645677</c:v>
                </c:pt>
                <c:pt idx="12">
                  <c:v>72.750199976999994</c:v>
                </c:pt>
                <c:pt idx="13">
                  <c:v>70.515637100999996</c:v>
                </c:pt>
                <c:pt idx="14">
                  <c:v>68.915606760000003</c:v>
                </c:pt>
                <c:pt idx="15">
                  <c:v>67.831494821999996</c:v>
                </c:pt>
                <c:pt idx="16">
                  <c:v>67.142365290000001</c:v>
                </c:pt>
                <c:pt idx="17">
                  <c:v>66.757665428999999</c:v>
                </c:pt>
                <c:pt idx="18">
                  <c:v>66.608270000999994</c:v>
                </c:pt>
                <c:pt idx="19">
                  <c:v>66.643296992999993</c:v>
                </c:pt>
                <c:pt idx="20">
                  <c:v>66.632749092000012</c:v>
                </c:pt>
                <c:pt idx="21">
                  <c:v>67.139181018000002</c:v>
                </c:pt>
                <c:pt idx="22">
                  <c:v>67.958799362999997</c:v>
                </c:pt>
                <c:pt idx="23">
                  <c:v>69.09439036500001</c:v>
                </c:pt>
                <c:pt idx="24">
                  <c:v>70.565524029000002</c:v>
                </c:pt>
                <c:pt idx="25">
                  <c:v>72.417708908999998</c:v>
                </c:pt>
                <c:pt idx="26">
                  <c:v>74.731281534000004</c:v>
                </c:pt>
                <c:pt idx="27">
                  <c:v>77.587838873999999</c:v>
                </c:pt>
                <c:pt idx="28">
                  <c:v>84.558674655000004</c:v>
                </c:pt>
                <c:pt idx="29">
                  <c:v>84.872723480999994</c:v>
                </c:pt>
                <c:pt idx="30">
                  <c:v>81.925016354999997</c:v>
                </c:pt>
                <c:pt idx="31">
                  <c:v>75.893341797000005</c:v>
                </c:pt>
                <c:pt idx="32">
                  <c:v>67.066606152000006</c:v>
                </c:pt>
                <c:pt idx="33">
                  <c:v>55.784697286499998</c:v>
                </c:pt>
                <c:pt idx="34">
                  <c:v>42.4291838607</c:v>
                </c:pt>
                <c:pt idx="35">
                  <c:v>31.517420079599997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Hasil!$BW$5</c:f>
              <c:strCache>
                <c:ptCount val="1"/>
                <c:pt idx="0">
                  <c:v>Akhir Tahun Ke-7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Hasil!$BR$6:$BR$44</c:f>
              <c:numCache>
                <c:formatCode>General</c:formatCode>
                <c:ptCount val="39"/>
                <c:pt idx="0">
                  <c:v>0</c:v>
                </c:pt>
                <c:pt idx="1">
                  <c:v>7.3811999999999998</c:v>
                </c:pt>
                <c:pt idx="2">
                  <c:v>14.7624</c:v>
                </c:pt>
                <c:pt idx="3">
                  <c:v>20</c:v>
                </c:pt>
                <c:pt idx="4">
                  <c:v>26.25</c:v>
                </c:pt>
                <c:pt idx="5">
                  <c:v>32.5</c:v>
                </c:pt>
                <c:pt idx="6">
                  <c:v>38.75</c:v>
                </c:pt>
                <c:pt idx="7">
                  <c:v>45</c:v>
                </c:pt>
                <c:pt idx="8">
                  <c:v>51.25</c:v>
                </c:pt>
                <c:pt idx="9">
                  <c:v>57.5</c:v>
                </c:pt>
                <c:pt idx="10">
                  <c:v>63.75</c:v>
                </c:pt>
                <c:pt idx="11">
                  <c:v>70</c:v>
                </c:pt>
                <c:pt idx="12">
                  <c:v>76.25</c:v>
                </c:pt>
                <c:pt idx="13">
                  <c:v>82.5</c:v>
                </c:pt>
                <c:pt idx="14">
                  <c:v>88.75</c:v>
                </c:pt>
                <c:pt idx="15">
                  <c:v>95</c:v>
                </c:pt>
                <c:pt idx="16">
                  <c:v>101.25</c:v>
                </c:pt>
                <c:pt idx="17">
                  <c:v>107.5</c:v>
                </c:pt>
                <c:pt idx="18">
                  <c:v>113.75</c:v>
                </c:pt>
                <c:pt idx="19">
                  <c:v>120</c:v>
                </c:pt>
                <c:pt idx="20">
                  <c:v>126.25</c:v>
                </c:pt>
                <c:pt idx="21">
                  <c:v>132.5</c:v>
                </c:pt>
                <c:pt idx="22">
                  <c:v>138.75</c:v>
                </c:pt>
                <c:pt idx="23">
                  <c:v>145</c:v>
                </c:pt>
                <c:pt idx="24">
                  <c:v>151.25</c:v>
                </c:pt>
                <c:pt idx="25">
                  <c:v>157.5</c:v>
                </c:pt>
                <c:pt idx="26">
                  <c:v>163.75</c:v>
                </c:pt>
                <c:pt idx="27">
                  <c:v>170</c:v>
                </c:pt>
                <c:pt idx="28">
                  <c:v>176.25</c:v>
                </c:pt>
                <c:pt idx="29">
                  <c:v>182.5</c:v>
                </c:pt>
                <c:pt idx="30">
                  <c:v>188.75</c:v>
                </c:pt>
                <c:pt idx="31">
                  <c:v>195</c:v>
                </c:pt>
                <c:pt idx="32">
                  <c:v>201.25</c:v>
                </c:pt>
                <c:pt idx="33">
                  <c:v>207.5</c:v>
                </c:pt>
                <c:pt idx="34">
                  <c:v>213.75</c:v>
                </c:pt>
                <c:pt idx="35">
                  <c:v>220</c:v>
                </c:pt>
                <c:pt idx="36">
                  <c:v>225.23759999999999</c:v>
                </c:pt>
                <c:pt idx="37">
                  <c:v>232.61879999999999</c:v>
                </c:pt>
                <c:pt idx="38">
                  <c:v>240</c:v>
                </c:pt>
              </c:numCache>
            </c:numRef>
          </c:xVal>
          <c:yVal>
            <c:numRef>
              <c:f>Hasil!$BW$6:$BW$44</c:f>
              <c:numCache>
                <c:formatCode>0.000000E+00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28.114765046635</c:v>
                </c:pt>
                <c:pt idx="5">
                  <c:v>38.239681514485</c:v>
                </c:pt>
                <c:pt idx="6">
                  <c:v>50.296107134535006</c:v>
                </c:pt>
                <c:pt idx="7">
                  <c:v>60.351672767450012</c:v>
                </c:pt>
                <c:pt idx="8">
                  <c:v>68.076534635250013</c:v>
                </c:pt>
                <c:pt idx="9">
                  <c:v>73.1660412807</c:v>
                </c:pt>
                <c:pt idx="10">
                  <c:v>75.354407552550001</c:v>
                </c:pt>
                <c:pt idx="11">
                  <c:v>74.463425241099998</c:v>
                </c:pt>
                <c:pt idx="12">
                  <c:v>67.144436388800003</c:v>
                </c:pt>
                <c:pt idx="13">
                  <c:v>64.101093617150013</c:v>
                </c:pt>
                <c:pt idx="14">
                  <c:v>61.726824582050007</c:v>
                </c:pt>
                <c:pt idx="15">
                  <c:v>59.894933466650009</c:v>
                </c:pt>
                <c:pt idx="16">
                  <c:v>58.496715612515004</c:v>
                </c:pt>
                <c:pt idx="17">
                  <c:v>57.460200512280004</c:v>
                </c:pt>
                <c:pt idx="18">
                  <c:v>56.73344699263</c:v>
                </c:pt>
                <c:pt idx="19">
                  <c:v>56.277612242400004</c:v>
                </c:pt>
                <c:pt idx="20">
                  <c:v>55.901630511645003</c:v>
                </c:pt>
                <c:pt idx="21">
                  <c:v>56.087879823490006</c:v>
                </c:pt>
                <c:pt idx="22">
                  <c:v>56.660677661385009</c:v>
                </c:pt>
                <c:pt idx="23">
                  <c:v>57.616517423445003</c:v>
                </c:pt>
                <c:pt idx="24">
                  <c:v>58.964891016949998</c:v>
                </c:pt>
                <c:pt idx="25">
                  <c:v>60.736870341349999</c:v>
                </c:pt>
                <c:pt idx="26">
                  <c:v>62.99906908505001</c:v>
                </c:pt>
                <c:pt idx="27">
                  <c:v>65.834541436750001</c:v>
                </c:pt>
                <c:pt idx="28">
                  <c:v>72.515176029649993</c:v>
                </c:pt>
                <c:pt idx="29">
                  <c:v>73.220079366700006</c:v>
                </c:pt>
                <c:pt idx="30">
                  <c:v>71.013210924099994</c:v>
                </c:pt>
                <c:pt idx="31">
                  <c:v>66.046699661350004</c:v>
                </c:pt>
                <c:pt idx="32">
                  <c:v>58.560504048815005</c:v>
                </c:pt>
                <c:pt idx="33">
                  <c:v>48.836550179085002</c:v>
                </c:pt>
                <c:pt idx="34">
                  <c:v>37.186303007195001</c:v>
                </c:pt>
                <c:pt idx="35">
                  <c:v>27.507423949635001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717456"/>
        <c:axId val="1738369056"/>
      </c:scatterChart>
      <c:valAx>
        <c:axId val="1738717456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Aksial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38369056"/>
        <c:crosses val="autoZero"/>
        <c:crossBetween val="midCat"/>
      </c:valAx>
      <c:valAx>
        <c:axId val="173836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Densitas Daya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3871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Hasil!$CA$4</c:f>
              <c:strCache>
                <c:ptCount val="1"/>
                <c:pt idx="0">
                  <c:v>Benchmark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Hasil!$BZ$5:$BZ$9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</c:numCache>
            </c:numRef>
          </c:xVal>
          <c:yVal>
            <c:numRef>
              <c:f>Hasil!$CA$5:$CA$9</c:f>
              <c:numCache>
                <c:formatCode>0.0000E+00</c:formatCode>
                <c:ptCount val="5"/>
                <c:pt idx="0">
                  <c:v>1321200</c:v>
                </c:pt>
                <c:pt idx="1">
                  <c:v>330170</c:v>
                </c:pt>
                <c:pt idx="2">
                  <c:v>232040</c:v>
                </c:pt>
                <c:pt idx="3">
                  <c:v>154510</c:v>
                </c:pt>
                <c:pt idx="4" formatCode="0.00E+00">
                  <c:v>97747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Hasil!$CB$4</c:f>
              <c:strCache>
                <c:ptCount val="1"/>
                <c:pt idx="0">
                  <c:v>varfuel2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Hasil!$BZ$5:$BZ$9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</c:numCache>
            </c:numRef>
          </c:xVal>
          <c:yVal>
            <c:numRef>
              <c:f>Hasil!$CB$5:$CB$9</c:f>
              <c:numCache>
                <c:formatCode>0.0000E+00</c:formatCode>
                <c:ptCount val="5"/>
                <c:pt idx="0">
                  <c:v>220080</c:v>
                </c:pt>
                <c:pt idx="1">
                  <c:v>53601</c:v>
                </c:pt>
                <c:pt idx="2">
                  <c:v>35718</c:v>
                </c:pt>
                <c:pt idx="3">
                  <c:v>22856</c:v>
                </c:pt>
                <c:pt idx="4" formatCode="0.00E+00">
                  <c:v>14471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Hasil!$CC$4</c:f>
              <c:strCache>
                <c:ptCount val="1"/>
                <c:pt idx="0">
                  <c:v>varfuel4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Hasil!$BZ$5:$BZ$9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</c:numCache>
            </c:numRef>
          </c:xVal>
          <c:yVal>
            <c:numRef>
              <c:f>Hasil!$CC$5:$CC$9</c:f>
              <c:numCache>
                <c:formatCode>0.0000E+00</c:formatCode>
                <c:ptCount val="5"/>
                <c:pt idx="0">
                  <c:v>215750</c:v>
                </c:pt>
                <c:pt idx="1">
                  <c:v>56490</c:v>
                </c:pt>
                <c:pt idx="2">
                  <c:v>43446</c:v>
                </c:pt>
                <c:pt idx="3">
                  <c:v>32473</c:v>
                </c:pt>
                <c:pt idx="4" formatCode="0.00E+00">
                  <c:v>23654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Hasil!$CD$4</c:f>
              <c:strCache>
                <c:ptCount val="1"/>
                <c:pt idx="0">
                  <c:v>varfuel6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Hasil!$BZ$5:$BZ$9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</c:numCache>
            </c:numRef>
          </c:xVal>
          <c:yVal>
            <c:numRef>
              <c:f>Hasil!$CD$5:$CD$9</c:f>
              <c:numCache>
                <c:formatCode>0.0000E+00</c:formatCode>
                <c:ptCount val="5"/>
                <c:pt idx="0">
                  <c:v>211410</c:v>
                </c:pt>
                <c:pt idx="1">
                  <c:v>57004</c:v>
                </c:pt>
                <c:pt idx="2">
                  <c:v>46792</c:v>
                </c:pt>
                <c:pt idx="3">
                  <c:v>37744</c:v>
                </c:pt>
                <c:pt idx="4" formatCode="0.00E+00">
                  <c:v>29893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Hasil!$CE$4</c:f>
              <c:strCache>
                <c:ptCount val="1"/>
                <c:pt idx="0">
                  <c:v>varfuel8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Hasil!$BZ$5:$BZ$9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</c:numCache>
            </c:numRef>
          </c:xVal>
          <c:yVal>
            <c:numRef>
              <c:f>Hasil!$CE$5:$CE$9</c:f>
              <c:numCache>
                <c:formatCode>0.0000E+00</c:formatCode>
                <c:ptCount val="5"/>
                <c:pt idx="0">
                  <c:v>207060</c:v>
                </c:pt>
                <c:pt idx="1">
                  <c:v>56737</c:v>
                </c:pt>
                <c:pt idx="2">
                  <c:v>48269</c:v>
                </c:pt>
                <c:pt idx="3">
                  <c:v>40596</c:v>
                </c:pt>
                <c:pt idx="4" formatCode="0.00E+00">
                  <c:v>33708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Hasil!$CF$4</c:f>
              <c:strCache>
                <c:ptCount val="1"/>
                <c:pt idx="0">
                  <c:v>varfuel10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Hasil!$BZ$5:$BZ$9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</c:numCache>
            </c:numRef>
          </c:xVal>
          <c:yVal>
            <c:numRef>
              <c:f>Hasil!$CF$5:$CF$9</c:f>
              <c:numCache>
                <c:formatCode>0.0000E+00</c:formatCode>
                <c:ptCount val="5"/>
                <c:pt idx="0">
                  <c:v>202710</c:v>
                </c:pt>
                <c:pt idx="1">
                  <c:v>56121</c:v>
                </c:pt>
                <c:pt idx="2">
                  <c:v>48845</c:v>
                </c:pt>
                <c:pt idx="3">
                  <c:v>42169</c:v>
                </c:pt>
                <c:pt idx="4" formatCode="0.00E+00">
                  <c:v>36064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Hasil!$CG$4</c:f>
              <c:strCache>
                <c:ptCount val="1"/>
                <c:pt idx="0">
                  <c:v>varfuel12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Hasil!$BZ$5:$BZ$9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</c:numCache>
            </c:numRef>
          </c:xVal>
          <c:yVal>
            <c:numRef>
              <c:f>Hasil!$CG$5:$CG$9</c:f>
              <c:numCache>
                <c:formatCode>0.0000E+00</c:formatCode>
                <c:ptCount val="5"/>
                <c:pt idx="0">
                  <c:v>198360</c:v>
                </c:pt>
                <c:pt idx="1">
                  <c:v>55318</c:v>
                </c:pt>
                <c:pt idx="2">
                  <c:v>48923</c:v>
                </c:pt>
                <c:pt idx="3">
                  <c:v>43006</c:v>
                </c:pt>
                <c:pt idx="4" formatCode="0.00E+00">
                  <c:v>37532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Hasil!$CH$4</c:f>
              <c:strCache>
                <c:ptCount val="1"/>
                <c:pt idx="0">
                  <c:v>varfuel14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Hasil!$BZ$5:$BZ$9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</c:numCache>
            </c:numRef>
          </c:xVal>
          <c:yVal>
            <c:numRef>
              <c:f>Hasil!$CH$5:$CH$9</c:f>
              <c:numCache>
                <c:formatCode>0.0000E+00</c:formatCode>
                <c:ptCount val="5"/>
                <c:pt idx="0">
                  <c:v>193990</c:v>
                </c:pt>
                <c:pt idx="1">
                  <c:v>54402</c:v>
                </c:pt>
                <c:pt idx="2">
                  <c:v>48695</c:v>
                </c:pt>
                <c:pt idx="3">
                  <c:v>43382</c:v>
                </c:pt>
                <c:pt idx="4" formatCode="0.00E+00">
                  <c:v>38427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Hasil!$CI$4</c:f>
              <c:strCache>
                <c:ptCount val="1"/>
                <c:pt idx="0">
                  <c:v>varfuel16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Hasil!$BZ$5:$BZ$9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</c:numCache>
            </c:numRef>
          </c:xVal>
          <c:yVal>
            <c:numRef>
              <c:f>Hasil!$CI$5:$CI$9</c:f>
              <c:numCache>
                <c:formatCode>0.0000E+00</c:formatCode>
                <c:ptCount val="5"/>
                <c:pt idx="0">
                  <c:v>189620</c:v>
                </c:pt>
                <c:pt idx="1">
                  <c:v>53410</c:v>
                </c:pt>
                <c:pt idx="2">
                  <c:v>48264</c:v>
                </c:pt>
                <c:pt idx="3">
                  <c:v>43448</c:v>
                </c:pt>
                <c:pt idx="4" formatCode="0.00E+00">
                  <c:v>38932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Hasil!$CJ$4</c:f>
              <c:strCache>
                <c:ptCount val="1"/>
                <c:pt idx="0">
                  <c:v>varfuel18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Hasil!$BZ$5:$BZ$9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</c:numCache>
            </c:numRef>
          </c:xVal>
          <c:yVal>
            <c:numRef>
              <c:f>Hasil!$CJ$5:$CJ$9</c:f>
              <c:numCache>
                <c:formatCode>0.0000E+00</c:formatCode>
                <c:ptCount val="5"/>
                <c:pt idx="0">
                  <c:v>185250</c:v>
                </c:pt>
                <c:pt idx="1">
                  <c:v>52366</c:v>
                </c:pt>
                <c:pt idx="2">
                  <c:v>47689</c:v>
                </c:pt>
                <c:pt idx="3">
                  <c:v>43295</c:v>
                </c:pt>
                <c:pt idx="4" formatCode="0.00E+00">
                  <c:v>39154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Hasil!$CK$4</c:f>
              <c:strCache>
                <c:ptCount val="1"/>
                <c:pt idx="0">
                  <c:v>varfuel20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Hasil!$BZ$5:$BZ$9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</c:numCache>
            </c:numRef>
          </c:xVal>
          <c:yVal>
            <c:numRef>
              <c:f>Hasil!$CK$5:$CK$9</c:f>
              <c:numCache>
                <c:formatCode>0.0000E+00</c:formatCode>
                <c:ptCount val="5"/>
                <c:pt idx="0">
                  <c:v>180870</c:v>
                </c:pt>
                <c:pt idx="1">
                  <c:v>51282</c:v>
                </c:pt>
                <c:pt idx="2">
                  <c:v>47008</c:v>
                </c:pt>
                <c:pt idx="3">
                  <c:v>42978</c:v>
                </c:pt>
                <c:pt idx="4" formatCode="0.00E+00">
                  <c:v>39167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370144"/>
        <c:axId val="1738371232"/>
      </c:scatterChart>
      <c:valAx>
        <c:axId val="1738370144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38371232"/>
        <c:crosses val="autoZero"/>
        <c:crossBetween val="midCat"/>
      </c:valAx>
      <c:valAx>
        <c:axId val="173837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3837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Hasil!$CA$13</c:f>
              <c:strCache>
                <c:ptCount val="1"/>
                <c:pt idx="0">
                  <c:v>Benchmark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Hasil!$BZ$14:$BZ$18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</c:numCache>
            </c:numRef>
          </c:xVal>
          <c:yVal>
            <c:numRef>
              <c:f>Hasil!$CA$14:$CA$18</c:f>
              <c:numCache>
                <c:formatCode>0.0000E+00</c:formatCode>
                <c:ptCount val="5"/>
                <c:pt idx="0">
                  <c:v>0</c:v>
                </c:pt>
                <c:pt idx="1">
                  <c:v>21985</c:v>
                </c:pt>
                <c:pt idx="2">
                  <c:v>44379</c:v>
                </c:pt>
                <c:pt idx="3">
                  <c:v>54591</c:v>
                </c:pt>
                <c:pt idx="4" formatCode="0.00E+00">
                  <c:v>58464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Hasil!$CB$13</c:f>
              <c:strCache>
                <c:ptCount val="1"/>
                <c:pt idx="0">
                  <c:v>varfuel2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Hasil!$BZ$14:$BZ$18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</c:numCache>
            </c:numRef>
          </c:xVal>
          <c:yVal>
            <c:numRef>
              <c:f>Hasil!$CB$14:$CB$18</c:f>
              <c:numCache>
                <c:formatCode>0.0000E+00</c:formatCode>
                <c:ptCount val="5"/>
                <c:pt idx="0">
                  <c:v>320390</c:v>
                </c:pt>
                <c:pt idx="1">
                  <c:v>88385</c:v>
                </c:pt>
                <c:pt idx="2">
                  <c:v>79934</c:v>
                </c:pt>
                <c:pt idx="3">
                  <c:v>73421</c:v>
                </c:pt>
                <c:pt idx="4" formatCode="0.00E+00">
                  <c:v>69357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Hasil!$CC$13</c:f>
              <c:strCache>
                <c:ptCount val="1"/>
                <c:pt idx="0">
                  <c:v>varfuel4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Hasil!$BZ$14:$BZ$18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</c:numCache>
            </c:numRef>
          </c:xVal>
          <c:yVal>
            <c:numRef>
              <c:f>Hasil!$CC$14:$CC$18</c:f>
              <c:numCache>
                <c:formatCode>0.0000E+00</c:formatCode>
                <c:ptCount val="5"/>
                <c:pt idx="0">
                  <c:v>641260</c:v>
                </c:pt>
                <c:pt idx="1">
                  <c:v>172510</c:v>
                </c:pt>
                <c:pt idx="2">
                  <c:v>146520</c:v>
                </c:pt>
                <c:pt idx="3">
                  <c:v>126520</c:v>
                </c:pt>
                <c:pt idx="4" formatCode="0.00E+00">
                  <c:v>111910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Hasil!$CD$13</c:f>
              <c:strCache>
                <c:ptCount val="1"/>
                <c:pt idx="0">
                  <c:v>varfuel6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Hasil!$BZ$14:$BZ$18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</c:numCache>
            </c:numRef>
          </c:xVal>
          <c:yVal>
            <c:numRef>
              <c:f>Hasil!$CD$14:$CD$18</c:f>
              <c:numCache>
                <c:formatCode>0.0000E+00</c:formatCode>
                <c:ptCount val="5"/>
                <c:pt idx="0">
                  <c:v>962600</c:v>
                </c:pt>
                <c:pt idx="1">
                  <c:v>262180</c:v>
                </c:pt>
                <c:pt idx="2">
                  <c:v>224920</c:v>
                </c:pt>
                <c:pt idx="3">
                  <c:v>194440</c:v>
                </c:pt>
                <c:pt idx="4" formatCode="0.00E+00">
                  <c:v>170120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Hasil!$CE$13</c:f>
              <c:strCache>
                <c:ptCount val="1"/>
                <c:pt idx="0">
                  <c:v>varfuel8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Hasil!$BZ$14:$BZ$18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</c:numCache>
            </c:numRef>
          </c:xVal>
          <c:yVal>
            <c:numRef>
              <c:f>Hasil!$CE$14:$CE$18</c:f>
              <c:numCache>
                <c:formatCode>0.0000E+00</c:formatCode>
                <c:ptCount val="5"/>
                <c:pt idx="0">
                  <c:v>1284400</c:v>
                </c:pt>
                <c:pt idx="1">
                  <c:v>353940</c:v>
                </c:pt>
                <c:pt idx="2">
                  <c:v>308800</c:v>
                </c:pt>
                <c:pt idx="3">
                  <c:v>270270</c:v>
                </c:pt>
                <c:pt idx="4" formatCode="0.00E+00">
                  <c:v>237780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Hasil!$CF$13</c:f>
              <c:strCache>
                <c:ptCount val="1"/>
                <c:pt idx="0">
                  <c:v>varfuel10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Hasil!$BZ$14:$BZ$18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</c:numCache>
            </c:numRef>
          </c:xVal>
          <c:yVal>
            <c:numRef>
              <c:f>Hasil!$CF$14:$CF$18</c:f>
              <c:numCache>
                <c:formatCode>0.0000E+00</c:formatCode>
                <c:ptCount val="5"/>
                <c:pt idx="0">
                  <c:v>1606700</c:v>
                </c:pt>
                <c:pt idx="1">
                  <c:v>446780</c:v>
                </c:pt>
                <c:pt idx="2">
                  <c:v>395680</c:v>
                </c:pt>
                <c:pt idx="3">
                  <c:v>350710</c:v>
                </c:pt>
                <c:pt idx="4" formatCode="0.00E+00">
                  <c:v>311390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Hasil!$CG$13</c:f>
              <c:strCache>
                <c:ptCount val="1"/>
                <c:pt idx="0">
                  <c:v>varfuel12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Hasil!$BZ$14:$BZ$18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</c:numCache>
            </c:numRef>
          </c:xVal>
          <c:yVal>
            <c:numRef>
              <c:f>Hasil!$CG$14:$CG$18</c:f>
              <c:numCache>
                <c:formatCode>0.0000E+00</c:formatCode>
                <c:ptCount val="5"/>
                <c:pt idx="0">
                  <c:v>1820100</c:v>
                </c:pt>
                <c:pt idx="1">
                  <c:v>540270</c:v>
                </c:pt>
                <c:pt idx="2">
                  <c:v>484430</c:v>
                </c:pt>
                <c:pt idx="3">
                  <c:v>434130</c:v>
                </c:pt>
                <c:pt idx="4" formatCode="0.00E+00">
                  <c:v>389030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Hasil!$CH$13</c:f>
              <c:strCache>
                <c:ptCount val="1"/>
                <c:pt idx="0">
                  <c:v>varfuel14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Hasil!$BZ$14:$BZ$18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</c:numCache>
            </c:numRef>
          </c:xVal>
          <c:yVal>
            <c:numRef>
              <c:f>Hasil!$CH$14:$CH$18</c:f>
              <c:numCache>
                <c:formatCode>0.0000E+00</c:formatCode>
                <c:ptCount val="5"/>
                <c:pt idx="0">
                  <c:v>2252800</c:v>
                </c:pt>
                <c:pt idx="1">
                  <c:v>634250</c:v>
                </c:pt>
                <c:pt idx="2">
                  <c:v>574460</c:v>
                </c:pt>
                <c:pt idx="3">
                  <c:v>519640</c:v>
                </c:pt>
                <c:pt idx="4" formatCode="0.00E+00">
                  <c:v>469550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Hasil!$CI$13</c:f>
              <c:strCache>
                <c:ptCount val="1"/>
                <c:pt idx="0">
                  <c:v>varfuel16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Hasil!$BZ$14:$BZ$18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</c:numCache>
            </c:numRef>
          </c:xVal>
          <c:yVal>
            <c:numRef>
              <c:f>Hasil!$CI$14:$CI$18</c:f>
              <c:numCache>
                <c:formatCode>0.0000E+00</c:formatCode>
                <c:ptCount val="5"/>
                <c:pt idx="0">
                  <c:v>2576500</c:v>
                </c:pt>
                <c:pt idx="1">
                  <c:v>728590</c:v>
                </c:pt>
                <c:pt idx="2">
                  <c:v>665440</c:v>
                </c:pt>
                <c:pt idx="3">
                  <c:v>606720</c:v>
                </c:pt>
                <c:pt idx="4" formatCode="0.00E+00">
                  <c:v>552270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Hasil!$CJ$13</c:f>
              <c:strCache>
                <c:ptCount val="1"/>
                <c:pt idx="0">
                  <c:v>varfuel18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Hasil!$BZ$14:$BZ$18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</c:numCache>
            </c:numRef>
          </c:xVal>
          <c:yVal>
            <c:numRef>
              <c:f>Hasil!$CJ$14:$CJ$18</c:f>
              <c:numCache>
                <c:formatCode>0.0000E+00</c:formatCode>
                <c:ptCount val="5"/>
                <c:pt idx="0">
                  <c:v>2900800</c:v>
                </c:pt>
                <c:pt idx="1">
                  <c:v>823240</c:v>
                </c:pt>
                <c:pt idx="2">
                  <c:v>757170</c:v>
                </c:pt>
                <c:pt idx="3">
                  <c:v>695020</c:v>
                </c:pt>
                <c:pt idx="4" formatCode="0.00E+00">
                  <c:v>636710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Hasil!$CK$13</c:f>
              <c:strCache>
                <c:ptCount val="1"/>
                <c:pt idx="0">
                  <c:v>varfuel20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Hasil!$BZ$14:$BZ$18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</c:numCache>
            </c:numRef>
          </c:xVal>
          <c:yVal>
            <c:numRef>
              <c:f>Hasil!$CK$14:$CK$18</c:f>
              <c:numCache>
                <c:formatCode>0.0000E+00</c:formatCode>
                <c:ptCount val="5"/>
                <c:pt idx="0">
                  <c:v>3225500</c:v>
                </c:pt>
                <c:pt idx="1">
                  <c:v>918160</c:v>
                </c:pt>
                <c:pt idx="2">
                  <c:v>849520</c:v>
                </c:pt>
                <c:pt idx="3">
                  <c:v>784320</c:v>
                </c:pt>
                <c:pt idx="4" formatCode="0.00E+00">
                  <c:v>722560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371776"/>
        <c:axId val="1738372320"/>
      </c:scatterChart>
      <c:valAx>
        <c:axId val="1738371776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38372320"/>
        <c:crosses val="autoZero"/>
        <c:crossBetween val="midCat"/>
      </c:valAx>
      <c:valAx>
        <c:axId val="17383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3837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Hasil!$H$5</c:f>
              <c:strCache>
                <c:ptCount val="1"/>
                <c:pt idx="0">
                  <c:v>Benchmark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Hasil!$G$6:$G$94</c:f>
              <c:numCache>
                <c:formatCode>General</c:formatCode>
                <c:ptCount val="89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  <c:pt idx="65">
                  <c:v>5.0821355236139629</c:v>
                </c:pt>
                <c:pt idx="66">
                  <c:v>5.1642710472279258</c:v>
                </c:pt>
                <c:pt idx="67">
                  <c:v>5.2464065708418888</c:v>
                </c:pt>
                <c:pt idx="68">
                  <c:v>5.3285420944558526</c:v>
                </c:pt>
                <c:pt idx="69">
                  <c:v>5.4106776180698155</c:v>
                </c:pt>
                <c:pt idx="70">
                  <c:v>5.4928131416837784</c:v>
                </c:pt>
                <c:pt idx="71">
                  <c:v>5.5749486652977414</c:v>
                </c:pt>
                <c:pt idx="72">
                  <c:v>5.6570841889117043</c:v>
                </c:pt>
                <c:pt idx="73">
                  <c:v>5.7392197125256672</c:v>
                </c:pt>
                <c:pt idx="74">
                  <c:v>5.8213552361396301</c:v>
                </c:pt>
                <c:pt idx="75">
                  <c:v>5.9034907597535931</c:v>
                </c:pt>
                <c:pt idx="76">
                  <c:v>6</c:v>
                </c:pt>
                <c:pt idx="77">
                  <c:v>6.0821355236139629</c:v>
                </c:pt>
                <c:pt idx="78">
                  <c:v>6.1642710472279258</c:v>
                </c:pt>
                <c:pt idx="79">
                  <c:v>6.2464065708418888</c:v>
                </c:pt>
                <c:pt idx="80">
                  <c:v>6.3285420944558526</c:v>
                </c:pt>
                <c:pt idx="81">
                  <c:v>6.4106776180698155</c:v>
                </c:pt>
                <c:pt idx="82">
                  <c:v>6.4928131416837784</c:v>
                </c:pt>
                <c:pt idx="83">
                  <c:v>6.5749486652977414</c:v>
                </c:pt>
                <c:pt idx="84">
                  <c:v>6.6570841889117043</c:v>
                </c:pt>
                <c:pt idx="85">
                  <c:v>6.7392197125256672</c:v>
                </c:pt>
                <c:pt idx="86">
                  <c:v>6.8213552361396301</c:v>
                </c:pt>
                <c:pt idx="87">
                  <c:v>6.9034907597535931</c:v>
                </c:pt>
                <c:pt idx="88">
                  <c:v>7</c:v>
                </c:pt>
              </c:numCache>
            </c:numRef>
          </c:xVal>
          <c:yVal>
            <c:numRef>
              <c:f>Hasil!$H$6:$H$94</c:f>
              <c:numCache>
                <c:formatCode>General</c:formatCode>
                <c:ptCount val="89"/>
                <c:pt idx="0">
                  <c:v>1.1035820999999999</c:v>
                </c:pt>
                <c:pt idx="1">
                  <c:v>1.0720516</c:v>
                </c:pt>
                <c:pt idx="2">
                  <c:v>1.0714644</c:v>
                </c:pt>
                <c:pt idx="3">
                  <c:v>1.0695281999999999</c:v>
                </c:pt>
                <c:pt idx="4">
                  <c:v>1.0671405</c:v>
                </c:pt>
                <c:pt idx="5">
                  <c:v>1.0629377</c:v>
                </c:pt>
                <c:pt idx="6">
                  <c:v>1.0602526999999999</c:v>
                </c:pt>
                <c:pt idx="7">
                  <c:v>1.0544766999999999</c:v>
                </c:pt>
                <c:pt idx="8">
                  <c:v>1.0504937999999999</c:v>
                </c:pt>
                <c:pt idx="9">
                  <c:v>1.0487412</c:v>
                </c:pt>
                <c:pt idx="10">
                  <c:v>1.0501573</c:v>
                </c:pt>
                <c:pt idx="11">
                  <c:v>1.0563487</c:v>
                </c:pt>
                <c:pt idx="12">
                  <c:v>1.0669028</c:v>
                </c:pt>
                <c:pt idx="13">
                  <c:v>1.0802451</c:v>
                </c:pt>
                <c:pt idx="14">
                  <c:v>1.0899519</c:v>
                </c:pt>
                <c:pt idx="15">
                  <c:v>1.0890678</c:v>
                </c:pt>
                <c:pt idx="16">
                  <c:v>1.0850519000000001</c:v>
                </c:pt>
                <c:pt idx="17">
                  <c:v>1.0851443000000001</c:v>
                </c:pt>
                <c:pt idx="18">
                  <c:v>1.0796911</c:v>
                </c:pt>
                <c:pt idx="19">
                  <c:v>1.0745792000000001</c:v>
                </c:pt>
                <c:pt idx="20">
                  <c:v>1.0712229</c:v>
                </c:pt>
                <c:pt idx="21">
                  <c:v>1.0697478</c:v>
                </c:pt>
                <c:pt idx="22">
                  <c:v>1.0698274000000001</c:v>
                </c:pt>
                <c:pt idx="23">
                  <c:v>1.0695101</c:v>
                </c:pt>
                <c:pt idx="24">
                  <c:v>1.0673044</c:v>
                </c:pt>
                <c:pt idx="25">
                  <c:v>1.0648493999999999</c:v>
                </c:pt>
                <c:pt idx="26">
                  <c:v>1.0614775000000001</c:v>
                </c:pt>
                <c:pt idx="27">
                  <c:v>1.0575437999999999</c:v>
                </c:pt>
                <c:pt idx="28">
                  <c:v>1.0540456</c:v>
                </c:pt>
                <c:pt idx="29">
                  <c:v>1.0503513</c:v>
                </c:pt>
                <c:pt idx="30">
                  <c:v>1.0474490000000001</c:v>
                </c:pt>
                <c:pt idx="31">
                  <c:v>1.0447061</c:v>
                </c:pt>
                <c:pt idx="32">
                  <c:v>1.0425732000000001</c:v>
                </c:pt>
                <c:pt idx="33">
                  <c:v>1.0401376</c:v>
                </c:pt>
                <c:pt idx="34">
                  <c:v>1.0378569</c:v>
                </c:pt>
                <c:pt idx="35">
                  <c:v>1.0353406999999999</c:v>
                </c:pt>
                <c:pt idx="36">
                  <c:v>1.0330321</c:v>
                </c:pt>
                <c:pt idx="37">
                  <c:v>1.0311634999999999</c:v>
                </c:pt>
                <c:pt idx="38">
                  <c:v>1.0291526</c:v>
                </c:pt>
                <c:pt idx="39">
                  <c:v>1.0268739</c:v>
                </c:pt>
                <c:pt idx="40">
                  <c:v>1.0250367</c:v>
                </c:pt>
                <c:pt idx="41">
                  <c:v>1.0250587</c:v>
                </c:pt>
                <c:pt idx="42">
                  <c:v>1.0225519000000001</c:v>
                </c:pt>
                <c:pt idx="43">
                  <c:v>1.020472</c:v>
                </c:pt>
                <c:pt idx="44">
                  <c:v>1.0181636000000001</c:v>
                </c:pt>
                <c:pt idx="45">
                  <c:v>1.0158895999999999</c:v>
                </c:pt>
                <c:pt idx="46">
                  <c:v>1.0137388000000001</c:v>
                </c:pt>
                <c:pt idx="47">
                  <c:v>1.0113713</c:v>
                </c:pt>
                <c:pt idx="48">
                  <c:v>1.0090014</c:v>
                </c:pt>
                <c:pt idx="49">
                  <c:v>1.0065010000000001</c:v>
                </c:pt>
                <c:pt idx="50">
                  <c:v>1.0039393000000001</c:v>
                </c:pt>
                <c:pt idx="51">
                  <c:v>1.0015129</c:v>
                </c:pt>
                <c:pt idx="52">
                  <c:v>0.99908710000000001</c:v>
                </c:pt>
                <c:pt idx="53">
                  <c:v>0.99624159999999995</c:v>
                </c:pt>
                <c:pt idx="54">
                  <c:v>0.9936526</c:v>
                </c:pt>
                <c:pt idx="55">
                  <c:v>0.99117449999999996</c:v>
                </c:pt>
                <c:pt idx="56">
                  <c:v>0.9884406</c:v>
                </c:pt>
                <c:pt idx="57">
                  <c:v>0.98535010000000001</c:v>
                </c:pt>
                <c:pt idx="58">
                  <c:v>0.98233159999999997</c:v>
                </c:pt>
                <c:pt idx="59">
                  <c:v>0.97935530000000004</c:v>
                </c:pt>
                <c:pt idx="60">
                  <c:v>0.97600469999999995</c:v>
                </c:pt>
                <c:pt idx="61">
                  <c:v>0.97261629999999999</c:v>
                </c:pt>
                <c:pt idx="62">
                  <c:v>0.96926179999999995</c:v>
                </c:pt>
                <c:pt idx="63">
                  <c:v>0.96584119999999996</c:v>
                </c:pt>
                <c:pt idx="64">
                  <c:v>0.96243809999999996</c:v>
                </c:pt>
                <c:pt idx="65">
                  <c:v>0.9624066</c:v>
                </c:pt>
                <c:pt idx="66">
                  <c:v>0.95904140000000004</c:v>
                </c:pt>
                <c:pt idx="67">
                  <c:v>0.95571200000000001</c:v>
                </c:pt>
                <c:pt idx="68">
                  <c:v>0.95238210000000001</c:v>
                </c:pt>
                <c:pt idx="69">
                  <c:v>0.94907160000000002</c:v>
                </c:pt>
                <c:pt idx="70">
                  <c:v>0.94576099999999996</c:v>
                </c:pt>
                <c:pt idx="71">
                  <c:v>0.94250120000000004</c:v>
                </c:pt>
                <c:pt idx="72">
                  <c:v>0.93927400000000005</c:v>
                </c:pt>
                <c:pt idx="73">
                  <c:v>0.93608769999999997</c:v>
                </c:pt>
                <c:pt idx="74">
                  <c:v>0.93293420000000005</c:v>
                </c:pt>
                <c:pt idx="75">
                  <c:v>0.92983130000000003</c:v>
                </c:pt>
                <c:pt idx="76">
                  <c:v>0.92673689999999997</c:v>
                </c:pt>
                <c:pt idx="77">
                  <c:v>0.92312320000000003</c:v>
                </c:pt>
                <c:pt idx="78">
                  <c:v>0.92004819999999998</c:v>
                </c:pt>
                <c:pt idx="79">
                  <c:v>0.91699450000000005</c:v>
                </c:pt>
                <c:pt idx="80">
                  <c:v>0.91396049999999995</c:v>
                </c:pt>
                <c:pt idx="81">
                  <c:v>0.91094560000000002</c:v>
                </c:pt>
                <c:pt idx="82">
                  <c:v>0.90795170000000003</c:v>
                </c:pt>
                <c:pt idx="83">
                  <c:v>0.90496719999999997</c:v>
                </c:pt>
                <c:pt idx="84">
                  <c:v>0.90201229999999999</c:v>
                </c:pt>
                <c:pt idx="85">
                  <c:v>0.89907700000000002</c:v>
                </c:pt>
                <c:pt idx="86">
                  <c:v>0.89615370000000005</c:v>
                </c:pt>
                <c:pt idx="87">
                  <c:v>0.89327769999999995</c:v>
                </c:pt>
                <c:pt idx="88">
                  <c:v>0.89047149999999997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Hasil!$N$5</c:f>
              <c:strCache>
                <c:ptCount val="1"/>
                <c:pt idx="0">
                  <c:v>MOX 12%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Hasil!$G$6:$G$94</c:f>
              <c:numCache>
                <c:formatCode>General</c:formatCode>
                <c:ptCount val="89"/>
                <c:pt idx="0">
                  <c:v>0</c:v>
                </c:pt>
                <c:pt idx="1">
                  <c:v>2.7378507871321013E-3</c:v>
                </c:pt>
                <c:pt idx="2">
                  <c:v>1.3689253935660506E-2</c:v>
                </c:pt>
                <c:pt idx="3">
                  <c:v>2.7378507871321012E-2</c:v>
                </c:pt>
                <c:pt idx="4">
                  <c:v>5.4757015742642023E-2</c:v>
                </c:pt>
                <c:pt idx="5">
                  <c:v>8.2135523613963035E-2</c:v>
                </c:pt>
                <c:pt idx="6">
                  <c:v>0.16427104722792607</c:v>
                </c:pt>
                <c:pt idx="7">
                  <c:v>0.24640657084188911</c:v>
                </c:pt>
                <c:pt idx="8">
                  <c:v>0.32854209445585214</c:v>
                </c:pt>
                <c:pt idx="9">
                  <c:v>0.41067761806981518</c:v>
                </c:pt>
                <c:pt idx="10">
                  <c:v>0.49281314168377821</c:v>
                </c:pt>
                <c:pt idx="11">
                  <c:v>0.57494866529774125</c:v>
                </c:pt>
                <c:pt idx="12">
                  <c:v>0.65708418891170428</c:v>
                </c:pt>
                <c:pt idx="13">
                  <c:v>0.73921971252566732</c:v>
                </c:pt>
                <c:pt idx="14">
                  <c:v>0.82135523613963035</c:v>
                </c:pt>
                <c:pt idx="15">
                  <c:v>0.90349075975359339</c:v>
                </c:pt>
                <c:pt idx="16">
                  <c:v>1</c:v>
                </c:pt>
                <c:pt idx="17">
                  <c:v>1.0821355236139631</c:v>
                </c:pt>
                <c:pt idx="18">
                  <c:v>1.1642710472279261</c:v>
                </c:pt>
                <c:pt idx="19">
                  <c:v>1.2464065708418892</c:v>
                </c:pt>
                <c:pt idx="20">
                  <c:v>1.3285420944558521</c:v>
                </c:pt>
                <c:pt idx="21">
                  <c:v>1.4106776180698153</c:v>
                </c:pt>
                <c:pt idx="22">
                  <c:v>1.4928131416837782</c:v>
                </c:pt>
                <c:pt idx="23">
                  <c:v>1.5749486652977414</c:v>
                </c:pt>
                <c:pt idx="24">
                  <c:v>1.6570841889117043</c:v>
                </c:pt>
                <c:pt idx="25">
                  <c:v>1.7392197125256674</c:v>
                </c:pt>
                <c:pt idx="26">
                  <c:v>1.8213552361396304</c:v>
                </c:pt>
                <c:pt idx="27">
                  <c:v>1.9034907597535935</c:v>
                </c:pt>
                <c:pt idx="28">
                  <c:v>2</c:v>
                </c:pt>
                <c:pt idx="29">
                  <c:v>2.0821355236139629</c:v>
                </c:pt>
                <c:pt idx="30">
                  <c:v>2.1642710472279263</c:v>
                </c:pt>
                <c:pt idx="31">
                  <c:v>2.2464065708418892</c:v>
                </c:pt>
                <c:pt idx="32">
                  <c:v>2.3285420944558521</c:v>
                </c:pt>
                <c:pt idx="33">
                  <c:v>2.4106776180698151</c:v>
                </c:pt>
                <c:pt idx="34">
                  <c:v>2.4928131416837784</c:v>
                </c:pt>
                <c:pt idx="35">
                  <c:v>2.5749486652977414</c:v>
                </c:pt>
                <c:pt idx="36">
                  <c:v>2.6570841889117043</c:v>
                </c:pt>
                <c:pt idx="37">
                  <c:v>2.7392197125256672</c:v>
                </c:pt>
                <c:pt idx="38">
                  <c:v>2.8213552361396306</c:v>
                </c:pt>
                <c:pt idx="39">
                  <c:v>2.9034907597535935</c:v>
                </c:pt>
                <c:pt idx="40">
                  <c:v>3</c:v>
                </c:pt>
                <c:pt idx="41">
                  <c:v>3.0821355236139629</c:v>
                </c:pt>
                <c:pt idx="42">
                  <c:v>3.1642710472279263</c:v>
                </c:pt>
                <c:pt idx="43">
                  <c:v>3.2464065708418892</c:v>
                </c:pt>
                <c:pt idx="44">
                  <c:v>3.3285420944558521</c:v>
                </c:pt>
                <c:pt idx="45">
                  <c:v>3.4106776180698151</c:v>
                </c:pt>
                <c:pt idx="46">
                  <c:v>3.4928131416837784</c:v>
                </c:pt>
                <c:pt idx="47">
                  <c:v>3.5749486652977414</c:v>
                </c:pt>
                <c:pt idx="48">
                  <c:v>3.6570841889117043</c:v>
                </c:pt>
                <c:pt idx="49">
                  <c:v>3.7392197125256672</c:v>
                </c:pt>
                <c:pt idx="50">
                  <c:v>3.8213552361396306</c:v>
                </c:pt>
                <c:pt idx="51">
                  <c:v>3.9034907597535935</c:v>
                </c:pt>
                <c:pt idx="52">
                  <c:v>4</c:v>
                </c:pt>
                <c:pt idx="53">
                  <c:v>4.0821355236139629</c:v>
                </c:pt>
                <c:pt idx="54">
                  <c:v>4.1642710472279258</c:v>
                </c:pt>
                <c:pt idx="55">
                  <c:v>4.2464065708418888</c:v>
                </c:pt>
                <c:pt idx="56">
                  <c:v>4.3285420944558526</c:v>
                </c:pt>
                <c:pt idx="57">
                  <c:v>4.4106776180698155</c:v>
                </c:pt>
                <c:pt idx="58">
                  <c:v>4.4928131416837784</c:v>
                </c:pt>
                <c:pt idx="59">
                  <c:v>4.5749486652977414</c:v>
                </c:pt>
                <c:pt idx="60">
                  <c:v>4.6570841889117043</c:v>
                </c:pt>
                <c:pt idx="61">
                  <c:v>4.7392197125256672</c:v>
                </c:pt>
                <c:pt idx="62">
                  <c:v>4.8213552361396301</c:v>
                </c:pt>
                <c:pt idx="63">
                  <c:v>4.9034907597535931</c:v>
                </c:pt>
                <c:pt idx="64">
                  <c:v>5</c:v>
                </c:pt>
                <c:pt idx="65">
                  <c:v>5.0821355236139629</c:v>
                </c:pt>
                <c:pt idx="66">
                  <c:v>5.1642710472279258</c:v>
                </c:pt>
                <c:pt idx="67">
                  <c:v>5.2464065708418888</c:v>
                </c:pt>
                <c:pt idx="68">
                  <c:v>5.3285420944558526</c:v>
                </c:pt>
                <c:pt idx="69">
                  <c:v>5.4106776180698155</c:v>
                </c:pt>
                <c:pt idx="70">
                  <c:v>5.4928131416837784</c:v>
                </c:pt>
                <c:pt idx="71">
                  <c:v>5.5749486652977414</c:v>
                </c:pt>
                <c:pt idx="72">
                  <c:v>5.6570841889117043</c:v>
                </c:pt>
                <c:pt idx="73">
                  <c:v>5.7392197125256672</c:v>
                </c:pt>
                <c:pt idx="74">
                  <c:v>5.8213552361396301</c:v>
                </c:pt>
                <c:pt idx="75">
                  <c:v>5.9034907597535931</c:v>
                </c:pt>
                <c:pt idx="76">
                  <c:v>6</c:v>
                </c:pt>
                <c:pt idx="77">
                  <c:v>6.0821355236139629</c:v>
                </c:pt>
                <c:pt idx="78">
                  <c:v>6.1642710472279258</c:v>
                </c:pt>
                <c:pt idx="79">
                  <c:v>6.2464065708418888</c:v>
                </c:pt>
                <c:pt idx="80">
                  <c:v>6.3285420944558526</c:v>
                </c:pt>
                <c:pt idx="81">
                  <c:v>6.4106776180698155</c:v>
                </c:pt>
                <c:pt idx="82">
                  <c:v>6.4928131416837784</c:v>
                </c:pt>
                <c:pt idx="83">
                  <c:v>6.5749486652977414</c:v>
                </c:pt>
                <c:pt idx="84">
                  <c:v>6.6570841889117043</c:v>
                </c:pt>
                <c:pt idx="85">
                  <c:v>6.7392197125256672</c:v>
                </c:pt>
                <c:pt idx="86">
                  <c:v>6.8213552361396301</c:v>
                </c:pt>
                <c:pt idx="87">
                  <c:v>6.9034907597535931</c:v>
                </c:pt>
                <c:pt idx="88">
                  <c:v>7</c:v>
                </c:pt>
              </c:numCache>
            </c:numRef>
          </c:xVal>
          <c:yVal>
            <c:numRef>
              <c:f>Hasil!$N$6:$N$94</c:f>
              <c:numCache>
                <c:formatCode>0.0000000</c:formatCode>
                <c:ptCount val="89"/>
                <c:pt idx="0">
                  <c:v>1.0745932</c:v>
                </c:pt>
                <c:pt idx="1">
                  <c:v>1.0656914</c:v>
                </c:pt>
                <c:pt idx="2">
                  <c:v>1.0656106000000001</c:v>
                </c:pt>
                <c:pt idx="3">
                  <c:v>1.0648196000000001</c:v>
                </c:pt>
                <c:pt idx="4">
                  <c:v>1.0638406</c:v>
                </c:pt>
                <c:pt idx="5">
                  <c:v>1.0618764999999999</c:v>
                </c:pt>
                <c:pt idx="6">
                  <c:v>1.0602205</c:v>
                </c:pt>
                <c:pt idx="7">
                  <c:v>1.0562358000000001</c:v>
                </c:pt>
                <c:pt idx="8">
                  <c:v>1.0532428</c:v>
                </c:pt>
                <c:pt idx="9">
                  <c:v>1.0508776</c:v>
                </c:pt>
                <c:pt idx="10">
                  <c:v>1.0489609</c:v>
                </c:pt>
                <c:pt idx="11">
                  <c:v>1.0474032</c:v>
                </c:pt>
                <c:pt idx="12">
                  <c:v>1.0461530999999999</c:v>
                </c:pt>
                <c:pt idx="13">
                  <c:v>1.0451379000000001</c:v>
                </c:pt>
                <c:pt idx="14">
                  <c:v>1.0442697000000001</c:v>
                </c:pt>
                <c:pt idx="15">
                  <c:v>1.0436566</c:v>
                </c:pt>
                <c:pt idx="16">
                  <c:v>1.0430387000000001</c:v>
                </c:pt>
                <c:pt idx="17">
                  <c:v>1.0430428</c:v>
                </c:pt>
                <c:pt idx="18">
                  <c:v>1.0426381</c:v>
                </c:pt>
                <c:pt idx="19">
                  <c:v>1.0421115000000001</c:v>
                </c:pt>
                <c:pt idx="20">
                  <c:v>1.0415988</c:v>
                </c:pt>
                <c:pt idx="21">
                  <c:v>1.0408980999999999</c:v>
                </c:pt>
                <c:pt idx="22">
                  <c:v>1.0400794</c:v>
                </c:pt>
                <c:pt idx="23">
                  <c:v>1.0391518</c:v>
                </c:pt>
                <c:pt idx="24">
                  <c:v>1.0381351000000001</c:v>
                </c:pt>
                <c:pt idx="25">
                  <c:v>1.0369192</c:v>
                </c:pt>
                <c:pt idx="26">
                  <c:v>1.0356278000000001</c:v>
                </c:pt>
                <c:pt idx="27">
                  <c:v>1.0344168</c:v>
                </c:pt>
                <c:pt idx="28">
                  <c:v>1.0332698</c:v>
                </c:pt>
                <c:pt idx="29">
                  <c:v>1.0317752</c:v>
                </c:pt>
                <c:pt idx="30">
                  <c:v>1.0304869000000001</c:v>
                </c:pt>
                <c:pt idx="31">
                  <c:v>1.0292337</c:v>
                </c:pt>
                <c:pt idx="32">
                  <c:v>1.0279588</c:v>
                </c:pt>
                <c:pt idx="33">
                  <c:v>1.0266869999999999</c:v>
                </c:pt>
                <c:pt idx="34">
                  <c:v>1.0253702</c:v>
                </c:pt>
                <c:pt idx="35">
                  <c:v>1.024044</c:v>
                </c:pt>
                <c:pt idx="36">
                  <c:v>1.0227782999999999</c:v>
                </c:pt>
                <c:pt idx="37">
                  <c:v>1.0214380000000001</c:v>
                </c:pt>
                <c:pt idx="38">
                  <c:v>1.0200549000000001</c:v>
                </c:pt>
                <c:pt idx="39">
                  <c:v>1.0187457</c:v>
                </c:pt>
                <c:pt idx="40">
                  <c:v>1.0173752</c:v>
                </c:pt>
                <c:pt idx="41">
                  <c:v>1.0173873</c:v>
                </c:pt>
                <c:pt idx="42">
                  <c:v>1.0160203000000001</c:v>
                </c:pt>
                <c:pt idx="43">
                  <c:v>1.0146637999999999</c:v>
                </c:pt>
                <c:pt idx="44">
                  <c:v>1.0133046999999999</c:v>
                </c:pt>
                <c:pt idx="45">
                  <c:v>1.0120106</c:v>
                </c:pt>
                <c:pt idx="46">
                  <c:v>1.0106820999999999</c:v>
                </c:pt>
                <c:pt idx="47">
                  <c:v>1.0094205000000001</c:v>
                </c:pt>
                <c:pt idx="48">
                  <c:v>1.008127</c:v>
                </c:pt>
                <c:pt idx="49">
                  <c:v>1.0068051</c:v>
                </c:pt>
                <c:pt idx="50">
                  <c:v>1.0055107999999999</c:v>
                </c:pt>
                <c:pt idx="51">
                  <c:v>1.0042127000000001</c:v>
                </c:pt>
                <c:pt idx="52">
                  <c:v>1.0029273000000001</c:v>
                </c:pt>
                <c:pt idx="53">
                  <c:v>1.0014189</c:v>
                </c:pt>
                <c:pt idx="54">
                  <c:v>1.0002622999999999</c:v>
                </c:pt>
                <c:pt idx="55">
                  <c:v>0.99881200000000003</c:v>
                </c:pt>
                <c:pt idx="56">
                  <c:v>0.99764600000000003</c:v>
                </c:pt>
                <c:pt idx="57">
                  <c:v>0.99633769999999999</c:v>
                </c:pt>
                <c:pt idx="58">
                  <c:v>0.99509420000000004</c:v>
                </c:pt>
                <c:pt idx="59">
                  <c:v>0.99395199999999995</c:v>
                </c:pt>
                <c:pt idx="60">
                  <c:v>0.99254730000000002</c:v>
                </c:pt>
                <c:pt idx="61">
                  <c:v>0.99136219999999997</c:v>
                </c:pt>
                <c:pt idx="62">
                  <c:v>0.99005889999999996</c:v>
                </c:pt>
                <c:pt idx="63">
                  <c:v>0.98900189999999999</c:v>
                </c:pt>
                <c:pt idx="64">
                  <c:v>0.98756820000000001</c:v>
                </c:pt>
                <c:pt idx="65" formatCode="General">
                  <c:v>0.98763690000000004</c:v>
                </c:pt>
                <c:pt idx="66" formatCode="General">
                  <c:v>0.98643360000000002</c:v>
                </c:pt>
                <c:pt idx="67" formatCode="General">
                  <c:v>0.98515750000000002</c:v>
                </c:pt>
                <c:pt idx="68" formatCode="General">
                  <c:v>0.9839483</c:v>
                </c:pt>
                <c:pt idx="69" formatCode="General">
                  <c:v>0.9827321</c:v>
                </c:pt>
                <c:pt idx="70" formatCode="General">
                  <c:v>0.98153789999999996</c:v>
                </c:pt>
                <c:pt idx="71" formatCode="General">
                  <c:v>0.98033570000000003</c:v>
                </c:pt>
                <c:pt idx="72" formatCode="General">
                  <c:v>0.97913890000000003</c:v>
                </c:pt>
                <c:pt idx="73" formatCode="General">
                  <c:v>0.97794270000000005</c:v>
                </c:pt>
                <c:pt idx="74" formatCode="General">
                  <c:v>0.9768462</c:v>
                </c:pt>
                <c:pt idx="75" formatCode="General">
                  <c:v>0.97551489999999996</c:v>
                </c:pt>
                <c:pt idx="76" formatCode="General">
                  <c:v>0.97438780000000003</c:v>
                </c:pt>
                <c:pt idx="77" formatCode="General">
                  <c:v>0.97296519999999997</c:v>
                </c:pt>
                <c:pt idx="78" formatCode="General">
                  <c:v>0.97176410000000002</c:v>
                </c:pt>
                <c:pt idx="79" formatCode="General">
                  <c:v>0.97067199999999998</c:v>
                </c:pt>
                <c:pt idx="80" formatCode="General">
                  <c:v>0.9693119</c:v>
                </c:pt>
                <c:pt idx="81" formatCode="General">
                  <c:v>0.9682094</c:v>
                </c:pt>
                <c:pt idx="82" formatCode="General">
                  <c:v>0.96711100000000005</c:v>
                </c:pt>
                <c:pt idx="83" formatCode="General">
                  <c:v>0.96578470000000005</c:v>
                </c:pt>
                <c:pt idx="84" formatCode="General">
                  <c:v>0.96472769999999997</c:v>
                </c:pt>
                <c:pt idx="85" formatCode="General">
                  <c:v>0.96341549999999998</c:v>
                </c:pt>
                <c:pt idx="86" formatCode="General">
                  <c:v>0.96229359999999997</c:v>
                </c:pt>
                <c:pt idx="87" formatCode="General">
                  <c:v>0.96107860000000001</c:v>
                </c:pt>
                <c:pt idx="88" formatCode="General">
                  <c:v>0.95991910000000003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376128"/>
        <c:axId val="17383739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Hasil!$I$5</c15:sqref>
                        </c15:formulaRef>
                      </c:ext>
                    </c:extLst>
                    <c:strCache>
                      <c:ptCount val="1"/>
                      <c:pt idx="0">
                        <c:v>MOX 2%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Hasil!$G$6:$G$94</c15:sqref>
                        </c15:formulaRef>
                      </c:ext>
                    </c:extLst>
                    <c:numCache>
                      <c:formatCode>General</c:formatCode>
                      <c:ptCount val="89"/>
                      <c:pt idx="0">
                        <c:v>0</c:v>
                      </c:pt>
                      <c:pt idx="1">
                        <c:v>2.7378507871321013E-3</c:v>
                      </c:pt>
                      <c:pt idx="2">
                        <c:v>1.3689253935660506E-2</c:v>
                      </c:pt>
                      <c:pt idx="3">
                        <c:v>2.7378507871321012E-2</c:v>
                      </c:pt>
                      <c:pt idx="4">
                        <c:v>5.4757015742642023E-2</c:v>
                      </c:pt>
                      <c:pt idx="5">
                        <c:v>8.2135523613963035E-2</c:v>
                      </c:pt>
                      <c:pt idx="6">
                        <c:v>0.16427104722792607</c:v>
                      </c:pt>
                      <c:pt idx="7">
                        <c:v>0.24640657084188911</c:v>
                      </c:pt>
                      <c:pt idx="8">
                        <c:v>0.32854209445585214</c:v>
                      </c:pt>
                      <c:pt idx="9">
                        <c:v>0.41067761806981518</c:v>
                      </c:pt>
                      <c:pt idx="10">
                        <c:v>0.49281314168377821</c:v>
                      </c:pt>
                      <c:pt idx="11">
                        <c:v>0.57494866529774125</c:v>
                      </c:pt>
                      <c:pt idx="12">
                        <c:v>0.65708418891170428</c:v>
                      </c:pt>
                      <c:pt idx="13">
                        <c:v>0.73921971252566732</c:v>
                      </c:pt>
                      <c:pt idx="14">
                        <c:v>0.82135523613963035</c:v>
                      </c:pt>
                      <c:pt idx="15">
                        <c:v>0.90349075975359339</c:v>
                      </c:pt>
                      <c:pt idx="16">
                        <c:v>1</c:v>
                      </c:pt>
                      <c:pt idx="17">
                        <c:v>1.0821355236139631</c:v>
                      </c:pt>
                      <c:pt idx="18">
                        <c:v>1.1642710472279261</c:v>
                      </c:pt>
                      <c:pt idx="19">
                        <c:v>1.2464065708418892</c:v>
                      </c:pt>
                      <c:pt idx="20">
                        <c:v>1.3285420944558521</c:v>
                      </c:pt>
                      <c:pt idx="21">
                        <c:v>1.4106776180698153</c:v>
                      </c:pt>
                      <c:pt idx="22">
                        <c:v>1.4928131416837782</c:v>
                      </c:pt>
                      <c:pt idx="23">
                        <c:v>1.5749486652977414</c:v>
                      </c:pt>
                      <c:pt idx="24">
                        <c:v>1.6570841889117043</c:v>
                      </c:pt>
                      <c:pt idx="25">
                        <c:v>1.7392197125256674</c:v>
                      </c:pt>
                      <c:pt idx="26">
                        <c:v>1.8213552361396304</c:v>
                      </c:pt>
                      <c:pt idx="27">
                        <c:v>1.9034907597535935</c:v>
                      </c:pt>
                      <c:pt idx="28">
                        <c:v>2</c:v>
                      </c:pt>
                      <c:pt idx="29">
                        <c:v>2.0821355236139629</c:v>
                      </c:pt>
                      <c:pt idx="30">
                        <c:v>2.1642710472279263</c:v>
                      </c:pt>
                      <c:pt idx="31">
                        <c:v>2.2464065708418892</c:v>
                      </c:pt>
                      <c:pt idx="32">
                        <c:v>2.3285420944558521</c:v>
                      </c:pt>
                      <c:pt idx="33">
                        <c:v>2.4106776180698151</c:v>
                      </c:pt>
                      <c:pt idx="34">
                        <c:v>2.4928131416837784</c:v>
                      </c:pt>
                      <c:pt idx="35">
                        <c:v>2.5749486652977414</c:v>
                      </c:pt>
                      <c:pt idx="36">
                        <c:v>2.6570841889117043</c:v>
                      </c:pt>
                      <c:pt idx="37">
                        <c:v>2.7392197125256672</c:v>
                      </c:pt>
                      <c:pt idx="38">
                        <c:v>2.8213552361396306</c:v>
                      </c:pt>
                      <c:pt idx="39">
                        <c:v>2.9034907597535935</c:v>
                      </c:pt>
                      <c:pt idx="40">
                        <c:v>3</c:v>
                      </c:pt>
                      <c:pt idx="41">
                        <c:v>3.0821355236139629</c:v>
                      </c:pt>
                      <c:pt idx="42">
                        <c:v>3.1642710472279263</c:v>
                      </c:pt>
                      <c:pt idx="43">
                        <c:v>3.2464065708418892</c:v>
                      </c:pt>
                      <c:pt idx="44">
                        <c:v>3.3285420944558521</c:v>
                      </c:pt>
                      <c:pt idx="45">
                        <c:v>3.4106776180698151</c:v>
                      </c:pt>
                      <c:pt idx="46">
                        <c:v>3.4928131416837784</c:v>
                      </c:pt>
                      <c:pt idx="47">
                        <c:v>3.5749486652977414</c:v>
                      </c:pt>
                      <c:pt idx="48">
                        <c:v>3.6570841889117043</c:v>
                      </c:pt>
                      <c:pt idx="49">
                        <c:v>3.7392197125256672</c:v>
                      </c:pt>
                      <c:pt idx="50">
                        <c:v>3.8213552361396306</c:v>
                      </c:pt>
                      <c:pt idx="51">
                        <c:v>3.9034907597535935</c:v>
                      </c:pt>
                      <c:pt idx="52">
                        <c:v>4</c:v>
                      </c:pt>
                      <c:pt idx="53">
                        <c:v>4.0821355236139629</c:v>
                      </c:pt>
                      <c:pt idx="54">
                        <c:v>4.1642710472279258</c:v>
                      </c:pt>
                      <c:pt idx="55">
                        <c:v>4.2464065708418888</c:v>
                      </c:pt>
                      <c:pt idx="56">
                        <c:v>4.3285420944558526</c:v>
                      </c:pt>
                      <c:pt idx="57">
                        <c:v>4.4106776180698155</c:v>
                      </c:pt>
                      <c:pt idx="58">
                        <c:v>4.4928131416837784</c:v>
                      </c:pt>
                      <c:pt idx="59">
                        <c:v>4.5749486652977414</c:v>
                      </c:pt>
                      <c:pt idx="60">
                        <c:v>4.6570841889117043</c:v>
                      </c:pt>
                      <c:pt idx="61">
                        <c:v>4.7392197125256672</c:v>
                      </c:pt>
                      <c:pt idx="62">
                        <c:v>4.8213552361396301</c:v>
                      </c:pt>
                      <c:pt idx="63">
                        <c:v>4.9034907597535931</c:v>
                      </c:pt>
                      <c:pt idx="64">
                        <c:v>5</c:v>
                      </c:pt>
                      <c:pt idx="65">
                        <c:v>5.0821355236139629</c:v>
                      </c:pt>
                      <c:pt idx="66">
                        <c:v>5.1642710472279258</c:v>
                      </c:pt>
                      <c:pt idx="67">
                        <c:v>5.2464065708418888</c:v>
                      </c:pt>
                      <c:pt idx="68">
                        <c:v>5.3285420944558526</c:v>
                      </c:pt>
                      <c:pt idx="69">
                        <c:v>5.4106776180698155</c:v>
                      </c:pt>
                      <c:pt idx="70">
                        <c:v>5.4928131416837784</c:v>
                      </c:pt>
                      <c:pt idx="71">
                        <c:v>5.5749486652977414</c:v>
                      </c:pt>
                      <c:pt idx="72">
                        <c:v>5.6570841889117043</c:v>
                      </c:pt>
                      <c:pt idx="73">
                        <c:v>5.7392197125256672</c:v>
                      </c:pt>
                      <c:pt idx="74">
                        <c:v>5.8213552361396301</c:v>
                      </c:pt>
                      <c:pt idx="75">
                        <c:v>5.9034907597535931</c:v>
                      </c:pt>
                      <c:pt idx="76">
                        <c:v>6</c:v>
                      </c:pt>
                      <c:pt idx="77">
                        <c:v>6.0821355236139629</c:v>
                      </c:pt>
                      <c:pt idx="78">
                        <c:v>6.1642710472279258</c:v>
                      </c:pt>
                      <c:pt idx="79">
                        <c:v>6.2464065708418888</c:v>
                      </c:pt>
                      <c:pt idx="80">
                        <c:v>6.3285420944558526</c:v>
                      </c:pt>
                      <c:pt idx="81">
                        <c:v>6.4106776180698155</c:v>
                      </c:pt>
                      <c:pt idx="82">
                        <c:v>6.4928131416837784</c:v>
                      </c:pt>
                      <c:pt idx="83">
                        <c:v>6.5749486652977414</c:v>
                      </c:pt>
                      <c:pt idx="84">
                        <c:v>6.6570841889117043</c:v>
                      </c:pt>
                      <c:pt idx="85">
                        <c:v>6.7392197125256672</c:v>
                      </c:pt>
                      <c:pt idx="86">
                        <c:v>6.8213552361396301</c:v>
                      </c:pt>
                      <c:pt idx="87">
                        <c:v>6.9034907597535931</c:v>
                      </c:pt>
                      <c:pt idx="88">
                        <c:v>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Hasil!$I$6:$I$94</c15:sqref>
                        </c15:formulaRef>
                      </c:ext>
                    </c:extLst>
                    <c:numCache>
                      <c:formatCode>0.0000000</c:formatCode>
                      <c:ptCount val="89"/>
                      <c:pt idx="0">
                        <c:v>0.92837840000000005</c:v>
                      </c:pt>
                      <c:pt idx="1">
                        <c:v>0.90454429999999997</c:v>
                      </c:pt>
                      <c:pt idx="2">
                        <c:v>0.90388230000000003</c:v>
                      </c:pt>
                      <c:pt idx="3">
                        <c:v>0.90168320000000002</c:v>
                      </c:pt>
                      <c:pt idx="4">
                        <c:v>0.89897950000000004</c:v>
                      </c:pt>
                      <c:pt idx="5">
                        <c:v>0.89426320000000004</c:v>
                      </c:pt>
                      <c:pt idx="6">
                        <c:v>0.89135719999999996</c:v>
                      </c:pt>
                      <c:pt idx="7">
                        <c:v>0.88582320000000003</c:v>
                      </c:pt>
                      <c:pt idx="8">
                        <c:v>0.88266129999999998</c:v>
                      </c:pt>
                      <c:pt idx="9">
                        <c:v>0.88168190000000002</c:v>
                      </c:pt>
                      <c:pt idx="10">
                        <c:v>0.8831755</c:v>
                      </c:pt>
                      <c:pt idx="11">
                        <c:v>0.88983780000000001</c:v>
                      </c:pt>
                      <c:pt idx="12">
                        <c:v>0.90030209999999999</c:v>
                      </c:pt>
                      <c:pt idx="13">
                        <c:v>0.91265879999999999</c:v>
                      </c:pt>
                      <c:pt idx="14">
                        <c:v>0.91861979999999999</c:v>
                      </c:pt>
                      <c:pt idx="15">
                        <c:v>0.91708259999999997</c:v>
                      </c:pt>
                      <c:pt idx="16">
                        <c:v>0.91254849999999998</c:v>
                      </c:pt>
                      <c:pt idx="17">
                        <c:v>0.91261970000000003</c:v>
                      </c:pt>
                      <c:pt idx="18">
                        <c:v>0.90817820000000005</c:v>
                      </c:pt>
                      <c:pt idx="19">
                        <c:v>0.90453340000000004</c:v>
                      </c:pt>
                      <c:pt idx="20">
                        <c:v>0.90250189999999997</c:v>
                      </c:pt>
                      <c:pt idx="21">
                        <c:v>0.90199320000000005</c:v>
                      </c:pt>
                      <c:pt idx="22">
                        <c:v>0.90223200000000003</c:v>
                      </c:pt>
                      <c:pt idx="23">
                        <c:v>0.90224159999999998</c:v>
                      </c:pt>
                      <c:pt idx="24">
                        <c:v>0.90168230000000005</c:v>
                      </c:pt>
                      <c:pt idx="25">
                        <c:v>0.89997170000000004</c:v>
                      </c:pt>
                      <c:pt idx="26">
                        <c:v>0.89802839999999995</c:v>
                      </c:pt>
                      <c:pt idx="27">
                        <c:v>0.89540330000000001</c:v>
                      </c:pt>
                      <c:pt idx="28">
                        <c:v>0.8931907</c:v>
                      </c:pt>
                      <c:pt idx="29">
                        <c:v>0.89071140000000004</c:v>
                      </c:pt>
                      <c:pt idx="30">
                        <c:v>0.88899810000000001</c:v>
                      </c:pt>
                      <c:pt idx="31">
                        <c:v>0.88725920000000003</c:v>
                      </c:pt>
                      <c:pt idx="32">
                        <c:v>0.88598940000000004</c:v>
                      </c:pt>
                      <c:pt idx="33">
                        <c:v>0.88461250000000002</c:v>
                      </c:pt>
                      <c:pt idx="34">
                        <c:v>0.88314519999999996</c:v>
                      </c:pt>
                      <c:pt idx="35">
                        <c:v>0.88149949999999999</c:v>
                      </c:pt>
                      <c:pt idx="36">
                        <c:v>0.88003580000000003</c:v>
                      </c:pt>
                      <c:pt idx="37">
                        <c:v>0.87871560000000004</c:v>
                      </c:pt>
                      <c:pt idx="38">
                        <c:v>0.87741769999999997</c:v>
                      </c:pt>
                      <c:pt idx="39">
                        <c:v>0.8761852</c:v>
                      </c:pt>
                      <c:pt idx="40">
                        <c:v>0.8750213</c:v>
                      </c:pt>
                      <c:pt idx="41">
                        <c:v>0.87502279999999999</c:v>
                      </c:pt>
                      <c:pt idx="42">
                        <c:v>0.87356199999999995</c:v>
                      </c:pt>
                      <c:pt idx="43">
                        <c:v>0.87217880000000003</c:v>
                      </c:pt>
                      <c:pt idx="44">
                        <c:v>0.87072740000000004</c:v>
                      </c:pt>
                      <c:pt idx="45">
                        <c:v>0.86936150000000001</c:v>
                      </c:pt>
                      <c:pt idx="46">
                        <c:v>0.86808850000000004</c:v>
                      </c:pt>
                      <c:pt idx="47">
                        <c:v>0.86651330000000004</c:v>
                      </c:pt>
                      <c:pt idx="48">
                        <c:v>0.86518360000000005</c:v>
                      </c:pt>
                      <c:pt idx="49">
                        <c:v>0.86383560000000004</c:v>
                      </c:pt>
                      <c:pt idx="50">
                        <c:v>0.86219630000000003</c:v>
                      </c:pt>
                      <c:pt idx="51">
                        <c:v>0.86097670000000004</c:v>
                      </c:pt>
                      <c:pt idx="52">
                        <c:v>0.8593075</c:v>
                      </c:pt>
                      <c:pt idx="53">
                        <c:v>0.85764189999999996</c:v>
                      </c:pt>
                      <c:pt idx="54">
                        <c:v>0.85616219999999998</c:v>
                      </c:pt>
                      <c:pt idx="55">
                        <c:v>0.85474090000000003</c:v>
                      </c:pt>
                      <c:pt idx="56">
                        <c:v>0.85335649999999996</c:v>
                      </c:pt>
                      <c:pt idx="57">
                        <c:v>0.85178860000000001</c:v>
                      </c:pt>
                      <c:pt idx="58">
                        <c:v>0.85017750000000003</c:v>
                      </c:pt>
                      <c:pt idx="59">
                        <c:v>0.84855389999999997</c:v>
                      </c:pt>
                      <c:pt idx="60">
                        <c:v>0.84672029999999998</c:v>
                      </c:pt>
                      <c:pt idx="61">
                        <c:v>0.84495790000000004</c:v>
                      </c:pt>
                      <c:pt idx="62">
                        <c:v>0.84301959999999998</c:v>
                      </c:pt>
                      <c:pt idx="63">
                        <c:v>0.84111979999999997</c:v>
                      </c:pt>
                      <c:pt idx="64">
                        <c:v>0.83907900000000002</c:v>
                      </c:pt>
                      <c:pt idx="65" formatCode="General">
                        <c:v>0.83907019999999999</c:v>
                      </c:pt>
                      <c:pt idx="66" formatCode="General">
                        <c:v>0.83705039999999997</c:v>
                      </c:pt>
                      <c:pt idx="67" formatCode="General">
                        <c:v>0.83513250000000006</c:v>
                      </c:pt>
                      <c:pt idx="68" formatCode="General">
                        <c:v>0.83313349999999997</c:v>
                      </c:pt>
                      <c:pt idx="69" formatCode="General">
                        <c:v>0.83126100000000003</c:v>
                      </c:pt>
                      <c:pt idx="70" formatCode="General">
                        <c:v>0.82937289999999997</c:v>
                      </c:pt>
                      <c:pt idx="71" formatCode="General">
                        <c:v>0.82753710000000003</c:v>
                      </c:pt>
                      <c:pt idx="72" formatCode="General">
                        <c:v>0.82573850000000004</c:v>
                      </c:pt>
                      <c:pt idx="73" formatCode="General">
                        <c:v>0.82393970000000005</c:v>
                      </c:pt>
                      <c:pt idx="74" formatCode="General">
                        <c:v>0.82217750000000001</c:v>
                      </c:pt>
                      <c:pt idx="75" formatCode="General">
                        <c:v>0.82046450000000004</c:v>
                      </c:pt>
                      <c:pt idx="76" formatCode="General">
                        <c:v>0.81872310000000004</c:v>
                      </c:pt>
                      <c:pt idx="77" formatCode="General">
                        <c:v>0.81688700000000003</c:v>
                      </c:pt>
                      <c:pt idx="78" formatCode="General">
                        <c:v>0.81518100000000004</c:v>
                      </c:pt>
                      <c:pt idx="79" formatCode="General">
                        <c:v>0.81363529999999995</c:v>
                      </c:pt>
                      <c:pt idx="80" formatCode="General">
                        <c:v>0.81199889999999997</c:v>
                      </c:pt>
                      <c:pt idx="81" formatCode="General">
                        <c:v>0.81043310000000002</c:v>
                      </c:pt>
                      <c:pt idx="82" formatCode="General">
                        <c:v>0.80884579999999995</c:v>
                      </c:pt>
                      <c:pt idx="83" formatCode="General">
                        <c:v>0.80730329999999995</c:v>
                      </c:pt>
                      <c:pt idx="84" formatCode="General">
                        <c:v>0.80575949999999996</c:v>
                      </c:pt>
                      <c:pt idx="85" formatCode="General">
                        <c:v>0.80425939999999996</c:v>
                      </c:pt>
                      <c:pt idx="86" formatCode="General">
                        <c:v>0.8027917</c:v>
                      </c:pt>
                      <c:pt idx="87" formatCode="General">
                        <c:v>0.80134289999999997</c:v>
                      </c:pt>
                      <c:pt idx="88" formatCode="General">
                        <c:v>0.7999174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Hasil!$J$5</c15:sqref>
                        </c15:formulaRef>
                      </c:ext>
                    </c:extLst>
                    <c:strCache>
                      <c:ptCount val="1"/>
                      <c:pt idx="0">
                        <c:v>MOX 4%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Hasil!$G$6:$G$94</c15:sqref>
                        </c15:formulaRef>
                      </c:ext>
                    </c:extLst>
                    <c:numCache>
                      <c:formatCode>General</c:formatCode>
                      <c:ptCount val="89"/>
                      <c:pt idx="0">
                        <c:v>0</c:v>
                      </c:pt>
                      <c:pt idx="1">
                        <c:v>2.7378507871321013E-3</c:v>
                      </c:pt>
                      <c:pt idx="2">
                        <c:v>1.3689253935660506E-2</c:v>
                      </c:pt>
                      <c:pt idx="3">
                        <c:v>2.7378507871321012E-2</c:v>
                      </c:pt>
                      <c:pt idx="4">
                        <c:v>5.4757015742642023E-2</c:v>
                      </c:pt>
                      <c:pt idx="5">
                        <c:v>8.2135523613963035E-2</c:v>
                      </c:pt>
                      <c:pt idx="6">
                        <c:v>0.16427104722792607</c:v>
                      </c:pt>
                      <c:pt idx="7">
                        <c:v>0.24640657084188911</c:v>
                      </c:pt>
                      <c:pt idx="8">
                        <c:v>0.32854209445585214</c:v>
                      </c:pt>
                      <c:pt idx="9">
                        <c:v>0.41067761806981518</c:v>
                      </c:pt>
                      <c:pt idx="10">
                        <c:v>0.49281314168377821</c:v>
                      </c:pt>
                      <c:pt idx="11">
                        <c:v>0.57494866529774125</c:v>
                      </c:pt>
                      <c:pt idx="12">
                        <c:v>0.65708418891170428</c:v>
                      </c:pt>
                      <c:pt idx="13">
                        <c:v>0.73921971252566732</c:v>
                      </c:pt>
                      <c:pt idx="14">
                        <c:v>0.82135523613963035</c:v>
                      </c:pt>
                      <c:pt idx="15">
                        <c:v>0.90349075975359339</c:v>
                      </c:pt>
                      <c:pt idx="16">
                        <c:v>1</c:v>
                      </c:pt>
                      <c:pt idx="17">
                        <c:v>1.0821355236139631</c:v>
                      </c:pt>
                      <c:pt idx="18">
                        <c:v>1.1642710472279261</c:v>
                      </c:pt>
                      <c:pt idx="19">
                        <c:v>1.2464065708418892</c:v>
                      </c:pt>
                      <c:pt idx="20">
                        <c:v>1.3285420944558521</c:v>
                      </c:pt>
                      <c:pt idx="21">
                        <c:v>1.4106776180698153</c:v>
                      </c:pt>
                      <c:pt idx="22">
                        <c:v>1.4928131416837782</c:v>
                      </c:pt>
                      <c:pt idx="23">
                        <c:v>1.5749486652977414</c:v>
                      </c:pt>
                      <c:pt idx="24">
                        <c:v>1.6570841889117043</c:v>
                      </c:pt>
                      <c:pt idx="25">
                        <c:v>1.7392197125256674</c:v>
                      </c:pt>
                      <c:pt idx="26">
                        <c:v>1.8213552361396304</c:v>
                      </c:pt>
                      <c:pt idx="27">
                        <c:v>1.9034907597535935</c:v>
                      </c:pt>
                      <c:pt idx="28">
                        <c:v>2</c:v>
                      </c:pt>
                      <c:pt idx="29">
                        <c:v>2.0821355236139629</c:v>
                      </c:pt>
                      <c:pt idx="30">
                        <c:v>2.1642710472279263</c:v>
                      </c:pt>
                      <c:pt idx="31">
                        <c:v>2.2464065708418892</c:v>
                      </c:pt>
                      <c:pt idx="32">
                        <c:v>2.3285420944558521</c:v>
                      </c:pt>
                      <c:pt idx="33">
                        <c:v>2.4106776180698151</c:v>
                      </c:pt>
                      <c:pt idx="34">
                        <c:v>2.4928131416837784</c:v>
                      </c:pt>
                      <c:pt idx="35">
                        <c:v>2.5749486652977414</c:v>
                      </c:pt>
                      <c:pt idx="36">
                        <c:v>2.6570841889117043</c:v>
                      </c:pt>
                      <c:pt idx="37">
                        <c:v>2.7392197125256672</c:v>
                      </c:pt>
                      <c:pt idx="38">
                        <c:v>2.8213552361396306</c:v>
                      </c:pt>
                      <c:pt idx="39">
                        <c:v>2.9034907597535935</c:v>
                      </c:pt>
                      <c:pt idx="40">
                        <c:v>3</c:v>
                      </c:pt>
                      <c:pt idx="41">
                        <c:v>3.0821355236139629</c:v>
                      </c:pt>
                      <c:pt idx="42">
                        <c:v>3.1642710472279263</c:v>
                      </c:pt>
                      <c:pt idx="43">
                        <c:v>3.2464065708418892</c:v>
                      </c:pt>
                      <c:pt idx="44">
                        <c:v>3.3285420944558521</c:v>
                      </c:pt>
                      <c:pt idx="45">
                        <c:v>3.4106776180698151</c:v>
                      </c:pt>
                      <c:pt idx="46">
                        <c:v>3.4928131416837784</c:v>
                      </c:pt>
                      <c:pt idx="47">
                        <c:v>3.5749486652977414</c:v>
                      </c:pt>
                      <c:pt idx="48">
                        <c:v>3.6570841889117043</c:v>
                      </c:pt>
                      <c:pt idx="49">
                        <c:v>3.7392197125256672</c:v>
                      </c:pt>
                      <c:pt idx="50">
                        <c:v>3.8213552361396306</c:v>
                      </c:pt>
                      <c:pt idx="51">
                        <c:v>3.9034907597535935</c:v>
                      </c:pt>
                      <c:pt idx="52">
                        <c:v>4</c:v>
                      </c:pt>
                      <c:pt idx="53">
                        <c:v>4.0821355236139629</c:v>
                      </c:pt>
                      <c:pt idx="54">
                        <c:v>4.1642710472279258</c:v>
                      </c:pt>
                      <c:pt idx="55">
                        <c:v>4.2464065708418888</c:v>
                      </c:pt>
                      <c:pt idx="56">
                        <c:v>4.3285420944558526</c:v>
                      </c:pt>
                      <c:pt idx="57">
                        <c:v>4.4106776180698155</c:v>
                      </c:pt>
                      <c:pt idx="58">
                        <c:v>4.4928131416837784</c:v>
                      </c:pt>
                      <c:pt idx="59">
                        <c:v>4.5749486652977414</c:v>
                      </c:pt>
                      <c:pt idx="60">
                        <c:v>4.6570841889117043</c:v>
                      </c:pt>
                      <c:pt idx="61">
                        <c:v>4.7392197125256672</c:v>
                      </c:pt>
                      <c:pt idx="62">
                        <c:v>4.8213552361396301</c:v>
                      </c:pt>
                      <c:pt idx="63">
                        <c:v>4.9034907597535931</c:v>
                      </c:pt>
                      <c:pt idx="64">
                        <c:v>5</c:v>
                      </c:pt>
                      <c:pt idx="65">
                        <c:v>5.0821355236139629</c:v>
                      </c:pt>
                      <c:pt idx="66">
                        <c:v>5.1642710472279258</c:v>
                      </c:pt>
                      <c:pt idx="67">
                        <c:v>5.2464065708418888</c:v>
                      </c:pt>
                      <c:pt idx="68">
                        <c:v>5.3285420944558526</c:v>
                      </c:pt>
                      <c:pt idx="69">
                        <c:v>5.4106776180698155</c:v>
                      </c:pt>
                      <c:pt idx="70">
                        <c:v>5.4928131416837784</c:v>
                      </c:pt>
                      <c:pt idx="71">
                        <c:v>5.5749486652977414</c:v>
                      </c:pt>
                      <c:pt idx="72">
                        <c:v>5.6570841889117043</c:v>
                      </c:pt>
                      <c:pt idx="73">
                        <c:v>5.7392197125256672</c:v>
                      </c:pt>
                      <c:pt idx="74">
                        <c:v>5.8213552361396301</c:v>
                      </c:pt>
                      <c:pt idx="75">
                        <c:v>5.9034907597535931</c:v>
                      </c:pt>
                      <c:pt idx="76">
                        <c:v>6</c:v>
                      </c:pt>
                      <c:pt idx="77">
                        <c:v>6.0821355236139629</c:v>
                      </c:pt>
                      <c:pt idx="78">
                        <c:v>6.1642710472279258</c:v>
                      </c:pt>
                      <c:pt idx="79">
                        <c:v>6.2464065708418888</c:v>
                      </c:pt>
                      <c:pt idx="80">
                        <c:v>6.3285420944558526</c:v>
                      </c:pt>
                      <c:pt idx="81">
                        <c:v>6.4106776180698155</c:v>
                      </c:pt>
                      <c:pt idx="82">
                        <c:v>6.4928131416837784</c:v>
                      </c:pt>
                      <c:pt idx="83">
                        <c:v>6.5749486652977414</c:v>
                      </c:pt>
                      <c:pt idx="84">
                        <c:v>6.6570841889117043</c:v>
                      </c:pt>
                      <c:pt idx="85">
                        <c:v>6.7392197125256672</c:v>
                      </c:pt>
                      <c:pt idx="86">
                        <c:v>6.8213552361396301</c:v>
                      </c:pt>
                      <c:pt idx="87">
                        <c:v>6.9034907597535931</c:v>
                      </c:pt>
                      <c:pt idx="88">
                        <c:v>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Hasil!$J$6:$J$94</c15:sqref>
                        </c15:formulaRef>
                      </c:ext>
                    </c:extLst>
                    <c:numCache>
                      <c:formatCode>0.0000000</c:formatCode>
                      <c:ptCount val="89"/>
                      <c:pt idx="0">
                        <c:v>0.97849830000000004</c:v>
                      </c:pt>
                      <c:pt idx="1">
                        <c:v>0.95866589999999996</c:v>
                      </c:pt>
                      <c:pt idx="2">
                        <c:v>0.95831560000000005</c:v>
                      </c:pt>
                      <c:pt idx="3">
                        <c:v>0.95676419999999995</c:v>
                      </c:pt>
                      <c:pt idx="4">
                        <c:v>0.95485350000000002</c:v>
                      </c:pt>
                      <c:pt idx="5">
                        <c:v>0.95126080000000002</c:v>
                      </c:pt>
                      <c:pt idx="6">
                        <c:v>0.94892560000000004</c:v>
                      </c:pt>
                      <c:pt idx="7">
                        <c:v>0.94449930000000004</c:v>
                      </c:pt>
                      <c:pt idx="8">
                        <c:v>0.94204339999999998</c:v>
                      </c:pt>
                      <c:pt idx="9">
                        <c:v>0.94080839999999999</c:v>
                      </c:pt>
                      <c:pt idx="10">
                        <c:v>0.94096760000000002</c:v>
                      </c:pt>
                      <c:pt idx="11">
                        <c:v>0.94260169999999999</c:v>
                      </c:pt>
                      <c:pt idx="12">
                        <c:v>0.94607470000000005</c:v>
                      </c:pt>
                      <c:pt idx="13">
                        <c:v>0.95081190000000004</c:v>
                      </c:pt>
                      <c:pt idx="14">
                        <c:v>0.95491400000000004</c:v>
                      </c:pt>
                      <c:pt idx="15">
                        <c:v>0.95726540000000004</c:v>
                      </c:pt>
                      <c:pt idx="16">
                        <c:v>0.95924659999999995</c:v>
                      </c:pt>
                      <c:pt idx="17">
                        <c:v>0.95925009999999999</c:v>
                      </c:pt>
                      <c:pt idx="18">
                        <c:v>0.95963949999999998</c:v>
                      </c:pt>
                      <c:pt idx="19">
                        <c:v>0.95827560000000001</c:v>
                      </c:pt>
                      <c:pt idx="20">
                        <c:v>0.95650349999999995</c:v>
                      </c:pt>
                      <c:pt idx="21">
                        <c:v>0.95456490000000005</c:v>
                      </c:pt>
                      <c:pt idx="22">
                        <c:v>0.95283119999999999</c:v>
                      </c:pt>
                      <c:pt idx="23">
                        <c:v>0.95120159999999998</c:v>
                      </c:pt>
                      <c:pt idx="24">
                        <c:v>0.94981289999999996</c:v>
                      </c:pt>
                      <c:pt idx="25">
                        <c:v>0.94854859999999996</c:v>
                      </c:pt>
                      <c:pt idx="26">
                        <c:v>0.94744010000000001</c:v>
                      </c:pt>
                      <c:pt idx="27">
                        <c:v>0.94653089999999995</c:v>
                      </c:pt>
                      <c:pt idx="28">
                        <c:v>0.94529090000000005</c:v>
                      </c:pt>
                      <c:pt idx="29">
                        <c:v>0.94372670000000003</c:v>
                      </c:pt>
                      <c:pt idx="30">
                        <c:v>0.94231299999999996</c:v>
                      </c:pt>
                      <c:pt idx="31">
                        <c:v>0.94052049999999998</c:v>
                      </c:pt>
                      <c:pt idx="32">
                        <c:v>0.93913009999999997</c:v>
                      </c:pt>
                      <c:pt idx="33">
                        <c:v>0.93735809999999997</c:v>
                      </c:pt>
                      <c:pt idx="34">
                        <c:v>0.93593110000000002</c:v>
                      </c:pt>
                      <c:pt idx="35">
                        <c:v>0.93405729999999998</c:v>
                      </c:pt>
                      <c:pt idx="36">
                        <c:v>0.93278989999999995</c:v>
                      </c:pt>
                      <c:pt idx="37">
                        <c:v>0.93128710000000003</c:v>
                      </c:pt>
                      <c:pt idx="38">
                        <c:v>0.92995729999999999</c:v>
                      </c:pt>
                      <c:pt idx="39">
                        <c:v>0.92843540000000002</c:v>
                      </c:pt>
                      <c:pt idx="40">
                        <c:v>0.927064</c:v>
                      </c:pt>
                      <c:pt idx="41">
                        <c:v>0.92706840000000001</c:v>
                      </c:pt>
                      <c:pt idx="42">
                        <c:v>0.92565989999999998</c:v>
                      </c:pt>
                      <c:pt idx="43">
                        <c:v>0.92427459999999995</c:v>
                      </c:pt>
                      <c:pt idx="44">
                        <c:v>0.92284639999999996</c:v>
                      </c:pt>
                      <c:pt idx="45">
                        <c:v>0.92155529999999997</c:v>
                      </c:pt>
                      <c:pt idx="46">
                        <c:v>0.9202842</c:v>
                      </c:pt>
                      <c:pt idx="47">
                        <c:v>0.91886670000000004</c:v>
                      </c:pt>
                      <c:pt idx="48">
                        <c:v>0.91749400000000003</c:v>
                      </c:pt>
                      <c:pt idx="49">
                        <c:v>0.91609640000000003</c:v>
                      </c:pt>
                      <c:pt idx="50">
                        <c:v>0.91476420000000003</c:v>
                      </c:pt>
                      <c:pt idx="51">
                        <c:v>0.91336700000000004</c:v>
                      </c:pt>
                      <c:pt idx="52">
                        <c:v>0.91192340000000005</c:v>
                      </c:pt>
                      <c:pt idx="53">
                        <c:v>0.91028549999999997</c:v>
                      </c:pt>
                      <c:pt idx="54">
                        <c:v>0.90893570000000001</c:v>
                      </c:pt>
                      <c:pt idx="55">
                        <c:v>0.90764670000000003</c:v>
                      </c:pt>
                      <c:pt idx="56">
                        <c:v>0.90626249999999997</c:v>
                      </c:pt>
                      <c:pt idx="57">
                        <c:v>0.90498290000000003</c:v>
                      </c:pt>
                      <c:pt idx="58">
                        <c:v>0.90351919999999997</c:v>
                      </c:pt>
                      <c:pt idx="59">
                        <c:v>0.90205559999999996</c:v>
                      </c:pt>
                      <c:pt idx="60">
                        <c:v>0.90067419999999998</c:v>
                      </c:pt>
                      <c:pt idx="61">
                        <c:v>0.89911810000000003</c:v>
                      </c:pt>
                      <c:pt idx="62">
                        <c:v>0.89783009999999996</c:v>
                      </c:pt>
                      <c:pt idx="63">
                        <c:v>0.89617869999999999</c:v>
                      </c:pt>
                      <c:pt idx="64">
                        <c:v>0.89474730000000002</c:v>
                      </c:pt>
                      <c:pt idx="65" formatCode="General">
                        <c:v>0.89469690000000002</c:v>
                      </c:pt>
                      <c:pt idx="66" formatCode="General">
                        <c:v>0.89317550000000001</c:v>
                      </c:pt>
                      <c:pt idx="67" formatCode="General">
                        <c:v>0.89168820000000004</c:v>
                      </c:pt>
                      <c:pt idx="68" formatCode="General">
                        <c:v>0.89003089999999996</c:v>
                      </c:pt>
                      <c:pt idx="69" formatCode="General">
                        <c:v>0.88849339999999999</c:v>
                      </c:pt>
                      <c:pt idx="70" formatCode="General">
                        <c:v>0.88687369999999999</c:v>
                      </c:pt>
                      <c:pt idx="71" formatCode="General">
                        <c:v>0.885293</c:v>
                      </c:pt>
                      <c:pt idx="72" formatCode="General">
                        <c:v>0.88359049999999995</c:v>
                      </c:pt>
                      <c:pt idx="73" formatCode="General">
                        <c:v>0.88199269999999996</c:v>
                      </c:pt>
                      <c:pt idx="74" formatCode="General">
                        <c:v>0.88026550000000003</c:v>
                      </c:pt>
                      <c:pt idx="75" formatCode="General">
                        <c:v>0.87863610000000003</c:v>
                      </c:pt>
                      <c:pt idx="76" formatCode="General">
                        <c:v>0.87687619999999999</c:v>
                      </c:pt>
                      <c:pt idx="77" formatCode="General">
                        <c:v>0.87493560000000004</c:v>
                      </c:pt>
                      <c:pt idx="78" formatCode="General">
                        <c:v>0.8732839</c:v>
                      </c:pt>
                      <c:pt idx="79" formatCode="General">
                        <c:v>0.87156829999999996</c:v>
                      </c:pt>
                      <c:pt idx="80" formatCode="General">
                        <c:v>0.86991790000000002</c:v>
                      </c:pt>
                      <c:pt idx="81" formatCode="General">
                        <c:v>0.8682185</c:v>
                      </c:pt>
                      <c:pt idx="82" formatCode="General">
                        <c:v>0.86657830000000002</c:v>
                      </c:pt>
                      <c:pt idx="83" formatCode="General">
                        <c:v>0.8649076</c:v>
                      </c:pt>
                      <c:pt idx="84" formatCode="General">
                        <c:v>0.86329639999999996</c:v>
                      </c:pt>
                      <c:pt idx="85" formatCode="General">
                        <c:v>0.86167110000000002</c:v>
                      </c:pt>
                      <c:pt idx="86" formatCode="General">
                        <c:v>0.86008620000000002</c:v>
                      </c:pt>
                      <c:pt idx="87" formatCode="General">
                        <c:v>0.85847390000000001</c:v>
                      </c:pt>
                      <c:pt idx="88" formatCode="General">
                        <c:v>0.85690960000000005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Hasil!$K$5</c15:sqref>
                        </c15:formulaRef>
                      </c:ext>
                    </c:extLst>
                    <c:strCache>
                      <c:ptCount val="1"/>
                      <c:pt idx="0">
                        <c:v>MOX 6%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Hasil!$G$6:$G$94</c15:sqref>
                        </c15:formulaRef>
                      </c:ext>
                    </c:extLst>
                    <c:numCache>
                      <c:formatCode>General</c:formatCode>
                      <c:ptCount val="89"/>
                      <c:pt idx="0">
                        <c:v>0</c:v>
                      </c:pt>
                      <c:pt idx="1">
                        <c:v>2.7378507871321013E-3</c:v>
                      </c:pt>
                      <c:pt idx="2">
                        <c:v>1.3689253935660506E-2</c:v>
                      </c:pt>
                      <c:pt idx="3">
                        <c:v>2.7378507871321012E-2</c:v>
                      </c:pt>
                      <c:pt idx="4">
                        <c:v>5.4757015742642023E-2</c:v>
                      </c:pt>
                      <c:pt idx="5">
                        <c:v>8.2135523613963035E-2</c:v>
                      </c:pt>
                      <c:pt idx="6">
                        <c:v>0.16427104722792607</c:v>
                      </c:pt>
                      <c:pt idx="7">
                        <c:v>0.24640657084188911</c:v>
                      </c:pt>
                      <c:pt idx="8">
                        <c:v>0.32854209445585214</c:v>
                      </c:pt>
                      <c:pt idx="9">
                        <c:v>0.41067761806981518</c:v>
                      </c:pt>
                      <c:pt idx="10">
                        <c:v>0.49281314168377821</c:v>
                      </c:pt>
                      <c:pt idx="11">
                        <c:v>0.57494866529774125</c:v>
                      </c:pt>
                      <c:pt idx="12">
                        <c:v>0.65708418891170428</c:v>
                      </c:pt>
                      <c:pt idx="13">
                        <c:v>0.73921971252566732</c:v>
                      </c:pt>
                      <c:pt idx="14">
                        <c:v>0.82135523613963035</c:v>
                      </c:pt>
                      <c:pt idx="15">
                        <c:v>0.90349075975359339</c:v>
                      </c:pt>
                      <c:pt idx="16">
                        <c:v>1</c:v>
                      </c:pt>
                      <c:pt idx="17">
                        <c:v>1.0821355236139631</c:v>
                      </c:pt>
                      <c:pt idx="18">
                        <c:v>1.1642710472279261</c:v>
                      </c:pt>
                      <c:pt idx="19">
                        <c:v>1.2464065708418892</c:v>
                      </c:pt>
                      <c:pt idx="20">
                        <c:v>1.3285420944558521</c:v>
                      </c:pt>
                      <c:pt idx="21">
                        <c:v>1.4106776180698153</c:v>
                      </c:pt>
                      <c:pt idx="22">
                        <c:v>1.4928131416837782</c:v>
                      </c:pt>
                      <c:pt idx="23">
                        <c:v>1.5749486652977414</c:v>
                      </c:pt>
                      <c:pt idx="24">
                        <c:v>1.6570841889117043</c:v>
                      </c:pt>
                      <c:pt idx="25">
                        <c:v>1.7392197125256674</c:v>
                      </c:pt>
                      <c:pt idx="26">
                        <c:v>1.8213552361396304</c:v>
                      </c:pt>
                      <c:pt idx="27">
                        <c:v>1.9034907597535935</c:v>
                      </c:pt>
                      <c:pt idx="28">
                        <c:v>2</c:v>
                      </c:pt>
                      <c:pt idx="29">
                        <c:v>2.0821355236139629</c:v>
                      </c:pt>
                      <c:pt idx="30">
                        <c:v>2.1642710472279263</c:v>
                      </c:pt>
                      <c:pt idx="31">
                        <c:v>2.2464065708418892</c:v>
                      </c:pt>
                      <c:pt idx="32">
                        <c:v>2.3285420944558521</c:v>
                      </c:pt>
                      <c:pt idx="33">
                        <c:v>2.4106776180698151</c:v>
                      </c:pt>
                      <c:pt idx="34">
                        <c:v>2.4928131416837784</c:v>
                      </c:pt>
                      <c:pt idx="35">
                        <c:v>2.5749486652977414</c:v>
                      </c:pt>
                      <c:pt idx="36">
                        <c:v>2.6570841889117043</c:v>
                      </c:pt>
                      <c:pt idx="37">
                        <c:v>2.7392197125256672</c:v>
                      </c:pt>
                      <c:pt idx="38">
                        <c:v>2.8213552361396306</c:v>
                      </c:pt>
                      <c:pt idx="39">
                        <c:v>2.9034907597535935</c:v>
                      </c:pt>
                      <c:pt idx="40">
                        <c:v>3</c:v>
                      </c:pt>
                      <c:pt idx="41">
                        <c:v>3.0821355236139629</c:v>
                      </c:pt>
                      <c:pt idx="42">
                        <c:v>3.1642710472279263</c:v>
                      </c:pt>
                      <c:pt idx="43">
                        <c:v>3.2464065708418892</c:v>
                      </c:pt>
                      <c:pt idx="44">
                        <c:v>3.3285420944558521</c:v>
                      </c:pt>
                      <c:pt idx="45">
                        <c:v>3.4106776180698151</c:v>
                      </c:pt>
                      <c:pt idx="46">
                        <c:v>3.4928131416837784</c:v>
                      </c:pt>
                      <c:pt idx="47">
                        <c:v>3.5749486652977414</c:v>
                      </c:pt>
                      <c:pt idx="48">
                        <c:v>3.6570841889117043</c:v>
                      </c:pt>
                      <c:pt idx="49">
                        <c:v>3.7392197125256672</c:v>
                      </c:pt>
                      <c:pt idx="50">
                        <c:v>3.8213552361396306</c:v>
                      </c:pt>
                      <c:pt idx="51">
                        <c:v>3.9034907597535935</c:v>
                      </c:pt>
                      <c:pt idx="52">
                        <c:v>4</c:v>
                      </c:pt>
                      <c:pt idx="53">
                        <c:v>4.0821355236139629</c:v>
                      </c:pt>
                      <c:pt idx="54">
                        <c:v>4.1642710472279258</c:v>
                      </c:pt>
                      <c:pt idx="55">
                        <c:v>4.2464065708418888</c:v>
                      </c:pt>
                      <c:pt idx="56">
                        <c:v>4.3285420944558526</c:v>
                      </c:pt>
                      <c:pt idx="57">
                        <c:v>4.4106776180698155</c:v>
                      </c:pt>
                      <c:pt idx="58">
                        <c:v>4.4928131416837784</c:v>
                      </c:pt>
                      <c:pt idx="59">
                        <c:v>4.5749486652977414</c:v>
                      </c:pt>
                      <c:pt idx="60">
                        <c:v>4.6570841889117043</c:v>
                      </c:pt>
                      <c:pt idx="61">
                        <c:v>4.7392197125256672</c:v>
                      </c:pt>
                      <c:pt idx="62">
                        <c:v>4.8213552361396301</c:v>
                      </c:pt>
                      <c:pt idx="63">
                        <c:v>4.9034907597535931</c:v>
                      </c:pt>
                      <c:pt idx="64">
                        <c:v>5</c:v>
                      </c:pt>
                      <c:pt idx="65">
                        <c:v>5.0821355236139629</c:v>
                      </c:pt>
                      <c:pt idx="66">
                        <c:v>5.1642710472279258</c:v>
                      </c:pt>
                      <c:pt idx="67">
                        <c:v>5.2464065708418888</c:v>
                      </c:pt>
                      <c:pt idx="68">
                        <c:v>5.3285420944558526</c:v>
                      </c:pt>
                      <c:pt idx="69">
                        <c:v>5.4106776180698155</c:v>
                      </c:pt>
                      <c:pt idx="70">
                        <c:v>5.4928131416837784</c:v>
                      </c:pt>
                      <c:pt idx="71">
                        <c:v>5.5749486652977414</c:v>
                      </c:pt>
                      <c:pt idx="72">
                        <c:v>5.6570841889117043</c:v>
                      </c:pt>
                      <c:pt idx="73">
                        <c:v>5.7392197125256672</c:v>
                      </c:pt>
                      <c:pt idx="74">
                        <c:v>5.8213552361396301</c:v>
                      </c:pt>
                      <c:pt idx="75">
                        <c:v>5.9034907597535931</c:v>
                      </c:pt>
                      <c:pt idx="76">
                        <c:v>6</c:v>
                      </c:pt>
                      <c:pt idx="77">
                        <c:v>6.0821355236139629</c:v>
                      </c:pt>
                      <c:pt idx="78">
                        <c:v>6.1642710472279258</c:v>
                      </c:pt>
                      <c:pt idx="79">
                        <c:v>6.2464065708418888</c:v>
                      </c:pt>
                      <c:pt idx="80">
                        <c:v>6.3285420944558526</c:v>
                      </c:pt>
                      <c:pt idx="81">
                        <c:v>6.4106776180698155</c:v>
                      </c:pt>
                      <c:pt idx="82">
                        <c:v>6.4928131416837784</c:v>
                      </c:pt>
                      <c:pt idx="83">
                        <c:v>6.5749486652977414</c:v>
                      </c:pt>
                      <c:pt idx="84">
                        <c:v>6.6570841889117043</c:v>
                      </c:pt>
                      <c:pt idx="85">
                        <c:v>6.7392197125256672</c:v>
                      </c:pt>
                      <c:pt idx="86">
                        <c:v>6.8213552361396301</c:v>
                      </c:pt>
                      <c:pt idx="87">
                        <c:v>6.9034907597535931</c:v>
                      </c:pt>
                      <c:pt idx="88">
                        <c:v>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Hasil!$K$6:$K$94</c15:sqref>
                        </c15:formulaRef>
                      </c:ext>
                    </c:extLst>
                    <c:numCache>
                      <c:formatCode>0.0000000</c:formatCode>
                      <c:ptCount val="89"/>
                      <c:pt idx="0">
                        <c:v>1.0073106999999999</c:v>
                      </c:pt>
                      <c:pt idx="1">
                        <c:v>0.99132940000000003</c:v>
                      </c:pt>
                      <c:pt idx="2">
                        <c:v>0.99115019999999998</c:v>
                      </c:pt>
                      <c:pt idx="3">
                        <c:v>0.9899249</c:v>
                      </c:pt>
                      <c:pt idx="4">
                        <c:v>0.98844370000000004</c:v>
                      </c:pt>
                      <c:pt idx="5">
                        <c:v>0.98553179999999996</c:v>
                      </c:pt>
                      <c:pt idx="6">
                        <c:v>0.98346630000000002</c:v>
                      </c:pt>
                      <c:pt idx="7">
                        <c:v>0.97932399999999997</c:v>
                      </c:pt>
                      <c:pt idx="8">
                        <c:v>0.97687749999999995</c:v>
                      </c:pt>
                      <c:pt idx="9">
                        <c:v>0.97541429999999996</c:v>
                      </c:pt>
                      <c:pt idx="10">
                        <c:v>0.97477820000000004</c:v>
                      </c:pt>
                      <c:pt idx="11">
                        <c:v>0.97503629999999997</c:v>
                      </c:pt>
                      <c:pt idx="12">
                        <c:v>0.97616449999999999</c:v>
                      </c:pt>
                      <c:pt idx="13">
                        <c:v>0.97806490000000001</c:v>
                      </c:pt>
                      <c:pt idx="14">
                        <c:v>0.97997129999999999</c:v>
                      </c:pt>
                      <c:pt idx="15">
                        <c:v>0.98141970000000001</c:v>
                      </c:pt>
                      <c:pt idx="16">
                        <c:v>0.98299669999999995</c:v>
                      </c:pt>
                      <c:pt idx="17">
                        <c:v>0.98298220000000003</c:v>
                      </c:pt>
                      <c:pt idx="18">
                        <c:v>0.9836435</c:v>
                      </c:pt>
                      <c:pt idx="19">
                        <c:v>0.98386649999999998</c:v>
                      </c:pt>
                      <c:pt idx="20">
                        <c:v>0.98363809999999996</c:v>
                      </c:pt>
                      <c:pt idx="21">
                        <c:v>0.98281640000000003</c:v>
                      </c:pt>
                      <c:pt idx="22">
                        <c:v>0.98184490000000002</c:v>
                      </c:pt>
                      <c:pt idx="23">
                        <c:v>0.98048999999999997</c:v>
                      </c:pt>
                      <c:pt idx="24">
                        <c:v>0.9789987</c:v>
                      </c:pt>
                      <c:pt idx="25">
                        <c:v>0.97754870000000005</c:v>
                      </c:pt>
                      <c:pt idx="26">
                        <c:v>0.97618459999999996</c:v>
                      </c:pt>
                      <c:pt idx="27">
                        <c:v>0.9749816</c:v>
                      </c:pt>
                      <c:pt idx="28">
                        <c:v>0.97368330000000003</c:v>
                      </c:pt>
                      <c:pt idx="29">
                        <c:v>0.97211970000000003</c:v>
                      </c:pt>
                      <c:pt idx="30">
                        <c:v>0.97089919999999996</c:v>
                      </c:pt>
                      <c:pt idx="31">
                        <c:v>0.96970129999999999</c:v>
                      </c:pt>
                      <c:pt idx="32">
                        <c:v>0.96835720000000003</c:v>
                      </c:pt>
                      <c:pt idx="33">
                        <c:v>0.96709140000000005</c:v>
                      </c:pt>
                      <c:pt idx="34">
                        <c:v>0.96562619999999999</c:v>
                      </c:pt>
                      <c:pt idx="35">
                        <c:v>0.96429909999999996</c:v>
                      </c:pt>
                      <c:pt idx="36">
                        <c:v>0.96291740000000003</c:v>
                      </c:pt>
                      <c:pt idx="37">
                        <c:v>0.9615899</c:v>
                      </c:pt>
                      <c:pt idx="38">
                        <c:v>0.96026769999999995</c:v>
                      </c:pt>
                      <c:pt idx="39">
                        <c:v>0.95862369999999997</c:v>
                      </c:pt>
                      <c:pt idx="40">
                        <c:v>0.95731759999999999</c:v>
                      </c:pt>
                      <c:pt idx="41">
                        <c:v>0.95727139999999999</c:v>
                      </c:pt>
                      <c:pt idx="42">
                        <c:v>0.95592699999999997</c:v>
                      </c:pt>
                      <c:pt idx="43">
                        <c:v>0.95456149999999995</c:v>
                      </c:pt>
                      <c:pt idx="44">
                        <c:v>0.9532505</c:v>
                      </c:pt>
                      <c:pt idx="45">
                        <c:v>0.95195129999999994</c:v>
                      </c:pt>
                      <c:pt idx="46">
                        <c:v>0.95071850000000002</c:v>
                      </c:pt>
                      <c:pt idx="47">
                        <c:v>0.94938610000000001</c:v>
                      </c:pt>
                      <c:pt idx="48">
                        <c:v>0.94799009999999995</c:v>
                      </c:pt>
                      <c:pt idx="49">
                        <c:v>0.94670739999999998</c:v>
                      </c:pt>
                      <c:pt idx="50">
                        <c:v>0.94543180000000004</c:v>
                      </c:pt>
                      <c:pt idx="51">
                        <c:v>0.94410819999999995</c:v>
                      </c:pt>
                      <c:pt idx="52">
                        <c:v>0.94279100000000005</c:v>
                      </c:pt>
                      <c:pt idx="53">
                        <c:v>0.94123400000000002</c:v>
                      </c:pt>
                      <c:pt idx="54">
                        <c:v>0.93996230000000003</c:v>
                      </c:pt>
                      <c:pt idx="55">
                        <c:v>0.93867420000000001</c:v>
                      </c:pt>
                      <c:pt idx="56">
                        <c:v>0.93741180000000002</c:v>
                      </c:pt>
                      <c:pt idx="57">
                        <c:v>0.93613970000000002</c:v>
                      </c:pt>
                      <c:pt idx="58">
                        <c:v>0.93489829999999996</c:v>
                      </c:pt>
                      <c:pt idx="59">
                        <c:v>0.93361910000000004</c:v>
                      </c:pt>
                      <c:pt idx="60">
                        <c:v>0.93220219999999998</c:v>
                      </c:pt>
                      <c:pt idx="61">
                        <c:v>0.9309385</c:v>
                      </c:pt>
                      <c:pt idx="62">
                        <c:v>0.92957639999999997</c:v>
                      </c:pt>
                      <c:pt idx="63">
                        <c:v>0.92834430000000001</c:v>
                      </c:pt>
                      <c:pt idx="64" formatCode="General">
                        <c:v>0.92699810000000005</c:v>
                      </c:pt>
                      <c:pt idx="65" formatCode="General">
                        <c:v>0.92699750000000003</c:v>
                      </c:pt>
                      <c:pt idx="66" formatCode="General">
                        <c:v>0.92567829999999995</c:v>
                      </c:pt>
                      <c:pt idx="67" formatCode="General">
                        <c:v>0.92439039999999995</c:v>
                      </c:pt>
                      <c:pt idx="68" formatCode="General">
                        <c:v>0.92298469999999999</c:v>
                      </c:pt>
                      <c:pt idx="69" formatCode="General">
                        <c:v>0.92174619999999996</c:v>
                      </c:pt>
                      <c:pt idx="70" formatCode="General">
                        <c:v>0.92037210000000003</c:v>
                      </c:pt>
                      <c:pt idx="71" formatCode="General">
                        <c:v>0.91916439999999999</c:v>
                      </c:pt>
                      <c:pt idx="72" formatCode="General">
                        <c:v>0.91769990000000001</c:v>
                      </c:pt>
                      <c:pt idx="73" formatCode="General">
                        <c:v>0.91636519999999999</c:v>
                      </c:pt>
                      <c:pt idx="74" formatCode="General">
                        <c:v>0.91498860000000004</c:v>
                      </c:pt>
                      <c:pt idx="75" formatCode="General">
                        <c:v>0.91363439999999996</c:v>
                      </c:pt>
                      <c:pt idx="76" formatCode="General">
                        <c:v>0.91216439999999999</c:v>
                      </c:pt>
                      <c:pt idx="77" formatCode="General">
                        <c:v>0.9105337</c:v>
                      </c:pt>
                      <c:pt idx="78" formatCode="General">
                        <c:v>0.90901730000000003</c:v>
                      </c:pt>
                      <c:pt idx="79" formatCode="General">
                        <c:v>0.90766559999999996</c:v>
                      </c:pt>
                      <c:pt idx="80" formatCode="General">
                        <c:v>0.90617040000000004</c:v>
                      </c:pt>
                      <c:pt idx="81" formatCode="General">
                        <c:v>0.90477859999999999</c:v>
                      </c:pt>
                      <c:pt idx="82" formatCode="General">
                        <c:v>0.90332939999999995</c:v>
                      </c:pt>
                      <c:pt idx="83" formatCode="General">
                        <c:v>0.90194090000000005</c:v>
                      </c:pt>
                      <c:pt idx="84" formatCode="General">
                        <c:v>0.90050359999999996</c:v>
                      </c:pt>
                      <c:pt idx="85" formatCode="General">
                        <c:v>0.8991458</c:v>
                      </c:pt>
                      <c:pt idx="86" formatCode="General">
                        <c:v>0.8976343</c:v>
                      </c:pt>
                      <c:pt idx="87" formatCode="General">
                        <c:v>0.8962156</c:v>
                      </c:pt>
                      <c:pt idx="88" formatCode="General">
                        <c:v>0.89473179999999997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Hasil!$L$5</c15:sqref>
                        </c15:formulaRef>
                      </c:ext>
                    </c:extLst>
                    <c:strCache>
                      <c:ptCount val="1"/>
                      <c:pt idx="0">
                        <c:v>MOX 8%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Hasil!$G$6:$G$94</c15:sqref>
                        </c15:formulaRef>
                      </c:ext>
                    </c:extLst>
                    <c:numCache>
                      <c:formatCode>General</c:formatCode>
                      <c:ptCount val="89"/>
                      <c:pt idx="0">
                        <c:v>0</c:v>
                      </c:pt>
                      <c:pt idx="1">
                        <c:v>2.7378507871321013E-3</c:v>
                      </c:pt>
                      <c:pt idx="2">
                        <c:v>1.3689253935660506E-2</c:v>
                      </c:pt>
                      <c:pt idx="3">
                        <c:v>2.7378507871321012E-2</c:v>
                      </c:pt>
                      <c:pt idx="4">
                        <c:v>5.4757015742642023E-2</c:v>
                      </c:pt>
                      <c:pt idx="5">
                        <c:v>8.2135523613963035E-2</c:v>
                      </c:pt>
                      <c:pt idx="6">
                        <c:v>0.16427104722792607</c:v>
                      </c:pt>
                      <c:pt idx="7">
                        <c:v>0.24640657084188911</c:v>
                      </c:pt>
                      <c:pt idx="8">
                        <c:v>0.32854209445585214</c:v>
                      </c:pt>
                      <c:pt idx="9">
                        <c:v>0.41067761806981518</c:v>
                      </c:pt>
                      <c:pt idx="10">
                        <c:v>0.49281314168377821</c:v>
                      </c:pt>
                      <c:pt idx="11">
                        <c:v>0.57494866529774125</c:v>
                      </c:pt>
                      <c:pt idx="12">
                        <c:v>0.65708418891170428</c:v>
                      </c:pt>
                      <c:pt idx="13">
                        <c:v>0.73921971252566732</c:v>
                      </c:pt>
                      <c:pt idx="14">
                        <c:v>0.82135523613963035</c:v>
                      </c:pt>
                      <c:pt idx="15">
                        <c:v>0.90349075975359339</c:v>
                      </c:pt>
                      <c:pt idx="16">
                        <c:v>1</c:v>
                      </c:pt>
                      <c:pt idx="17">
                        <c:v>1.0821355236139631</c:v>
                      </c:pt>
                      <c:pt idx="18">
                        <c:v>1.1642710472279261</c:v>
                      </c:pt>
                      <c:pt idx="19">
                        <c:v>1.2464065708418892</c:v>
                      </c:pt>
                      <c:pt idx="20">
                        <c:v>1.3285420944558521</c:v>
                      </c:pt>
                      <c:pt idx="21">
                        <c:v>1.4106776180698153</c:v>
                      </c:pt>
                      <c:pt idx="22">
                        <c:v>1.4928131416837782</c:v>
                      </c:pt>
                      <c:pt idx="23">
                        <c:v>1.5749486652977414</c:v>
                      </c:pt>
                      <c:pt idx="24">
                        <c:v>1.6570841889117043</c:v>
                      </c:pt>
                      <c:pt idx="25">
                        <c:v>1.7392197125256674</c:v>
                      </c:pt>
                      <c:pt idx="26">
                        <c:v>1.8213552361396304</c:v>
                      </c:pt>
                      <c:pt idx="27">
                        <c:v>1.9034907597535935</c:v>
                      </c:pt>
                      <c:pt idx="28">
                        <c:v>2</c:v>
                      </c:pt>
                      <c:pt idx="29">
                        <c:v>2.0821355236139629</c:v>
                      </c:pt>
                      <c:pt idx="30">
                        <c:v>2.1642710472279263</c:v>
                      </c:pt>
                      <c:pt idx="31">
                        <c:v>2.2464065708418892</c:v>
                      </c:pt>
                      <c:pt idx="32">
                        <c:v>2.3285420944558521</c:v>
                      </c:pt>
                      <c:pt idx="33">
                        <c:v>2.4106776180698151</c:v>
                      </c:pt>
                      <c:pt idx="34">
                        <c:v>2.4928131416837784</c:v>
                      </c:pt>
                      <c:pt idx="35">
                        <c:v>2.5749486652977414</c:v>
                      </c:pt>
                      <c:pt idx="36">
                        <c:v>2.6570841889117043</c:v>
                      </c:pt>
                      <c:pt idx="37">
                        <c:v>2.7392197125256672</c:v>
                      </c:pt>
                      <c:pt idx="38">
                        <c:v>2.8213552361396306</c:v>
                      </c:pt>
                      <c:pt idx="39">
                        <c:v>2.9034907597535935</c:v>
                      </c:pt>
                      <c:pt idx="40">
                        <c:v>3</c:v>
                      </c:pt>
                      <c:pt idx="41">
                        <c:v>3.0821355236139629</c:v>
                      </c:pt>
                      <c:pt idx="42">
                        <c:v>3.1642710472279263</c:v>
                      </c:pt>
                      <c:pt idx="43">
                        <c:v>3.2464065708418892</c:v>
                      </c:pt>
                      <c:pt idx="44">
                        <c:v>3.3285420944558521</c:v>
                      </c:pt>
                      <c:pt idx="45">
                        <c:v>3.4106776180698151</c:v>
                      </c:pt>
                      <c:pt idx="46">
                        <c:v>3.4928131416837784</c:v>
                      </c:pt>
                      <c:pt idx="47">
                        <c:v>3.5749486652977414</c:v>
                      </c:pt>
                      <c:pt idx="48">
                        <c:v>3.6570841889117043</c:v>
                      </c:pt>
                      <c:pt idx="49">
                        <c:v>3.7392197125256672</c:v>
                      </c:pt>
                      <c:pt idx="50">
                        <c:v>3.8213552361396306</c:v>
                      </c:pt>
                      <c:pt idx="51">
                        <c:v>3.9034907597535935</c:v>
                      </c:pt>
                      <c:pt idx="52">
                        <c:v>4</c:v>
                      </c:pt>
                      <c:pt idx="53">
                        <c:v>4.0821355236139629</c:v>
                      </c:pt>
                      <c:pt idx="54">
                        <c:v>4.1642710472279258</c:v>
                      </c:pt>
                      <c:pt idx="55">
                        <c:v>4.2464065708418888</c:v>
                      </c:pt>
                      <c:pt idx="56">
                        <c:v>4.3285420944558526</c:v>
                      </c:pt>
                      <c:pt idx="57">
                        <c:v>4.4106776180698155</c:v>
                      </c:pt>
                      <c:pt idx="58">
                        <c:v>4.4928131416837784</c:v>
                      </c:pt>
                      <c:pt idx="59">
                        <c:v>4.5749486652977414</c:v>
                      </c:pt>
                      <c:pt idx="60">
                        <c:v>4.6570841889117043</c:v>
                      </c:pt>
                      <c:pt idx="61">
                        <c:v>4.7392197125256672</c:v>
                      </c:pt>
                      <c:pt idx="62">
                        <c:v>4.8213552361396301</c:v>
                      </c:pt>
                      <c:pt idx="63">
                        <c:v>4.9034907597535931</c:v>
                      </c:pt>
                      <c:pt idx="64">
                        <c:v>5</c:v>
                      </c:pt>
                      <c:pt idx="65">
                        <c:v>5.0821355236139629</c:v>
                      </c:pt>
                      <c:pt idx="66">
                        <c:v>5.1642710472279258</c:v>
                      </c:pt>
                      <c:pt idx="67">
                        <c:v>5.2464065708418888</c:v>
                      </c:pt>
                      <c:pt idx="68">
                        <c:v>5.3285420944558526</c:v>
                      </c:pt>
                      <c:pt idx="69">
                        <c:v>5.4106776180698155</c:v>
                      </c:pt>
                      <c:pt idx="70">
                        <c:v>5.4928131416837784</c:v>
                      </c:pt>
                      <c:pt idx="71">
                        <c:v>5.5749486652977414</c:v>
                      </c:pt>
                      <c:pt idx="72">
                        <c:v>5.6570841889117043</c:v>
                      </c:pt>
                      <c:pt idx="73">
                        <c:v>5.7392197125256672</c:v>
                      </c:pt>
                      <c:pt idx="74">
                        <c:v>5.8213552361396301</c:v>
                      </c:pt>
                      <c:pt idx="75">
                        <c:v>5.9034907597535931</c:v>
                      </c:pt>
                      <c:pt idx="76">
                        <c:v>6</c:v>
                      </c:pt>
                      <c:pt idx="77">
                        <c:v>6.0821355236139629</c:v>
                      </c:pt>
                      <c:pt idx="78">
                        <c:v>6.1642710472279258</c:v>
                      </c:pt>
                      <c:pt idx="79">
                        <c:v>6.2464065708418888</c:v>
                      </c:pt>
                      <c:pt idx="80">
                        <c:v>6.3285420944558526</c:v>
                      </c:pt>
                      <c:pt idx="81">
                        <c:v>6.4106776180698155</c:v>
                      </c:pt>
                      <c:pt idx="82">
                        <c:v>6.4928131416837784</c:v>
                      </c:pt>
                      <c:pt idx="83">
                        <c:v>6.5749486652977414</c:v>
                      </c:pt>
                      <c:pt idx="84">
                        <c:v>6.6570841889117043</c:v>
                      </c:pt>
                      <c:pt idx="85">
                        <c:v>6.7392197125256672</c:v>
                      </c:pt>
                      <c:pt idx="86">
                        <c:v>6.8213552361396301</c:v>
                      </c:pt>
                      <c:pt idx="87">
                        <c:v>6.9034907597535931</c:v>
                      </c:pt>
                      <c:pt idx="88">
                        <c:v>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Hasil!$L$6:$L$94</c15:sqref>
                        </c15:formulaRef>
                      </c:ext>
                    </c:extLst>
                    <c:numCache>
                      <c:formatCode>0.0000000</c:formatCode>
                      <c:ptCount val="89"/>
                      <c:pt idx="0">
                        <c:v>1.0311588</c:v>
                      </c:pt>
                      <c:pt idx="1">
                        <c:v>1.0182106</c:v>
                      </c:pt>
                      <c:pt idx="2">
                        <c:v>1.0180992</c:v>
                      </c:pt>
                      <c:pt idx="3">
                        <c:v>1.0170870999999999</c:v>
                      </c:pt>
                      <c:pt idx="4">
                        <c:v>1.0158453999999999</c:v>
                      </c:pt>
                      <c:pt idx="5">
                        <c:v>1.0133764000000001</c:v>
                      </c:pt>
                      <c:pt idx="6">
                        <c:v>1.0114837000000001</c:v>
                      </c:pt>
                      <c:pt idx="7">
                        <c:v>1.0074055</c:v>
                      </c:pt>
                      <c:pt idx="8">
                        <c:v>1.0047699000000001</c:v>
                      </c:pt>
                      <c:pt idx="9">
                        <c:v>1.0029824000000001</c:v>
                      </c:pt>
                      <c:pt idx="10">
                        <c:v>1.0018014</c:v>
                      </c:pt>
                      <c:pt idx="11">
                        <c:v>1.0012075</c:v>
                      </c:pt>
                      <c:pt idx="12">
                        <c:v>1.0011774</c:v>
                      </c:pt>
                      <c:pt idx="13">
                        <c:v>1.0016474</c:v>
                      </c:pt>
                      <c:pt idx="14">
                        <c:v>1.0021069</c:v>
                      </c:pt>
                      <c:pt idx="15">
                        <c:v>1.0028902</c:v>
                      </c:pt>
                      <c:pt idx="16">
                        <c:v>1.0036049</c:v>
                      </c:pt>
                      <c:pt idx="17">
                        <c:v>1.0035946</c:v>
                      </c:pt>
                      <c:pt idx="18">
                        <c:v>1.0039849999999999</c:v>
                      </c:pt>
                      <c:pt idx="19">
                        <c:v>1.0041343</c:v>
                      </c:pt>
                      <c:pt idx="20">
                        <c:v>1.0039077000000001</c:v>
                      </c:pt>
                      <c:pt idx="21">
                        <c:v>1.0033723000000001</c:v>
                      </c:pt>
                      <c:pt idx="22">
                        <c:v>1.0026600000000001</c:v>
                      </c:pt>
                      <c:pt idx="23">
                        <c:v>1.0016776000000001</c:v>
                      </c:pt>
                      <c:pt idx="24">
                        <c:v>1.0006155999999999</c:v>
                      </c:pt>
                      <c:pt idx="25">
                        <c:v>0.99937529999999997</c:v>
                      </c:pt>
                      <c:pt idx="26">
                        <c:v>0.99811689999999997</c:v>
                      </c:pt>
                      <c:pt idx="27">
                        <c:v>0.99694749999999999</c:v>
                      </c:pt>
                      <c:pt idx="28">
                        <c:v>0.99572360000000004</c:v>
                      </c:pt>
                      <c:pt idx="29">
                        <c:v>0.99416159999999998</c:v>
                      </c:pt>
                      <c:pt idx="30">
                        <c:v>0.99293750000000003</c:v>
                      </c:pt>
                      <c:pt idx="31">
                        <c:v>0.99164099999999999</c:v>
                      </c:pt>
                      <c:pt idx="32">
                        <c:v>0.99032240000000005</c:v>
                      </c:pt>
                      <c:pt idx="33">
                        <c:v>0.98900010000000005</c:v>
                      </c:pt>
                      <c:pt idx="34">
                        <c:v>0.98771439999999999</c:v>
                      </c:pt>
                      <c:pt idx="35">
                        <c:v>0.98639069999999995</c:v>
                      </c:pt>
                      <c:pt idx="36">
                        <c:v>0.98512069999999996</c:v>
                      </c:pt>
                      <c:pt idx="37">
                        <c:v>0.98380619999999996</c:v>
                      </c:pt>
                      <c:pt idx="38">
                        <c:v>0.98239469999999995</c:v>
                      </c:pt>
                      <c:pt idx="39">
                        <c:v>0.98102610000000001</c:v>
                      </c:pt>
                      <c:pt idx="40">
                        <c:v>0.97969649999999997</c:v>
                      </c:pt>
                      <c:pt idx="41">
                        <c:v>0.97971350000000001</c:v>
                      </c:pt>
                      <c:pt idx="42">
                        <c:v>0.97836869999999998</c:v>
                      </c:pt>
                      <c:pt idx="43">
                        <c:v>0.97709539999999995</c:v>
                      </c:pt>
                      <c:pt idx="44">
                        <c:v>0.97576189999999996</c:v>
                      </c:pt>
                      <c:pt idx="45">
                        <c:v>0.97456089999999995</c:v>
                      </c:pt>
                      <c:pt idx="46">
                        <c:v>0.97313130000000003</c:v>
                      </c:pt>
                      <c:pt idx="47">
                        <c:v>0.97189409999999998</c:v>
                      </c:pt>
                      <c:pt idx="48">
                        <c:v>0.97053040000000002</c:v>
                      </c:pt>
                      <c:pt idx="49">
                        <c:v>0.96930550000000004</c:v>
                      </c:pt>
                      <c:pt idx="50">
                        <c:v>0.96796139999999997</c:v>
                      </c:pt>
                      <c:pt idx="51">
                        <c:v>0.96668920000000003</c:v>
                      </c:pt>
                      <c:pt idx="52">
                        <c:v>0.96542649999999997</c:v>
                      </c:pt>
                      <c:pt idx="53">
                        <c:v>0.96386780000000005</c:v>
                      </c:pt>
                      <c:pt idx="54">
                        <c:v>0.96265129999999999</c:v>
                      </c:pt>
                      <c:pt idx="55">
                        <c:v>0.96138230000000002</c:v>
                      </c:pt>
                      <c:pt idx="56">
                        <c:v>0.96018619999999999</c:v>
                      </c:pt>
                      <c:pt idx="57">
                        <c:v>0.95891510000000002</c:v>
                      </c:pt>
                      <c:pt idx="58">
                        <c:v>0.95768059999999999</c:v>
                      </c:pt>
                      <c:pt idx="59">
                        <c:v>0.95646889999999996</c:v>
                      </c:pt>
                      <c:pt idx="60">
                        <c:v>0.95518939999999997</c:v>
                      </c:pt>
                      <c:pt idx="61">
                        <c:v>0.9538702</c:v>
                      </c:pt>
                      <c:pt idx="62">
                        <c:v>0.95266079999999997</c:v>
                      </c:pt>
                      <c:pt idx="63">
                        <c:v>0.95139379999999996</c:v>
                      </c:pt>
                      <c:pt idx="64">
                        <c:v>0.95018769999999997</c:v>
                      </c:pt>
                      <c:pt idx="65" formatCode="General">
                        <c:v>0.95017960000000001</c:v>
                      </c:pt>
                      <c:pt idx="66" formatCode="General">
                        <c:v>0.9489282</c:v>
                      </c:pt>
                      <c:pt idx="67" formatCode="General">
                        <c:v>0.94768300000000005</c:v>
                      </c:pt>
                      <c:pt idx="68" formatCode="General">
                        <c:v>0.94642170000000003</c:v>
                      </c:pt>
                      <c:pt idx="69" formatCode="General">
                        <c:v>0.94526969999999999</c:v>
                      </c:pt>
                      <c:pt idx="70" formatCode="General">
                        <c:v>0.94390339999999995</c:v>
                      </c:pt>
                      <c:pt idx="71" formatCode="General">
                        <c:v>0.94275810000000004</c:v>
                      </c:pt>
                      <c:pt idx="72" formatCode="General">
                        <c:v>0.94147570000000003</c:v>
                      </c:pt>
                      <c:pt idx="73" formatCode="General">
                        <c:v>0.94028900000000004</c:v>
                      </c:pt>
                      <c:pt idx="74" formatCode="General">
                        <c:v>0.93894259999999996</c:v>
                      </c:pt>
                      <c:pt idx="75" formatCode="General">
                        <c:v>0.93775730000000002</c:v>
                      </c:pt>
                      <c:pt idx="76" formatCode="General">
                        <c:v>0.93644300000000003</c:v>
                      </c:pt>
                      <c:pt idx="77" formatCode="General">
                        <c:v>0.93494200000000005</c:v>
                      </c:pt>
                      <c:pt idx="78" formatCode="General">
                        <c:v>0.93363399999999996</c:v>
                      </c:pt>
                      <c:pt idx="79" formatCode="General">
                        <c:v>0.93236110000000005</c:v>
                      </c:pt>
                      <c:pt idx="80" formatCode="General">
                        <c:v>0.93109549999999996</c:v>
                      </c:pt>
                      <c:pt idx="81" formatCode="General">
                        <c:v>0.92989489999999997</c:v>
                      </c:pt>
                      <c:pt idx="82" formatCode="General">
                        <c:v>0.92844610000000005</c:v>
                      </c:pt>
                      <c:pt idx="83" formatCode="General">
                        <c:v>0.92740319999999998</c:v>
                      </c:pt>
                      <c:pt idx="84" formatCode="General">
                        <c:v>0.92598760000000002</c:v>
                      </c:pt>
                      <c:pt idx="85" formatCode="General">
                        <c:v>0.92478079999999996</c:v>
                      </c:pt>
                      <c:pt idx="86" formatCode="General">
                        <c:v>0.9234369</c:v>
                      </c:pt>
                      <c:pt idx="87" formatCode="General">
                        <c:v>0.92216600000000004</c:v>
                      </c:pt>
                      <c:pt idx="88" formatCode="General">
                        <c:v>0.92084060000000001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Hasil!$M$5</c15:sqref>
                        </c15:formulaRef>
                      </c:ext>
                    </c:extLst>
                    <c:strCache>
                      <c:ptCount val="1"/>
                      <c:pt idx="0">
                        <c:v>MOX 10%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Hasil!$G$6:$G$94</c15:sqref>
                        </c15:formulaRef>
                      </c:ext>
                    </c:extLst>
                    <c:numCache>
                      <c:formatCode>General</c:formatCode>
                      <c:ptCount val="89"/>
                      <c:pt idx="0">
                        <c:v>0</c:v>
                      </c:pt>
                      <c:pt idx="1">
                        <c:v>2.7378507871321013E-3</c:v>
                      </c:pt>
                      <c:pt idx="2">
                        <c:v>1.3689253935660506E-2</c:v>
                      </c:pt>
                      <c:pt idx="3">
                        <c:v>2.7378507871321012E-2</c:v>
                      </c:pt>
                      <c:pt idx="4">
                        <c:v>5.4757015742642023E-2</c:v>
                      </c:pt>
                      <c:pt idx="5">
                        <c:v>8.2135523613963035E-2</c:v>
                      </c:pt>
                      <c:pt idx="6">
                        <c:v>0.16427104722792607</c:v>
                      </c:pt>
                      <c:pt idx="7">
                        <c:v>0.24640657084188911</c:v>
                      </c:pt>
                      <c:pt idx="8">
                        <c:v>0.32854209445585214</c:v>
                      </c:pt>
                      <c:pt idx="9">
                        <c:v>0.41067761806981518</c:v>
                      </c:pt>
                      <c:pt idx="10">
                        <c:v>0.49281314168377821</c:v>
                      </c:pt>
                      <c:pt idx="11">
                        <c:v>0.57494866529774125</c:v>
                      </c:pt>
                      <c:pt idx="12">
                        <c:v>0.65708418891170428</c:v>
                      </c:pt>
                      <c:pt idx="13">
                        <c:v>0.73921971252566732</c:v>
                      </c:pt>
                      <c:pt idx="14">
                        <c:v>0.82135523613963035</c:v>
                      </c:pt>
                      <c:pt idx="15">
                        <c:v>0.90349075975359339</c:v>
                      </c:pt>
                      <c:pt idx="16">
                        <c:v>1</c:v>
                      </c:pt>
                      <c:pt idx="17">
                        <c:v>1.0821355236139631</c:v>
                      </c:pt>
                      <c:pt idx="18">
                        <c:v>1.1642710472279261</c:v>
                      </c:pt>
                      <c:pt idx="19">
                        <c:v>1.2464065708418892</c:v>
                      </c:pt>
                      <c:pt idx="20">
                        <c:v>1.3285420944558521</c:v>
                      </c:pt>
                      <c:pt idx="21">
                        <c:v>1.4106776180698153</c:v>
                      </c:pt>
                      <c:pt idx="22">
                        <c:v>1.4928131416837782</c:v>
                      </c:pt>
                      <c:pt idx="23">
                        <c:v>1.5749486652977414</c:v>
                      </c:pt>
                      <c:pt idx="24">
                        <c:v>1.6570841889117043</c:v>
                      </c:pt>
                      <c:pt idx="25">
                        <c:v>1.7392197125256674</c:v>
                      </c:pt>
                      <c:pt idx="26">
                        <c:v>1.8213552361396304</c:v>
                      </c:pt>
                      <c:pt idx="27">
                        <c:v>1.9034907597535935</c:v>
                      </c:pt>
                      <c:pt idx="28">
                        <c:v>2</c:v>
                      </c:pt>
                      <c:pt idx="29">
                        <c:v>2.0821355236139629</c:v>
                      </c:pt>
                      <c:pt idx="30">
                        <c:v>2.1642710472279263</c:v>
                      </c:pt>
                      <c:pt idx="31">
                        <c:v>2.2464065708418892</c:v>
                      </c:pt>
                      <c:pt idx="32">
                        <c:v>2.3285420944558521</c:v>
                      </c:pt>
                      <c:pt idx="33">
                        <c:v>2.4106776180698151</c:v>
                      </c:pt>
                      <c:pt idx="34">
                        <c:v>2.4928131416837784</c:v>
                      </c:pt>
                      <c:pt idx="35">
                        <c:v>2.5749486652977414</c:v>
                      </c:pt>
                      <c:pt idx="36">
                        <c:v>2.6570841889117043</c:v>
                      </c:pt>
                      <c:pt idx="37">
                        <c:v>2.7392197125256672</c:v>
                      </c:pt>
                      <c:pt idx="38">
                        <c:v>2.8213552361396306</c:v>
                      </c:pt>
                      <c:pt idx="39">
                        <c:v>2.9034907597535935</c:v>
                      </c:pt>
                      <c:pt idx="40">
                        <c:v>3</c:v>
                      </c:pt>
                      <c:pt idx="41">
                        <c:v>3.0821355236139629</c:v>
                      </c:pt>
                      <c:pt idx="42">
                        <c:v>3.1642710472279263</c:v>
                      </c:pt>
                      <c:pt idx="43">
                        <c:v>3.2464065708418892</c:v>
                      </c:pt>
                      <c:pt idx="44">
                        <c:v>3.3285420944558521</c:v>
                      </c:pt>
                      <c:pt idx="45">
                        <c:v>3.4106776180698151</c:v>
                      </c:pt>
                      <c:pt idx="46">
                        <c:v>3.4928131416837784</c:v>
                      </c:pt>
                      <c:pt idx="47">
                        <c:v>3.5749486652977414</c:v>
                      </c:pt>
                      <c:pt idx="48">
                        <c:v>3.6570841889117043</c:v>
                      </c:pt>
                      <c:pt idx="49">
                        <c:v>3.7392197125256672</c:v>
                      </c:pt>
                      <c:pt idx="50">
                        <c:v>3.8213552361396306</c:v>
                      </c:pt>
                      <c:pt idx="51">
                        <c:v>3.9034907597535935</c:v>
                      </c:pt>
                      <c:pt idx="52">
                        <c:v>4</c:v>
                      </c:pt>
                      <c:pt idx="53">
                        <c:v>4.0821355236139629</c:v>
                      </c:pt>
                      <c:pt idx="54">
                        <c:v>4.1642710472279258</c:v>
                      </c:pt>
                      <c:pt idx="55">
                        <c:v>4.2464065708418888</c:v>
                      </c:pt>
                      <c:pt idx="56">
                        <c:v>4.3285420944558526</c:v>
                      </c:pt>
                      <c:pt idx="57">
                        <c:v>4.4106776180698155</c:v>
                      </c:pt>
                      <c:pt idx="58">
                        <c:v>4.4928131416837784</c:v>
                      </c:pt>
                      <c:pt idx="59">
                        <c:v>4.5749486652977414</c:v>
                      </c:pt>
                      <c:pt idx="60">
                        <c:v>4.6570841889117043</c:v>
                      </c:pt>
                      <c:pt idx="61">
                        <c:v>4.7392197125256672</c:v>
                      </c:pt>
                      <c:pt idx="62">
                        <c:v>4.8213552361396301</c:v>
                      </c:pt>
                      <c:pt idx="63">
                        <c:v>4.9034907597535931</c:v>
                      </c:pt>
                      <c:pt idx="64">
                        <c:v>5</c:v>
                      </c:pt>
                      <c:pt idx="65">
                        <c:v>5.0821355236139629</c:v>
                      </c:pt>
                      <c:pt idx="66">
                        <c:v>5.1642710472279258</c:v>
                      </c:pt>
                      <c:pt idx="67">
                        <c:v>5.2464065708418888</c:v>
                      </c:pt>
                      <c:pt idx="68">
                        <c:v>5.3285420944558526</c:v>
                      </c:pt>
                      <c:pt idx="69">
                        <c:v>5.4106776180698155</c:v>
                      </c:pt>
                      <c:pt idx="70">
                        <c:v>5.4928131416837784</c:v>
                      </c:pt>
                      <c:pt idx="71">
                        <c:v>5.5749486652977414</c:v>
                      </c:pt>
                      <c:pt idx="72">
                        <c:v>5.6570841889117043</c:v>
                      </c:pt>
                      <c:pt idx="73">
                        <c:v>5.7392197125256672</c:v>
                      </c:pt>
                      <c:pt idx="74">
                        <c:v>5.8213552361396301</c:v>
                      </c:pt>
                      <c:pt idx="75">
                        <c:v>5.9034907597535931</c:v>
                      </c:pt>
                      <c:pt idx="76">
                        <c:v>6</c:v>
                      </c:pt>
                      <c:pt idx="77">
                        <c:v>6.0821355236139629</c:v>
                      </c:pt>
                      <c:pt idx="78">
                        <c:v>6.1642710472279258</c:v>
                      </c:pt>
                      <c:pt idx="79">
                        <c:v>6.2464065708418888</c:v>
                      </c:pt>
                      <c:pt idx="80">
                        <c:v>6.3285420944558526</c:v>
                      </c:pt>
                      <c:pt idx="81">
                        <c:v>6.4106776180698155</c:v>
                      </c:pt>
                      <c:pt idx="82">
                        <c:v>6.4928131416837784</c:v>
                      </c:pt>
                      <c:pt idx="83">
                        <c:v>6.5749486652977414</c:v>
                      </c:pt>
                      <c:pt idx="84">
                        <c:v>6.6570841889117043</c:v>
                      </c:pt>
                      <c:pt idx="85">
                        <c:v>6.7392197125256672</c:v>
                      </c:pt>
                      <c:pt idx="86">
                        <c:v>6.8213552361396301</c:v>
                      </c:pt>
                      <c:pt idx="87">
                        <c:v>6.9034907597535931</c:v>
                      </c:pt>
                      <c:pt idx="88">
                        <c:v>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Hasil!$M$6:$M$94</c15:sqref>
                        </c15:formulaRef>
                      </c:ext>
                    </c:extLst>
                    <c:numCache>
                      <c:formatCode>0.0000000</c:formatCode>
                      <c:ptCount val="89"/>
                      <c:pt idx="0">
                        <c:v>1.0532931000000001</c:v>
                      </c:pt>
                      <c:pt idx="1">
                        <c:v>1.0426344999999999</c:v>
                      </c:pt>
                      <c:pt idx="2">
                        <c:v>1.0425484</c:v>
                      </c:pt>
                      <c:pt idx="3">
                        <c:v>1.0416679</c:v>
                      </c:pt>
                      <c:pt idx="4">
                        <c:v>1.0405802</c:v>
                      </c:pt>
                      <c:pt idx="5">
                        <c:v>1.0384085000000001</c:v>
                      </c:pt>
                      <c:pt idx="6">
                        <c:v>1.0366479</c:v>
                      </c:pt>
                      <c:pt idx="7">
                        <c:v>1.0326135000000001</c:v>
                      </c:pt>
                      <c:pt idx="8">
                        <c:v>1.0297775</c:v>
                      </c:pt>
                      <c:pt idx="9">
                        <c:v>1.0276759</c:v>
                      </c:pt>
                      <c:pt idx="10">
                        <c:v>1.0261001999999999</c:v>
                      </c:pt>
                      <c:pt idx="11">
                        <c:v>1.0249315999999999</c:v>
                      </c:pt>
                      <c:pt idx="12">
                        <c:v>1.0241838000000001</c:v>
                      </c:pt>
                      <c:pt idx="13">
                        <c:v>1.0237616</c:v>
                      </c:pt>
                      <c:pt idx="14">
                        <c:v>1.0234296000000001</c:v>
                      </c:pt>
                      <c:pt idx="15">
                        <c:v>1.0234601000000001</c:v>
                      </c:pt>
                      <c:pt idx="16">
                        <c:v>1.0233996999999999</c:v>
                      </c:pt>
                      <c:pt idx="17">
                        <c:v>1.0233988999999999</c:v>
                      </c:pt>
                      <c:pt idx="18">
                        <c:v>1.0234445000000001</c:v>
                      </c:pt>
                      <c:pt idx="19">
                        <c:v>1.0232406999999999</c:v>
                      </c:pt>
                      <c:pt idx="20">
                        <c:v>1.0229162000000001</c:v>
                      </c:pt>
                      <c:pt idx="21">
                        <c:v>1.0223819000000001</c:v>
                      </c:pt>
                      <c:pt idx="22">
                        <c:v>1.0216259000000001</c:v>
                      </c:pt>
                      <c:pt idx="23">
                        <c:v>1.0207101999999999</c:v>
                      </c:pt>
                      <c:pt idx="24">
                        <c:v>1.0197101</c:v>
                      </c:pt>
                      <c:pt idx="25">
                        <c:v>1.0185107</c:v>
                      </c:pt>
                      <c:pt idx="26">
                        <c:v>1.0172920999999999</c:v>
                      </c:pt>
                      <c:pt idx="27">
                        <c:v>1.0161241999999999</c:v>
                      </c:pt>
                      <c:pt idx="28">
                        <c:v>1.0149938999999999</c:v>
                      </c:pt>
                      <c:pt idx="29">
                        <c:v>1.0134974000000001</c:v>
                      </c:pt>
                      <c:pt idx="30">
                        <c:v>1.0122929000000001</c:v>
                      </c:pt>
                      <c:pt idx="31">
                        <c:v>1.0110315999999999</c:v>
                      </c:pt>
                      <c:pt idx="32">
                        <c:v>1.0097274000000001</c:v>
                      </c:pt>
                      <c:pt idx="33">
                        <c:v>1.0084355</c:v>
                      </c:pt>
                      <c:pt idx="34">
                        <c:v>1.0071181</c:v>
                      </c:pt>
                      <c:pt idx="35">
                        <c:v>1.0058638</c:v>
                      </c:pt>
                      <c:pt idx="36">
                        <c:v>1.0045443999999999</c:v>
                      </c:pt>
                      <c:pt idx="37">
                        <c:v>1.0032456000000001</c:v>
                      </c:pt>
                      <c:pt idx="38">
                        <c:v>1.0018066000000001</c:v>
                      </c:pt>
                      <c:pt idx="39">
                        <c:v>1.0004751999999999</c:v>
                      </c:pt>
                      <c:pt idx="40">
                        <c:v>0.99917840000000002</c:v>
                      </c:pt>
                      <c:pt idx="41">
                        <c:v>0.99919550000000001</c:v>
                      </c:pt>
                      <c:pt idx="42">
                        <c:v>0.99783790000000006</c:v>
                      </c:pt>
                      <c:pt idx="43">
                        <c:v>0.99651909999999999</c:v>
                      </c:pt>
                      <c:pt idx="44">
                        <c:v>0.99519230000000003</c:v>
                      </c:pt>
                      <c:pt idx="45">
                        <c:v>0.99387639999999999</c:v>
                      </c:pt>
                      <c:pt idx="46">
                        <c:v>0.99259909999999996</c:v>
                      </c:pt>
                      <c:pt idx="47">
                        <c:v>0.99133590000000005</c:v>
                      </c:pt>
                      <c:pt idx="48">
                        <c:v>0.99002129999999999</c:v>
                      </c:pt>
                      <c:pt idx="49">
                        <c:v>0.98874220000000002</c:v>
                      </c:pt>
                      <c:pt idx="50">
                        <c:v>0.98742180000000002</c:v>
                      </c:pt>
                      <c:pt idx="51">
                        <c:v>0.98613949999999995</c:v>
                      </c:pt>
                      <c:pt idx="52">
                        <c:v>0.98486269999999998</c:v>
                      </c:pt>
                      <c:pt idx="53">
                        <c:v>0.98345749999999998</c:v>
                      </c:pt>
                      <c:pt idx="54">
                        <c:v>0.98206610000000005</c:v>
                      </c:pt>
                      <c:pt idx="55">
                        <c:v>0.98086530000000005</c:v>
                      </c:pt>
                      <c:pt idx="56">
                        <c:v>0.97960979999999998</c:v>
                      </c:pt>
                      <c:pt idx="57">
                        <c:v>0.97834719999999997</c:v>
                      </c:pt>
                      <c:pt idx="58">
                        <c:v>0.97714290000000004</c:v>
                      </c:pt>
                      <c:pt idx="59">
                        <c:v>0.97583500000000001</c:v>
                      </c:pt>
                      <c:pt idx="60">
                        <c:v>0.97459390000000001</c:v>
                      </c:pt>
                      <c:pt idx="61">
                        <c:v>0.97335740000000004</c:v>
                      </c:pt>
                      <c:pt idx="62">
                        <c:v>0.97212509999999996</c:v>
                      </c:pt>
                      <c:pt idx="63">
                        <c:v>0.97091170000000004</c:v>
                      </c:pt>
                      <c:pt idx="64">
                        <c:v>0.96971929999999995</c:v>
                      </c:pt>
                      <c:pt idx="65" formatCode="General">
                        <c:v>0.96971739999999995</c:v>
                      </c:pt>
                      <c:pt idx="66" formatCode="General">
                        <c:v>0.96849909999999995</c:v>
                      </c:pt>
                      <c:pt idx="67" formatCode="General">
                        <c:v>0.96726630000000002</c:v>
                      </c:pt>
                      <c:pt idx="68" formatCode="General">
                        <c:v>0.96601190000000003</c:v>
                      </c:pt>
                      <c:pt idx="69" formatCode="General">
                        <c:v>0.96480290000000002</c:v>
                      </c:pt>
                      <c:pt idx="70" formatCode="General">
                        <c:v>0.96360710000000005</c:v>
                      </c:pt>
                      <c:pt idx="71" formatCode="General">
                        <c:v>0.96241650000000001</c:v>
                      </c:pt>
                      <c:pt idx="72" formatCode="General">
                        <c:v>0.96120510000000003</c:v>
                      </c:pt>
                      <c:pt idx="73" formatCode="General">
                        <c:v>0.95999440000000003</c:v>
                      </c:pt>
                      <c:pt idx="74" formatCode="General">
                        <c:v>0.95878229999999998</c:v>
                      </c:pt>
                      <c:pt idx="75" formatCode="General">
                        <c:v>0.95758209999999999</c:v>
                      </c:pt>
                      <c:pt idx="76" formatCode="General">
                        <c:v>0.95637470000000002</c:v>
                      </c:pt>
                      <c:pt idx="77" formatCode="General">
                        <c:v>0.95494849999999998</c:v>
                      </c:pt>
                      <c:pt idx="78" formatCode="General">
                        <c:v>0.95370509999999997</c:v>
                      </c:pt>
                      <c:pt idx="79" formatCode="General">
                        <c:v>0.95247660000000001</c:v>
                      </c:pt>
                      <c:pt idx="80" formatCode="General">
                        <c:v>0.95126359999999999</c:v>
                      </c:pt>
                      <c:pt idx="81" formatCode="General">
                        <c:v>0.95006809999999997</c:v>
                      </c:pt>
                      <c:pt idx="82" formatCode="General">
                        <c:v>0.94895580000000002</c:v>
                      </c:pt>
                      <c:pt idx="83" formatCode="General">
                        <c:v>0.94768439999999998</c:v>
                      </c:pt>
                      <c:pt idx="84" formatCode="General">
                        <c:v>0.94640060000000004</c:v>
                      </c:pt>
                      <c:pt idx="85" formatCode="General">
                        <c:v>0.94532570000000005</c:v>
                      </c:pt>
                      <c:pt idx="86" formatCode="General">
                        <c:v>0.94402810000000004</c:v>
                      </c:pt>
                      <c:pt idx="87" formatCode="General">
                        <c:v>0.94285600000000003</c:v>
                      </c:pt>
                      <c:pt idx="88" formatCode="General">
                        <c:v>0.94158299999999995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Hasil!$O$5</c15:sqref>
                        </c15:formulaRef>
                      </c:ext>
                    </c:extLst>
                    <c:strCache>
                      <c:ptCount val="1"/>
                      <c:pt idx="0">
                        <c:v>MOX 14%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Hasil!$G$6:$G$94</c15:sqref>
                        </c15:formulaRef>
                      </c:ext>
                    </c:extLst>
                    <c:numCache>
                      <c:formatCode>General</c:formatCode>
                      <c:ptCount val="89"/>
                      <c:pt idx="0">
                        <c:v>0</c:v>
                      </c:pt>
                      <c:pt idx="1">
                        <c:v>2.7378507871321013E-3</c:v>
                      </c:pt>
                      <c:pt idx="2">
                        <c:v>1.3689253935660506E-2</c:v>
                      </c:pt>
                      <c:pt idx="3">
                        <c:v>2.7378507871321012E-2</c:v>
                      </c:pt>
                      <c:pt idx="4">
                        <c:v>5.4757015742642023E-2</c:v>
                      </c:pt>
                      <c:pt idx="5">
                        <c:v>8.2135523613963035E-2</c:v>
                      </c:pt>
                      <c:pt idx="6">
                        <c:v>0.16427104722792607</c:v>
                      </c:pt>
                      <c:pt idx="7">
                        <c:v>0.24640657084188911</c:v>
                      </c:pt>
                      <c:pt idx="8">
                        <c:v>0.32854209445585214</c:v>
                      </c:pt>
                      <c:pt idx="9">
                        <c:v>0.41067761806981518</c:v>
                      </c:pt>
                      <c:pt idx="10">
                        <c:v>0.49281314168377821</c:v>
                      </c:pt>
                      <c:pt idx="11">
                        <c:v>0.57494866529774125</c:v>
                      </c:pt>
                      <c:pt idx="12">
                        <c:v>0.65708418891170428</c:v>
                      </c:pt>
                      <c:pt idx="13">
                        <c:v>0.73921971252566732</c:v>
                      </c:pt>
                      <c:pt idx="14">
                        <c:v>0.82135523613963035</c:v>
                      </c:pt>
                      <c:pt idx="15">
                        <c:v>0.90349075975359339</c:v>
                      </c:pt>
                      <c:pt idx="16">
                        <c:v>1</c:v>
                      </c:pt>
                      <c:pt idx="17">
                        <c:v>1.0821355236139631</c:v>
                      </c:pt>
                      <c:pt idx="18">
                        <c:v>1.1642710472279261</c:v>
                      </c:pt>
                      <c:pt idx="19">
                        <c:v>1.2464065708418892</c:v>
                      </c:pt>
                      <c:pt idx="20">
                        <c:v>1.3285420944558521</c:v>
                      </c:pt>
                      <c:pt idx="21">
                        <c:v>1.4106776180698153</c:v>
                      </c:pt>
                      <c:pt idx="22">
                        <c:v>1.4928131416837782</c:v>
                      </c:pt>
                      <c:pt idx="23">
                        <c:v>1.5749486652977414</c:v>
                      </c:pt>
                      <c:pt idx="24">
                        <c:v>1.6570841889117043</c:v>
                      </c:pt>
                      <c:pt idx="25">
                        <c:v>1.7392197125256674</c:v>
                      </c:pt>
                      <c:pt idx="26">
                        <c:v>1.8213552361396304</c:v>
                      </c:pt>
                      <c:pt idx="27">
                        <c:v>1.9034907597535935</c:v>
                      </c:pt>
                      <c:pt idx="28">
                        <c:v>2</c:v>
                      </c:pt>
                      <c:pt idx="29">
                        <c:v>2.0821355236139629</c:v>
                      </c:pt>
                      <c:pt idx="30">
                        <c:v>2.1642710472279263</c:v>
                      </c:pt>
                      <c:pt idx="31">
                        <c:v>2.2464065708418892</c:v>
                      </c:pt>
                      <c:pt idx="32">
                        <c:v>2.3285420944558521</c:v>
                      </c:pt>
                      <c:pt idx="33">
                        <c:v>2.4106776180698151</c:v>
                      </c:pt>
                      <c:pt idx="34">
                        <c:v>2.4928131416837784</c:v>
                      </c:pt>
                      <c:pt idx="35">
                        <c:v>2.5749486652977414</c:v>
                      </c:pt>
                      <c:pt idx="36">
                        <c:v>2.6570841889117043</c:v>
                      </c:pt>
                      <c:pt idx="37">
                        <c:v>2.7392197125256672</c:v>
                      </c:pt>
                      <c:pt idx="38">
                        <c:v>2.8213552361396306</c:v>
                      </c:pt>
                      <c:pt idx="39">
                        <c:v>2.9034907597535935</c:v>
                      </c:pt>
                      <c:pt idx="40">
                        <c:v>3</c:v>
                      </c:pt>
                      <c:pt idx="41">
                        <c:v>3.0821355236139629</c:v>
                      </c:pt>
                      <c:pt idx="42">
                        <c:v>3.1642710472279263</c:v>
                      </c:pt>
                      <c:pt idx="43">
                        <c:v>3.2464065708418892</c:v>
                      </c:pt>
                      <c:pt idx="44">
                        <c:v>3.3285420944558521</c:v>
                      </c:pt>
                      <c:pt idx="45">
                        <c:v>3.4106776180698151</c:v>
                      </c:pt>
                      <c:pt idx="46">
                        <c:v>3.4928131416837784</c:v>
                      </c:pt>
                      <c:pt idx="47">
                        <c:v>3.5749486652977414</c:v>
                      </c:pt>
                      <c:pt idx="48">
                        <c:v>3.6570841889117043</c:v>
                      </c:pt>
                      <c:pt idx="49">
                        <c:v>3.7392197125256672</c:v>
                      </c:pt>
                      <c:pt idx="50">
                        <c:v>3.8213552361396306</c:v>
                      </c:pt>
                      <c:pt idx="51">
                        <c:v>3.9034907597535935</c:v>
                      </c:pt>
                      <c:pt idx="52">
                        <c:v>4</c:v>
                      </c:pt>
                      <c:pt idx="53">
                        <c:v>4.0821355236139629</c:v>
                      </c:pt>
                      <c:pt idx="54">
                        <c:v>4.1642710472279258</c:v>
                      </c:pt>
                      <c:pt idx="55">
                        <c:v>4.2464065708418888</c:v>
                      </c:pt>
                      <c:pt idx="56">
                        <c:v>4.3285420944558526</c:v>
                      </c:pt>
                      <c:pt idx="57">
                        <c:v>4.4106776180698155</c:v>
                      </c:pt>
                      <c:pt idx="58">
                        <c:v>4.4928131416837784</c:v>
                      </c:pt>
                      <c:pt idx="59">
                        <c:v>4.5749486652977414</c:v>
                      </c:pt>
                      <c:pt idx="60">
                        <c:v>4.6570841889117043</c:v>
                      </c:pt>
                      <c:pt idx="61">
                        <c:v>4.7392197125256672</c:v>
                      </c:pt>
                      <c:pt idx="62">
                        <c:v>4.8213552361396301</c:v>
                      </c:pt>
                      <c:pt idx="63">
                        <c:v>4.9034907597535931</c:v>
                      </c:pt>
                      <c:pt idx="64">
                        <c:v>5</c:v>
                      </c:pt>
                      <c:pt idx="65">
                        <c:v>5.0821355236139629</c:v>
                      </c:pt>
                      <c:pt idx="66">
                        <c:v>5.1642710472279258</c:v>
                      </c:pt>
                      <c:pt idx="67">
                        <c:v>5.2464065708418888</c:v>
                      </c:pt>
                      <c:pt idx="68">
                        <c:v>5.3285420944558526</c:v>
                      </c:pt>
                      <c:pt idx="69">
                        <c:v>5.4106776180698155</c:v>
                      </c:pt>
                      <c:pt idx="70">
                        <c:v>5.4928131416837784</c:v>
                      </c:pt>
                      <c:pt idx="71">
                        <c:v>5.5749486652977414</c:v>
                      </c:pt>
                      <c:pt idx="72">
                        <c:v>5.6570841889117043</c:v>
                      </c:pt>
                      <c:pt idx="73">
                        <c:v>5.7392197125256672</c:v>
                      </c:pt>
                      <c:pt idx="74">
                        <c:v>5.8213552361396301</c:v>
                      </c:pt>
                      <c:pt idx="75">
                        <c:v>5.9034907597535931</c:v>
                      </c:pt>
                      <c:pt idx="76">
                        <c:v>6</c:v>
                      </c:pt>
                      <c:pt idx="77">
                        <c:v>6.0821355236139629</c:v>
                      </c:pt>
                      <c:pt idx="78">
                        <c:v>6.1642710472279258</c:v>
                      </c:pt>
                      <c:pt idx="79">
                        <c:v>6.2464065708418888</c:v>
                      </c:pt>
                      <c:pt idx="80">
                        <c:v>6.3285420944558526</c:v>
                      </c:pt>
                      <c:pt idx="81">
                        <c:v>6.4106776180698155</c:v>
                      </c:pt>
                      <c:pt idx="82">
                        <c:v>6.4928131416837784</c:v>
                      </c:pt>
                      <c:pt idx="83">
                        <c:v>6.5749486652977414</c:v>
                      </c:pt>
                      <c:pt idx="84">
                        <c:v>6.6570841889117043</c:v>
                      </c:pt>
                      <c:pt idx="85">
                        <c:v>6.7392197125256672</c:v>
                      </c:pt>
                      <c:pt idx="86">
                        <c:v>6.8213552361396301</c:v>
                      </c:pt>
                      <c:pt idx="87">
                        <c:v>6.9034907597535931</c:v>
                      </c:pt>
                      <c:pt idx="88">
                        <c:v>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Hasil!$O$6:$O$94</c15:sqref>
                        </c15:formulaRef>
                      </c:ext>
                    </c:extLst>
                    <c:numCache>
                      <c:formatCode>0.0000000</c:formatCode>
                      <c:ptCount val="89"/>
                      <c:pt idx="0">
                        <c:v>1.0952926000000001</c:v>
                      </c:pt>
                      <c:pt idx="1">
                        <c:v>1.0877703000000001</c:v>
                      </c:pt>
                      <c:pt idx="2">
                        <c:v>1.0876884</c:v>
                      </c:pt>
                      <c:pt idx="3">
                        <c:v>1.0869629000000001</c:v>
                      </c:pt>
                      <c:pt idx="4">
                        <c:v>1.0860571999999999</c:v>
                      </c:pt>
                      <c:pt idx="5">
                        <c:v>1.0842434000000001</c:v>
                      </c:pt>
                      <c:pt idx="6">
                        <c:v>1.0826747000000001</c:v>
                      </c:pt>
                      <c:pt idx="7">
                        <c:v>1.0787491</c:v>
                      </c:pt>
                      <c:pt idx="8">
                        <c:v>1.0756446</c:v>
                      </c:pt>
                      <c:pt idx="9">
                        <c:v>1.0730774000000001</c:v>
                      </c:pt>
                      <c:pt idx="10">
                        <c:v>1.0709147000000001</c:v>
                      </c:pt>
                      <c:pt idx="11">
                        <c:v>1.0690248</c:v>
                      </c:pt>
                      <c:pt idx="12">
                        <c:v>1.0674182000000001</c:v>
                      </c:pt>
                      <c:pt idx="13">
                        <c:v>1.0659831</c:v>
                      </c:pt>
                      <c:pt idx="14">
                        <c:v>1.0647276999999999</c:v>
                      </c:pt>
                      <c:pt idx="15">
                        <c:v>1.0636471999999999</c:v>
                      </c:pt>
                      <c:pt idx="16">
                        <c:v>1.0626260999999999</c:v>
                      </c:pt>
                      <c:pt idx="17">
                        <c:v>1.0626321999999999</c:v>
                      </c:pt>
                      <c:pt idx="18">
                        <c:v>1.0617899</c:v>
                      </c:pt>
                      <c:pt idx="19">
                        <c:v>1.060913</c:v>
                      </c:pt>
                      <c:pt idx="20">
                        <c:v>1.0601289</c:v>
                      </c:pt>
                      <c:pt idx="21">
                        <c:v>1.0592264</c:v>
                      </c:pt>
                      <c:pt idx="22">
                        <c:v>1.0583073000000001</c:v>
                      </c:pt>
                      <c:pt idx="23">
                        <c:v>1.057302</c:v>
                      </c:pt>
                      <c:pt idx="24">
                        <c:v>1.0562233999999999</c:v>
                      </c:pt>
                      <c:pt idx="25">
                        <c:v>1.0549983000000001</c:v>
                      </c:pt>
                      <c:pt idx="26">
                        <c:v>1.0536487999999999</c:v>
                      </c:pt>
                      <c:pt idx="27">
                        <c:v>1.0523883000000001</c:v>
                      </c:pt>
                      <c:pt idx="28">
                        <c:v>1.0511785</c:v>
                      </c:pt>
                      <c:pt idx="29">
                        <c:v>1.0496559999999999</c:v>
                      </c:pt>
                      <c:pt idx="30">
                        <c:v>1.0482997000000001</c:v>
                      </c:pt>
                      <c:pt idx="31">
                        <c:v>1.0469850000000001</c:v>
                      </c:pt>
                      <c:pt idx="32">
                        <c:v>1.0456889</c:v>
                      </c:pt>
                      <c:pt idx="33">
                        <c:v>1.0444092</c:v>
                      </c:pt>
                      <c:pt idx="34">
                        <c:v>1.0430218</c:v>
                      </c:pt>
                      <c:pt idx="35">
                        <c:v>1.0417063</c:v>
                      </c:pt>
                      <c:pt idx="36">
                        <c:v>1.0403998000000001</c:v>
                      </c:pt>
                      <c:pt idx="37">
                        <c:v>1.0390769</c:v>
                      </c:pt>
                      <c:pt idx="38">
                        <c:v>1.0376898999999999</c:v>
                      </c:pt>
                      <c:pt idx="39">
                        <c:v>1.0363275999999999</c:v>
                      </c:pt>
                      <c:pt idx="40">
                        <c:v>1.0349857</c:v>
                      </c:pt>
                      <c:pt idx="41">
                        <c:v>1.0349984000000001</c:v>
                      </c:pt>
                      <c:pt idx="42">
                        <c:v>1.0335671</c:v>
                      </c:pt>
                      <c:pt idx="43">
                        <c:v>1.0322096000000001</c:v>
                      </c:pt>
                      <c:pt idx="44">
                        <c:v>1.0308622000000001</c:v>
                      </c:pt>
                      <c:pt idx="45">
                        <c:v>1.0295224000000001</c:v>
                      </c:pt>
                      <c:pt idx="46">
                        <c:v>1.0281992</c:v>
                      </c:pt>
                      <c:pt idx="47">
                        <c:v>1.0268930000000001</c:v>
                      </c:pt>
                      <c:pt idx="48">
                        <c:v>1.025596</c:v>
                      </c:pt>
                      <c:pt idx="49">
                        <c:v>1.0242579999999999</c:v>
                      </c:pt>
                      <c:pt idx="50">
                        <c:v>1.0229659</c:v>
                      </c:pt>
                      <c:pt idx="51">
                        <c:v>1.021606</c:v>
                      </c:pt>
                      <c:pt idx="52">
                        <c:v>1.0203161000000001</c:v>
                      </c:pt>
                      <c:pt idx="53">
                        <c:v>1.0187861</c:v>
                      </c:pt>
                      <c:pt idx="54">
                        <c:v>1.0175004000000001</c:v>
                      </c:pt>
                      <c:pt idx="55">
                        <c:v>1.0162504000000001</c:v>
                      </c:pt>
                      <c:pt idx="56">
                        <c:v>1.0149195</c:v>
                      </c:pt>
                      <c:pt idx="57">
                        <c:v>1.0136514999999999</c:v>
                      </c:pt>
                      <c:pt idx="58">
                        <c:v>1.0123732999999999</c:v>
                      </c:pt>
                      <c:pt idx="59">
                        <c:v>1.0111155999999999</c:v>
                      </c:pt>
                      <c:pt idx="60">
                        <c:v>1.0100180999999999</c:v>
                      </c:pt>
                      <c:pt idx="61">
                        <c:v>1.0085715</c:v>
                      </c:pt>
                      <c:pt idx="62">
                        <c:v>1.0073312999999999</c:v>
                      </c:pt>
                      <c:pt idx="63">
                        <c:v>1.0060750999999999</c:v>
                      </c:pt>
                      <c:pt idx="64">
                        <c:v>1.0048391999999999</c:v>
                      </c:pt>
                      <c:pt idx="65" formatCode="General">
                        <c:v>1.0048296000000001</c:v>
                      </c:pt>
                      <c:pt idx="66" formatCode="General">
                        <c:v>1.0036516</c:v>
                      </c:pt>
                      <c:pt idx="67" formatCode="General">
                        <c:v>1.0023576999999999</c:v>
                      </c:pt>
                      <c:pt idx="68" formatCode="General">
                        <c:v>1.0011304999999999</c:v>
                      </c:pt>
                      <c:pt idx="69" formatCode="General">
                        <c:v>0.99989660000000002</c:v>
                      </c:pt>
                      <c:pt idx="70" formatCode="General">
                        <c:v>0.9986855</c:v>
                      </c:pt>
                      <c:pt idx="71" formatCode="General">
                        <c:v>0.99754980000000004</c:v>
                      </c:pt>
                      <c:pt idx="72" formatCode="General">
                        <c:v>0.99636290000000005</c:v>
                      </c:pt>
                      <c:pt idx="73" formatCode="General">
                        <c:v>0.99514539999999996</c:v>
                      </c:pt>
                      <c:pt idx="74" formatCode="General">
                        <c:v>0.99382029999999999</c:v>
                      </c:pt>
                      <c:pt idx="75" formatCode="General">
                        <c:v>0.99267850000000002</c:v>
                      </c:pt>
                      <c:pt idx="76" formatCode="General">
                        <c:v>0.99147870000000005</c:v>
                      </c:pt>
                      <c:pt idx="77" formatCode="General">
                        <c:v>0.99021199999999998</c:v>
                      </c:pt>
                      <c:pt idx="78" formatCode="General">
                        <c:v>0.9888287</c:v>
                      </c:pt>
                      <c:pt idx="79" formatCode="General">
                        <c:v>0.98782099999999995</c:v>
                      </c:pt>
                      <c:pt idx="80" formatCode="General">
                        <c:v>0.9865429</c:v>
                      </c:pt>
                      <c:pt idx="81" formatCode="General">
                        <c:v>0.98526800000000003</c:v>
                      </c:pt>
                      <c:pt idx="82" formatCode="General">
                        <c:v>0.98425530000000006</c:v>
                      </c:pt>
                      <c:pt idx="83" formatCode="General">
                        <c:v>0.98300869999999996</c:v>
                      </c:pt>
                      <c:pt idx="84" formatCode="General">
                        <c:v>0.98174410000000001</c:v>
                      </c:pt>
                      <c:pt idx="85" formatCode="General">
                        <c:v>0.98070000000000002</c:v>
                      </c:pt>
                      <c:pt idx="86" formatCode="General">
                        <c:v>0.97938570000000003</c:v>
                      </c:pt>
                      <c:pt idx="87" formatCode="General">
                        <c:v>0.97827889999999995</c:v>
                      </c:pt>
                      <c:pt idx="88" formatCode="General">
                        <c:v>0.97708790000000001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Hasil!$P$5</c15:sqref>
                        </c15:formulaRef>
                      </c:ext>
                    </c:extLst>
                    <c:strCache>
                      <c:ptCount val="1"/>
                      <c:pt idx="0">
                        <c:v>MOX 16%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Hasil!$G$6:$G$94</c15:sqref>
                        </c15:formulaRef>
                      </c:ext>
                    </c:extLst>
                    <c:numCache>
                      <c:formatCode>General</c:formatCode>
                      <c:ptCount val="89"/>
                      <c:pt idx="0">
                        <c:v>0</c:v>
                      </c:pt>
                      <c:pt idx="1">
                        <c:v>2.7378507871321013E-3</c:v>
                      </c:pt>
                      <c:pt idx="2">
                        <c:v>1.3689253935660506E-2</c:v>
                      </c:pt>
                      <c:pt idx="3">
                        <c:v>2.7378507871321012E-2</c:v>
                      </c:pt>
                      <c:pt idx="4">
                        <c:v>5.4757015742642023E-2</c:v>
                      </c:pt>
                      <c:pt idx="5">
                        <c:v>8.2135523613963035E-2</c:v>
                      </c:pt>
                      <c:pt idx="6">
                        <c:v>0.16427104722792607</c:v>
                      </c:pt>
                      <c:pt idx="7">
                        <c:v>0.24640657084188911</c:v>
                      </c:pt>
                      <c:pt idx="8">
                        <c:v>0.32854209445585214</c:v>
                      </c:pt>
                      <c:pt idx="9">
                        <c:v>0.41067761806981518</c:v>
                      </c:pt>
                      <c:pt idx="10">
                        <c:v>0.49281314168377821</c:v>
                      </c:pt>
                      <c:pt idx="11">
                        <c:v>0.57494866529774125</c:v>
                      </c:pt>
                      <c:pt idx="12">
                        <c:v>0.65708418891170428</c:v>
                      </c:pt>
                      <c:pt idx="13">
                        <c:v>0.73921971252566732</c:v>
                      </c:pt>
                      <c:pt idx="14">
                        <c:v>0.82135523613963035</c:v>
                      </c:pt>
                      <c:pt idx="15">
                        <c:v>0.90349075975359339</c:v>
                      </c:pt>
                      <c:pt idx="16">
                        <c:v>1</c:v>
                      </c:pt>
                      <c:pt idx="17">
                        <c:v>1.0821355236139631</c:v>
                      </c:pt>
                      <c:pt idx="18">
                        <c:v>1.1642710472279261</c:v>
                      </c:pt>
                      <c:pt idx="19">
                        <c:v>1.2464065708418892</c:v>
                      </c:pt>
                      <c:pt idx="20">
                        <c:v>1.3285420944558521</c:v>
                      </c:pt>
                      <c:pt idx="21">
                        <c:v>1.4106776180698153</c:v>
                      </c:pt>
                      <c:pt idx="22">
                        <c:v>1.4928131416837782</c:v>
                      </c:pt>
                      <c:pt idx="23">
                        <c:v>1.5749486652977414</c:v>
                      </c:pt>
                      <c:pt idx="24">
                        <c:v>1.6570841889117043</c:v>
                      </c:pt>
                      <c:pt idx="25">
                        <c:v>1.7392197125256674</c:v>
                      </c:pt>
                      <c:pt idx="26">
                        <c:v>1.8213552361396304</c:v>
                      </c:pt>
                      <c:pt idx="27">
                        <c:v>1.9034907597535935</c:v>
                      </c:pt>
                      <c:pt idx="28">
                        <c:v>2</c:v>
                      </c:pt>
                      <c:pt idx="29">
                        <c:v>2.0821355236139629</c:v>
                      </c:pt>
                      <c:pt idx="30">
                        <c:v>2.1642710472279263</c:v>
                      </c:pt>
                      <c:pt idx="31">
                        <c:v>2.2464065708418892</c:v>
                      </c:pt>
                      <c:pt idx="32">
                        <c:v>2.3285420944558521</c:v>
                      </c:pt>
                      <c:pt idx="33">
                        <c:v>2.4106776180698151</c:v>
                      </c:pt>
                      <c:pt idx="34">
                        <c:v>2.4928131416837784</c:v>
                      </c:pt>
                      <c:pt idx="35">
                        <c:v>2.5749486652977414</c:v>
                      </c:pt>
                      <c:pt idx="36">
                        <c:v>2.6570841889117043</c:v>
                      </c:pt>
                      <c:pt idx="37">
                        <c:v>2.7392197125256672</c:v>
                      </c:pt>
                      <c:pt idx="38">
                        <c:v>2.8213552361396306</c:v>
                      </c:pt>
                      <c:pt idx="39">
                        <c:v>2.9034907597535935</c:v>
                      </c:pt>
                      <c:pt idx="40">
                        <c:v>3</c:v>
                      </c:pt>
                      <c:pt idx="41">
                        <c:v>3.0821355236139629</c:v>
                      </c:pt>
                      <c:pt idx="42">
                        <c:v>3.1642710472279263</c:v>
                      </c:pt>
                      <c:pt idx="43">
                        <c:v>3.2464065708418892</c:v>
                      </c:pt>
                      <c:pt idx="44">
                        <c:v>3.3285420944558521</c:v>
                      </c:pt>
                      <c:pt idx="45">
                        <c:v>3.4106776180698151</c:v>
                      </c:pt>
                      <c:pt idx="46">
                        <c:v>3.4928131416837784</c:v>
                      </c:pt>
                      <c:pt idx="47">
                        <c:v>3.5749486652977414</c:v>
                      </c:pt>
                      <c:pt idx="48">
                        <c:v>3.6570841889117043</c:v>
                      </c:pt>
                      <c:pt idx="49">
                        <c:v>3.7392197125256672</c:v>
                      </c:pt>
                      <c:pt idx="50">
                        <c:v>3.8213552361396306</c:v>
                      </c:pt>
                      <c:pt idx="51">
                        <c:v>3.9034907597535935</c:v>
                      </c:pt>
                      <c:pt idx="52">
                        <c:v>4</c:v>
                      </c:pt>
                      <c:pt idx="53">
                        <c:v>4.0821355236139629</c:v>
                      </c:pt>
                      <c:pt idx="54">
                        <c:v>4.1642710472279258</c:v>
                      </c:pt>
                      <c:pt idx="55">
                        <c:v>4.2464065708418888</c:v>
                      </c:pt>
                      <c:pt idx="56">
                        <c:v>4.3285420944558526</c:v>
                      </c:pt>
                      <c:pt idx="57">
                        <c:v>4.4106776180698155</c:v>
                      </c:pt>
                      <c:pt idx="58">
                        <c:v>4.4928131416837784</c:v>
                      </c:pt>
                      <c:pt idx="59">
                        <c:v>4.5749486652977414</c:v>
                      </c:pt>
                      <c:pt idx="60">
                        <c:v>4.6570841889117043</c:v>
                      </c:pt>
                      <c:pt idx="61">
                        <c:v>4.7392197125256672</c:v>
                      </c:pt>
                      <c:pt idx="62">
                        <c:v>4.8213552361396301</c:v>
                      </c:pt>
                      <c:pt idx="63">
                        <c:v>4.9034907597535931</c:v>
                      </c:pt>
                      <c:pt idx="64">
                        <c:v>5</c:v>
                      </c:pt>
                      <c:pt idx="65">
                        <c:v>5.0821355236139629</c:v>
                      </c:pt>
                      <c:pt idx="66">
                        <c:v>5.1642710472279258</c:v>
                      </c:pt>
                      <c:pt idx="67">
                        <c:v>5.2464065708418888</c:v>
                      </c:pt>
                      <c:pt idx="68">
                        <c:v>5.3285420944558526</c:v>
                      </c:pt>
                      <c:pt idx="69">
                        <c:v>5.4106776180698155</c:v>
                      </c:pt>
                      <c:pt idx="70">
                        <c:v>5.4928131416837784</c:v>
                      </c:pt>
                      <c:pt idx="71">
                        <c:v>5.5749486652977414</c:v>
                      </c:pt>
                      <c:pt idx="72">
                        <c:v>5.6570841889117043</c:v>
                      </c:pt>
                      <c:pt idx="73">
                        <c:v>5.7392197125256672</c:v>
                      </c:pt>
                      <c:pt idx="74">
                        <c:v>5.8213552361396301</c:v>
                      </c:pt>
                      <c:pt idx="75">
                        <c:v>5.9034907597535931</c:v>
                      </c:pt>
                      <c:pt idx="76">
                        <c:v>6</c:v>
                      </c:pt>
                      <c:pt idx="77">
                        <c:v>6.0821355236139629</c:v>
                      </c:pt>
                      <c:pt idx="78">
                        <c:v>6.1642710472279258</c:v>
                      </c:pt>
                      <c:pt idx="79">
                        <c:v>6.2464065708418888</c:v>
                      </c:pt>
                      <c:pt idx="80">
                        <c:v>6.3285420944558526</c:v>
                      </c:pt>
                      <c:pt idx="81">
                        <c:v>6.4106776180698155</c:v>
                      </c:pt>
                      <c:pt idx="82">
                        <c:v>6.4928131416837784</c:v>
                      </c:pt>
                      <c:pt idx="83">
                        <c:v>6.5749486652977414</c:v>
                      </c:pt>
                      <c:pt idx="84">
                        <c:v>6.6570841889117043</c:v>
                      </c:pt>
                      <c:pt idx="85">
                        <c:v>6.7392197125256672</c:v>
                      </c:pt>
                      <c:pt idx="86">
                        <c:v>6.8213552361396301</c:v>
                      </c:pt>
                      <c:pt idx="87">
                        <c:v>6.9034907597535931</c:v>
                      </c:pt>
                      <c:pt idx="88">
                        <c:v>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Hasil!$P$6:$P$94</c15:sqref>
                        </c15:formulaRef>
                      </c:ext>
                    </c:extLst>
                    <c:numCache>
                      <c:formatCode>0.0000000</c:formatCode>
                      <c:ptCount val="89"/>
                      <c:pt idx="0">
                        <c:v>1.1155086000000001</c:v>
                      </c:pt>
                      <c:pt idx="1">
                        <c:v>1.1090682000000001</c:v>
                      </c:pt>
                      <c:pt idx="2">
                        <c:v>1.1089766999999999</c:v>
                      </c:pt>
                      <c:pt idx="3">
                        <c:v>1.1082978999999999</c:v>
                      </c:pt>
                      <c:pt idx="4">
                        <c:v>1.1074533</c:v>
                      </c:pt>
                      <c:pt idx="5">
                        <c:v>1.1057538</c:v>
                      </c:pt>
                      <c:pt idx="6">
                        <c:v>1.1042475</c:v>
                      </c:pt>
                      <c:pt idx="7">
                        <c:v>1.100382</c:v>
                      </c:pt>
                      <c:pt idx="8">
                        <c:v>1.0972010000000001</c:v>
                      </c:pt>
                      <c:pt idx="9">
                        <c:v>1.0944826999999999</c:v>
                      </c:pt>
                      <c:pt idx="10">
                        <c:v>1.0921136</c:v>
                      </c:pt>
                      <c:pt idx="11">
                        <c:v>1.0899892</c:v>
                      </c:pt>
                      <c:pt idx="12">
                        <c:v>1.0881130999999999</c:v>
                      </c:pt>
                      <c:pt idx="13">
                        <c:v>1.0863780000000001</c:v>
                      </c:pt>
                      <c:pt idx="14">
                        <c:v>1.0848199999999999</c:v>
                      </c:pt>
                      <c:pt idx="15">
                        <c:v>1.0833983</c:v>
                      </c:pt>
                      <c:pt idx="16">
                        <c:v>1.0820626</c:v>
                      </c:pt>
                      <c:pt idx="17">
                        <c:v>1.0820695</c:v>
                      </c:pt>
                      <c:pt idx="18">
                        <c:v>1.0808755000000001</c:v>
                      </c:pt>
                      <c:pt idx="19">
                        <c:v>1.0797048</c:v>
                      </c:pt>
                      <c:pt idx="20">
                        <c:v>1.0786344000000001</c:v>
                      </c:pt>
                      <c:pt idx="21">
                        <c:v>1.0775132000000001</c:v>
                      </c:pt>
                      <c:pt idx="22">
                        <c:v>1.0764294000000001</c:v>
                      </c:pt>
                      <c:pt idx="23">
                        <c:v>1.0752961999999999</c:v>
                      </c:pt>
                      <c:pt idx="24">
                        <c:v>1.0741459</c:v>
                      </c:pt>
                      <c:pt idx="25">
                        <c:v>1.0728742</c:v>
                      </c:pt>
                      <c:pt idx="26">
                        <c:v>1.0714855999999999</c:v>
                      </c:pt>
                      <c:pt idx="27">
                        <c:v>1.0701759</c:v>
                      </c:pt>
                      <c:pt idx="28">
                        <c:v>1.0689143000000001</c:v>
                      </c:pt>
                      <c:pt idx="29">
                        <c:v>1.0673600000000001</c:v>
                      </c:pt>
                      <c:pt idx="30">
                        <c:v>1.0659468999999999</c:v>
                      </c:pt>
                      <c:pt idx="31">
                        <c:v>1.0645735999999999</c:v>
                      </c:pt>
                      <c:pt idx="32">
                        <c:v>1.0632432999999999</c:v>
                      </c:pt>
                      <c:pt idx="33">
                        <c:v>1.061896</c:v>
                      </c:pt>
                      <c:pt idx="34">
                        <c:v>1.0604963000000001</c:v>
                      </c:pt>
                      <c:pt idx="35">
                        <c:v>1.0591012</c:v>
                      </c:pt>
                      <c:pt idx="36">
                        <c:v>1.0577650999999999</c:v>
                      </c:pt>
                      <c:pt idx="37">
                        <c:v>1.0564127000000001</c:v>
                      </c:pt>
                      <c:pt idx="38">
                        <c:v>1.0550447000000001</c:v>
                      </c:pt>
                      <c:pt idx="39">
                        <c:v>1.0536156999999999</c:v>
                      </c:pt>
                      <c:pt idx="40">
                        <c:v>1.0522465999999999</c:v>
                      </c:pt>
                      <c:pt idx="41">
                        <c:v>1.0522549999999999</c:v>
                      </c:pt>
                      <c:pt idx="42">
                        <c:v>1.0508454</c:v>
                      </c:pt>
                      <c:pt idx="43">
                        <c:v>1.0494357000000001</c:v>
                      </c:pt>
                      <c:pt idx="44">
                        <c:v>1.0480809</c:v>
                      </c:pt>
                      <c:pt idx="45">
                        <c:v>1.0467111</c:v>
                      </c:pt>
                      <c:pt idx="46">
                        <c:v>1.0453893999999999</c:v>
                      </c:pt>
                      <c:pt idx="47">
                        <c:v>1.0440218000000001</c:v>
                      </c:pt>
                      <c:pt idx="48">
                        <c:v>1.0427150999999999</c:v>
                      </c:pt>
                      <c:pt idx="49">
                        <c:v>1.041361</c:v>
                      </c:pt>
                      <c:pt idx="50">
                        <c:v>1.0400388</c:v>
                      </c:pt>
                      <c:pt idx="51">
                        <c:v>1.0387084</c:v>
                      </c:pt>
                      <c:pt idx="52">
                        <c:v>1.0374055</c:v>
                      </c:pt>
                      <c:pt idx="53">
                        <c:v>1.0358315</c:v>
                      </c:pt>
                      <c:pt idx="54">
                        <c:v>1.0344882</c:v>
                      </c:pt>
                      <c:pt idx="55">
                        <c:v>1.0331792</c:v>
                      </c:pt>
                      <c:pt idx="56">
                        <c:v>1.0318769000000001</c:v>
                      </c:pt>
                      <c:pt idx="57">
                        <c:v>1.0305835999999999</c:v>
                      </c:pt>
                      <c:pt idx="58">
                        <c:v>1.0292878999999999</c:v>
                      </c:pt>
                      <c:pt idx="59">
                        <c:v>1.0280514000000001</c:v>
                      </c:pt>
                      <c:pt idx="60">
                        <c:v>1.0267630999999999</c:v>
                      </c:pt>
                      <c:pt idx="61">
                        <c:v>1.0254433000000001</c:v>
                      </c:pt>
                      <c:pt idx="62">
                        <c:v>1.0242990000000001</c:v>
                      </c:pt>
                      <c:pt idx="63">
                        <c:v>1.0229059</c:v>
                      </c:pt>
                      <c:pt idx="64">
                        <c:v>1.0216460000000001</c:v>
                      </c:pt>
                      <c:pt idx="65" formatCode="General">
                        <c:v>1.0216483999999999</c:v>
                      </c:pt>
                      <c:pt idx="66" formatCode="General">
                        <c:v>1.0205531000000001</c:v>
                      </c:pt>
                      <c:pt idx="67" formatCode="General">
                        <c:v>1.0191261</c:v>
                      </c:pt>
                      <c:pt idx="68" formatCode="General">
                        <c:v>1.0178685000000001</c:v>
                      </c:pt>
                      <c:pt idx="69" formatCode="General">
                        <c:v>1.0166214</c:v>
                      </c:pt>
                      <c:pt idx="70" formatCode="General">
                        <c:v>1.0155425</c:v>
                      </c:pt>
                      <c:pt idx="71" formatCode="General">
                        <c:v>1.0142629999999999</c:v>
                      </c:pt>
                      <c:pt idx="72" formatCode="General">
                        <c:v>1.0128998</c:v>
                      </c:pt>
                      <c:pt idx="73" formatCode="General">
                        <c:v>1.0117301999999999</c:v>
                      </c:pt>
                      <c:pt idx="74" formatCode="General">
                        <c:v>1.0105073</c:v>
                      </c:pt>
                      <c:pt idx="75" formatCode="General">
                        <c:v>1.0094031999999999</c:v>
                      </c:pt>
                      <c:pt idx="76" formatCode="General">
                        <c:v>1.0081005999999999</c:v>
                      </c:pt>
                      <c:pt idx="77" formatCode="General">
                        <c:v>1.0068272</c:v>
                      </c:pt>
                      <c:pt idx="78" formatCode="General">
                        <c:v>1.0055662000000001</c:v>
                      </c:pt>
                      <c:pt idx="79" formatCode="General">
                        <c:v>1.0042492999999999</c:v>
                      </c:pt>
                      <c:pt idx="80" formatCode="General">
                        <c:v>1.0031812</c:v>
                      </c:pt>
                      <c:pt idx="81" formatCode="General">
                        <c:v>1.0019773999999999</c:v>
                      </c:pt>
                      <c:pt idx="82" formatCode="General">
                        <c:v>1.0007949</c:v>
                      </c:pt>
                      <c:pt idx="83" formatCode="General">
                        <c:v>0.99959690000000001</c:v>
                      </c:pt>
                      <c:pt idx="84" formatCode="General">
                        <c:v>0.99836670000000005</c:v>
                      </c:pt>
                      <c:pt idx="85" formatCode="General">
                        <c:v>0.99720869999999995</c:v>
                      </c:pt>
                      <c:pt idx="86" formatCode="General">
                        <c:v>0.99609669999999995</c:v>
                      </c:pt>
                      <c:pt idx="87" formatCode="General">
                        <c:v>0.99491490000000005</c:v>
                      </c:pt>
                      <c:pt idx="88" formatCode="General">
                        <c:v>0.99373630000000002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Hasil!$Q$5</c15:sqref>
                        </c15:formulaRef>
                      </c:ext>
                    </c:extLst>
                    <c:strCache>
                      <c:ptCount val="1"/>
                      <c:pt idx="0">
                        <c:v>MOX 18%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Hasil!$G$6:$G$94</c15:sqref>
                        </c15:formulaRef>
                      </c:ext>
                    </c:extLst>
                    <c:numCache>
                      <c:formatCode>General</c:formatCode>
                      <c:ptCount val="89"/>
                      <c:pt idx="0">
                        <c:v>0</c:v>
                      </c:pt>
                      <c:pt idx="1">
                        <c:v>2.7378507871321013E-3</c:v>
                      </c:pt>
                      <c:pt idx="2">
                        <c:v>1.3689253935660506E-2</c:v>
                      </c:pt>
                      <c:pt idx="3">
                        <c:v>2.7378507871321012E-2</c:v>
                      </c:pt>
                      <c:pt idx="4">
                        <c:v>5.4757015742642023E-2</c:v>
                      </c:pt>
                      <c:pt idx="5">
                        <c:v>8.2135523613963035E-2</c:v>
                      </c:pt>
                      <c:pt idx="6">
                        <c:v>0.16427104722792607</c:v>
                      </c:pt>
                      <c:pt idx="7">
                        <c:v>0.24640657084188911</c:v>
                      </c:pt>
                      <c:pt idx="8">
                        <c:v>0.32854209445585214</c:v>
                      </c:pt>
                      <c:pt idx="9">
                        <c:v>0.41067761806981518</c:v>
                      </c:pt>
                      <c:pt idx="10">
                        <c:v>0.49281314168377821</c:v>
                      </c:pt>
                      <c:pt idx="11">
                        <c:v>0.57494866529774125</c:v>
                      </c:pt>
                      <c:pt idx="12">
                        <c:v>0.65708418891170428</c:v>
                      </c:pt>
                      <c:pt idx="13">
                        <c:v>0.73921971252566732</c:v>
                      </c:pt>
                      <c:pt idx="14">
                        <c:v>0.82135523613963035</c:v>
                      </c:pt>
                      <c:pt idx="15">
                        <c:v>0.90349075975359339</c:v>
                      </c:pt>
                      <c:pt idx="16">
                        <c:v>1</c:v>
                      </c:pt>
                      <c:pt idx="17">
                        <c:v>1.0821355236139631</c:v>
                      </c:pt>
                      <c:pt idx="18">
                        <c:v>1.1642710472279261</c:v>
                      </c:pt>
                      <c:pt idx="19">
                        <c:v>1.2464065708418892</c:v>
                      </c:pt>
                      <c:pt idx="20">
                        <c:v>1.3285420944558521</c:v>
                      </c:pt>
                      <c:pt idx="21">
                        <c:v>1.4106776180698153</c:v>
                      </c:pt>
                      <c:pt idx="22">
                        <c:v>1.4928131416837782</c:v>
                      </c:pt>
                      <c:pt idx="23">
                        <c:v>1.5749486652977414</c:v>
                      </c:pt>
                      <c:pt idx="24">
                        <c:v>1.6570841889117043</c:v>
                      </c:pt>
                      <c:pt idx="25">
                        <c:v>1.7392197125256674</c:v>
                      </c:pt>
                      <c:pt idx="26">
                        <c:v>1.8213552361396304</c:v>
                      </c:pt>
                      <c:pt idx="27">
                        <c:v>1.9034907597535935</c:v>
                      </c:pt>
                      <c:pt idx="28">
                        <c:v>2</c:v>
                      </c:pt>
                      <c:pt idx="29">
                        <c:v>2.0821355236139629</c:v>
                      </c:pt>
                      <c:pt idx="30">
                        <c:v>2.1642710472279263</c:v>
                      </c:pt>
                      <c:pt idx="31">
                        <c:v>2.2464065708418892</c:v>
                      </c:pt>
                      <c:pt idx="32">
                        <c:v>2.3285420944558521</c:v>
                      </c:pt>
                      <c:pt idx="33">
                        <c:v>2.4106776180698151</c:v>
                      </c:pt>
                      <c:pt idx="34">
                        <c:v>2.4928131416837784</c:v>
                      </c:pt>
                      <c:pt idx="35">
                        <c:v>2.5749486652977414</c:v>
                      </c:pt>
                      <c:pt idx="36">
                        <c:v>2.6570841889117043</c:v>
                      </c:pt>
                      <c:pt idx="37">
                        <c:v>2.7392197125256672</c:v>
                      </c:pt>
                      <c:pt idx="38">
                        <c:v>2.8213552361396306</c:v>
                      </c:pt>
                      <c:pt idx="39">
                        <c:v>2.9034907597535935</c:v>
                      </c:pt>
                      <c:pt idx="40">
                        <c:v>3</c:v>
                      </c:pt>
                      <c:pt idx="41">
                        <c:v>3.0821355236139629</c:v>
                      </c:pt>
                      <c:pt idx="42">
                        <c:v>3.1642710472279263</c:v>
                      </c:pt>
                      <c:pt idx="43">
                        <c:v>3.2464065708418892</c:v>
                      </c:pt>
                      <c:pt idx="44">
                        <c:v>3.3285420944558521</c:v>
                      </c:pt>
                      <c:pt idx="45">
                        <c:v>3.4106776180698151</c:v>
                      </c:pt>
                      <c:pt idx="46">
                        <c:v>3.4928131416837784</c:v>
                      </c:pt>
                      <c:pt idx="47">
                        <c:v>3.5749486652977414</c:v>
                      </c:pt>
                      <c:pt idx="48">
                        <c:v>3.6570841889117043</c:v>
                      </c:pt>
                      <c:pt idx="49">
                        <c:v>3.7392197125256672</c:v>
                      </c:pt>
                      <c:pt idx="50">
                        <c:v>3.8213552361396306</c:v>
                      </c:pt>
                      <c:pt idx="51">
                        <c:v>3.9034907597535935</c:v>
                      </c:pt>
                      <c:pt idx="52">
                        <c:v>4</c:v>
                      </c:pt>
                      <c:pt idx="53">
                        <c:v>4.0821355236139629</c:v>
                      </c:pt>
                      <c:pt idx="54">
                        <c:v>4.1642710472279258</c:v>
                      </c:pt>
                      <c:pt idx="55">
                        <c:v>4.2464065708418888</c:v>
                      </c:pt>
                      <c:pt idx="56">
                        <c:v>4.3285420944558526</c:v>
                      </c:pt>
                      <c:pt idx="57">
                        <c:v>4.4106776180698155</c:v>
                      </c:pt>
                      <c:pt idx="58">
                        <c:v>4.4928131416837784</c:v>
                      </c:pt>
                      <c:pt idx="59">
                        <c:v>4.5749486652977414</c:v>
                      </c:pt>
                      <c:pt idx="60">
                        <c:v>4.6570841889117043</c:v>
                      </c:pt>
                      <c:pt idx="61">
                        <c:v>4.7392197125256672</c:v>
                      </c:pt>
                      <c:pt idx="62">
                        <c:v>4.8213552361396301</c:v>
                      </c:pt>
                      <c:pt idx="63">
                        <c:v>4.9034907597535931</c:v>
                      </c:pt>
                      <c:pt idx="64">
                        <c:v>5</c:v>
                      </c:pt>
                      <c:pt idx="65">
                        <c:v>5.0821355236139629</c:v>
                      </c:pt>
                      <c:pt idx="66">
                        <c:v>5.1642710472279258</c:v>
                      </c:pt>
                      <c:pt idx="67">
                        <c:v>5.2464065708418888</c:v>
                      </c:pt>
                      <c:pt idx="68">
                        <c:v>5.3285420944558526</c:v>
                      </c:pt>
                      <c:pt idx="69">
                        <c:v>5.4106776180698155</c:v>
                      </c:pt>
                      <c:pt idx="70">
                        <c:v>5.4928131416837784</c:v>
                      </c:pt>
                      <c:pt idx="71">
                        <c:v>5.5749486652977414</c:v>
                      </c:pt>
                      <c:pt idx="72">
                        <c:v>5.6570841889117043</c:v>
                      </c:pt>
                      <c:pt idx="73">
                        <c:v>5.7392197125256672</c:v>
                      </c:pt>
                      <c:pt idx="74">
                        <c:v>5.8213552361396301</c:v>
                      </c:pt>
                      <c:pt idx="75">
                        <c:v>5.9034907597535931</c:v>
                      </c:pt>
                      <c:pt idx="76">
                        <c:v>6</c:v>
                      </c:pt>
                      <c:pt idx="77">
                        <c:v>6.0821355236139629</c:v>
                      </c:pt>
                      <c:pt idx="78">
                        <c:v>6.1642710472279258</c:v>
                      </c:pt>
                      <c:pt idx="79">
                        <c:v>6.2464065708418888</c:v>
                      </c:pt>
                      <c:pt idx="80">
                        <c:v>6.3285420944558526</c:v>
                      </c:pt>
                      <c:pt idx="81">
                        <c:v>6.4106776180698155</c:v>
                      </c:pt>
                      <c:pt idx="82">
                        <c:v>6.4928131416837784</c:v>
                      </c:pt>
                      <c:pt idx="83">
                        <c:v>6.5749486652977414</c:v>
                      </c:pt>
                      <c:pt idx="84">
                        <c:v>6.6570841889117043</c:v>
                      </c:pt>
                      <c:pt idx="85">
                        <c:v>6.7392197125256672</c:v>
                      </c:pt>
                      <c:pt idx="86">
                        <c:v>6.8213552361396301</c:v>
                      </c:pt>
                      <c:pt idx="87">
                        <c:v>6.9034907597535931</c:v>
                      </c:pt>
                      <c:pt idx="88">
                        <c:v>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Hasil!$Q$6:$Q$94</c15:sqref>
                        </c15:formulaRef>
                      </c:ext>
                    </c:extLst>
                    <c:numCache>
                      <c:formatCode>0.0000000</c:formatCode>
                      <c:ptCount val="89"/>
                      <c:pt idx="0">
                        <c:v>1.1352656999999999</c:v>
                      </c:pt>
                      <c:pt idx="1">
                        <c:v>1.1296911000000001</c:v>
                      </c:pt>
                      <c:pt idx="2">
                        <c:v>1.1295941</c:v>
                      </c:pt>
                      <c:pt idx="3">
                        <c:v>1.1289517</c:v>
                      </c:pt>
                      <c:pt idx="4">
                        <c:v>1.1281508</c:v>
                      </c:pt>
                      <c:pt idx="5">
                        <c:v>1.1265385999999999</c:v>
                      </c:pt>
                      <c:pt idx="6">
                        <c:v>1.1250880000000001</c:v>
                      </c:pt>
                      <c:pt idx="7">
                        <c:v>1.1212831000000001</c:v>
                      </c:pt>
                      <c:pt idx="8">
                        <c:v>1.1180546</c:v>
                      </c:pt>
                      <c:pt idx="9">
                        <c:v>1.1152257000000001</c:v>
                      </c:pt>
                      <c:pt idx="10">
                        <c:v>1.1126976</c:v>
                      </c:pt>
                      <c:pt idx="11">
                        <c:v>1.1103913999999999</c:v>
                      </c:pt>
                      <c:pt idx="12">
                        <c:v>1.1083057999999999</c:v>
                      </c:pt>
                      <c:pt idx="13">
                        <c:v>1.1063552000000001</c:v>
                      </c:pt>
                      <c:pt idx="14">
                        <c:v>1.1045621999999999</c:v>
                      </c:pt>
                      <c:pt idx="15">
                        <c:v>1.1028875</c:v>
                      </c:pt>
                      <c:pt idx="16">
                        <c:v>1.1013035</c:v>
                      </c:pt>
                      <c:pt idx="17">
                        <c:v>1.10131</c:v>
                      </c:pt>
                      <c:pt idx="18">
                        <c:v>1.0998627000000001</c:v>
                      </c:pt>
                      <c:pt idx="19">
                        <c:v>1.0984315</c:v>
                      </c:pt>
                      <c:pt idx="20">
                        <c:v>1.0971078000000001</c:v>
                      </c:pt>
                      <c:pt idx="21">
                        <c:v>1.0957842</c:v>
                      </c:pt>
                      <c:pt idx="22">
                        <c:v>1.0945115000000001</c:v>
                      </c:pt>
                      <c:pt idx="23">
                        <c:v>1.0932158999999999</c:v>
                      </c:pt>
                      <c:pt idx="24">
                        <c:v>1.0919591</c:v>
                      </c:pt>
                      <c:pt idx="25">
                        <c:v>1.0906016000000001</c:v>
                      </c:pt>
                      <c:pt idx="26">
                        <c:v>1.0891671999999999</c:v>
                      </c:pt>
                      <c:pt idx="27">
                        <c:v>1.0877992999999999</c:v>
                      </c:pt>
                      <c:pt idx="28">
                        <c:v>1.0864834999999999</c:v>
                      </c:pt>
                      <c:pt idx="29">
                        <c:v>1.0848838999999999</c:v>
                      </c:pt>
                      <c:pt idx="30">
                        <c:v>1.0834258000000001</c:v>
                      </c:pt>
                      <c:pt idx="31">
                        <c:v>1.0820099000000001</c:v>
                      </c:pt>
                      <c:pt idx="32">
                        <c:v>1.0806382000000001</c:v>
                      </c:pt>
                      <c:pt idx="33">
                        <c:v>1.0792189999999999</c:v>
                      </c:pt>
                      <c:pt idx="34">
                        <c:v>1.0777766</c:v>
                      </c:pt>
                      <c:pt idx="35">
                        <c:v>1.0763583999999999</c:v>
                      </c:pt>
                      <c:pt idx="36">
                        <c:v>1.0749712</c:v>
                      </c:pt>
                      <c:pt idx="37">
                        <c:v>1.0735766</c:v>
                      </c:pt>
                      <c:pt idx="38">
                        <c:v>1.0721349</c:v>
                      </c:pt>
                      <c:pt idx="39">
                        <c:v>1.0707287999999999</c:v>
                      </c:pt>
                      <c:pt idx="40">
                        <c:v>1.0692953999999999</c:v>
                      </c:pt>
                      <c:pt idx="41">
                        <c:v>1.0693041000000001</c:v>
                      </c:pt>
                      <c:pt idx="42">
                        <c:v>1.0678791000000001</c:v>
                      </c:pt>
                      <c:pt idx="43">
                        <c:v>1.0665017000000001</c:v>
                      </c:pt>
                      <c:pt idx="44">
                        <c:v>1.0650805000000001</c:v>
                      </c:pt>
                      <c:pt idx="45">
                        <c:v>1.0637155</c:v>
                      </c:pt>
                      <c:pt idx="46">
                        <c:v>1.0623267000000001</c:v>
                      </c:pt>
                      <c:pt idx="47">
                        <c:v>1.0609751999999999</c:v>
                      </c:pt>
                      <c:pt idx="48">
                        <c:v>1.0596018</c:v>
                      </c:pt>
                      <c:pt idx="49">
                        <c:v>1.058238</c:v>
                      </c:pt>
                      <c:pt idx="50">
                        <c:v>1.0568907000000001</c:v>
                      </c:pt>
                      <c:pt idx="51">
                        <c:v>1.0555407000000001</c:v>
                      </c:pt>
                      <c:pt idx="52">
                        <c:v>1.054189</c:v>
                      </c:pt>
                      <c:pt idx="53">
                        <c:v>1.0526165999999999</c:v>
                      </c:pt>
                      <c:pt idx="54">
                        <c:v>1.0512817000000001</c:v>
                      </c:pt>
                      <c:pt idx="55">
                        <c:v>1.0499366999999999</c:v>
                      </c:pt>
                      <c:pt idx="56">
                        <c:v>1.0486211000000001</c:v>
                      </c:pt>
                      <c:pt idx="57">
                        <c:v>1.0472682</c:v>
                      </c:pt>
                      <c:pt idx="58">
                        <c:v>1.0460153000000001</c:v>
                      </c:pt>
                      <c:pt idx="59">
                        <c:v>1.0446983999999999</c:v>
                      </c:pt>
                      <c:pt idx="60">
                        <c:v>1.0433673000000001</c:v>
                      </c:pt>
                      <c:pt idx="61">
                        <c:v>1.0421910999999999</c:v>
                      </c:pt>
                      <c:pt idx="62">
                        <c:v>1.0407428000000001</c:v>
                      </c:pt>
                      <c:pt idx="63">
                        <c:v>1.0394933</c:v>
                      </c:pt>
                      <c:pt idx="64">
                        <c:v>1.0382043999999999</c:v>
                      </c:pt>
                      <c:pt idx="65" formatCode="General">
                        <c:v>1.0381986000000001</c:v>
                      </c:pt>
                      <c:pt idx="66" formatCode="General">
                        <c:v>1.0369710999999999</c:v>
                      </c:pt>
                      <c:pt idx="67" formatCode="General">
                        <c:v>1.0356452</c:v>
                      </c:pt>
                      <c:pt idx="68" formatCode="General">
                        <c:v>1.0345314999999999</c:v>
                      </c:pt>
                      <c:pt idx="69" formatCode="General">
                        <c:v>1.0330615000000001</c:v>
                      </c:pt>
                      <c:pt idx="70" formatCode="General">
                        <c:v>1.0318639999999999</c:v>
                      </c:pt>
                      <c:pt idx="71" formatCode="General">
                        <c:v>1.0306085</c:v>
                      </c:pt>
                      <c:pt idx="72" formatCode="General">
                        <c:v>1.0293707000000001</c:v>
                      </c:pt>
                      <c:pt idx="73" formatCode="General">
                        <c:v>1.0281441</c:v>
                      </c:pt>
                      <c:pt idx="74" formatCode="General">
                        <c:v>1.0269227000000001</c:v>
                      </c:pt>
                      <c:pt idx="75" formatCode="General">
                        <c:v>1.0257099999999999</c:v>
                      </c:pt>
                      <c:pt idx="76" formatCode="General">
                        <c:v>1.0244937000000001</c:v>
                      </c:pt>
                      <c:pt idx="77" formatCode="General">
                        <c:v>1.0230619000000001</c:v>
                      </c:pt>
                      <c:pt idx="78" formatCode="General">
                        <c:v>1.0218385000000001</c:v>
                      </c:pt>
                      <c:pt idx="79" formatCode="General">
                        <c:v>1.0206195</c:v>
                      </c:pt>
                      <c:pt idx="80" formatCode="General">
                        <c:v>1.0195297999999999</c:v>
                      </c:pt>
                      <c:pt idx="81" formatCode="General">
                        <c:v>1.0182340999999999</c:v>
                      </c:pt>
                      <c:pt idx="82" formatCode="General">
                        <c:v>1.0171167000000001</c:v>
                      </c:pt>
                      <c:pt idx="83" formatCode="General">
                        <c:v>1.0158906000000001</c:v>
                      </c:pt>
                      <c:pt idx="84" formatCode="General">
                        <c:v>1.0147233</c:v>
                      </c:pt>
                      <c:pt idx="85" formatCode="General">
                        <c:v>1.0134046000000001</c:v>
                      </c:pt>
                      <c:pt idx="86" formatCode="General">
                        <c:v>1.0123949999999999</c:v>
                      </c:pt>
                      <c:pt idx="87" formatCode="General">
                        <c:v>1.0111657000000001</c:v>
                      </c:pt>
                      <c:pt idx="88" formatCode="General">
                        <c:v>1.0099933999999999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Hasil!$R$5</c15:sqref>
                        </c15:formulaRef>
                      </c:ext>
                    </c:extLst>
                    <c:strCache>
                      <c:ptCount val="1"/>
                      <c:pt idx="0">
                        <c:v>MOX 20%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Hasil!$G$6:$G$94</c15:sqref>
                        </c15:formulaRef>
                      </c:ext>
                    </c:extLst>
                    <c:numCache>
                      <c:formatCode>General</c:formatCode>
                      <c:ptCount val="89"/>
                      <c:pt idx="0">
                        <c:v>0</c:v>
                      </c:pt>
                      <c:pt idx="1">
                        <c:v>2.7378507871321013E-3</c:v>
                      </c:pt>
                      <c:pt idx="2">
                        <c:v>1.3689253935660506E-2</c:v>
                      </c:pt>
                      <c:pt idx="3">
                        <c:v>2.7378507871321012E-2</c:v>
                      </c:pt>
                      <c:pt idx="4">
                        <c:v>5.4757015742642023E-2</c:v>
                      </c:pt>
                      <c:pt idx="5">
                        <c:v>8.2135523613963035E-2</c:v>
                      </c:pt>
                      <c:pt idx="6">
                        <c:v>0.16427104722792607</c:v>
                      </c:pt>
                      <c:pt idx="7">
                        <c:v>0.24640657084188911</c:v>
                      </c:pt>
                      <c:pt idx="8">
                        <c:v>0.32854209445585214</c:v>
                      </c:pt>
                      <c:pt idx="9">
                        <c:v>0.41067761806981518</c:v>
                      </c:pt>
                      <c:pt idx="10">
                        <c:v>0.49281314168377821</c:v>
                      </c:pt>
                      <c:pt idx="11">
                        <c:v>0.57494866529774125</c:v>
                      </c:pt>
                      <c:pt idx="12">
                        <c:v>0.65708418891170428</c:v>
                      </c:pt>
                      <c:pt idx="13">
                        <c:v>0.73921971252566732</c:v>
                      </c:pt>
                      <c:pt idx="14">
                        <c:v>0.82135523613963035</c:v>
                      </c:pt>
                      <c:pt idx="15">
                        <c:v>0.90349075975359339</c:v>
                      </c:pt>
                      <c:pt idx="16">
                        <c:v>1</c:v>
                      </c:pt>
                      <c:pt idx="17">
                        <c:v>1.0821355236139631</c:v>
                      </c:pt>
                      <c:pt idx="18">
                        <c:v>1.1642710472279261</c:v>
                      </c:pt>
                      <c:pt idx="19">
                        <c:v>1.2464065708418892</c:v>
                      </c:pt>
                      <c:pt idx="20">
                        <c:v>1.3285420944558521</c:v>
                      </c:pt>
                      <c:pt idx="21">
                        <c:v>1.4106776180698153</c:v>
                      </c:pt>
                      <c:pt idx="22">
                        <c:v>1.4928131416837782</c:v>
                      </c:pt>
                      <c:pt idx="23">
                        <c:v>1.5749486652977414</c:v>
                      </c:pt>
                      <c:pt idx="24">
                        <c:v>1.6570841889117043</c:v>
                      </c:pt>
                      <c:pt idx="25">
                        <c:v>1.7392197125256674</c:v>
                      </c:pt>
                      <c:pt idx="26">
                        <c:v>1.8213552361396304</c:v>
                      </c:pt>
                      <c:pt idx="27">
                        <c:v>1.9034907597535935</c:v>
                      </c:pt>
                      <c:pt idx="28">
                        <c:v>2</c:v>
                      </c:pt>
                      <c:pt idx="29">
                        <c:v>2.0821355236139629</c:v>
                      </c:pt>
                      <c:pt idx="30">
                        <c:v>2.1642710472279263</c:v>
                      </c:pt>
                      <c:pt idx="31">
                        <c:v>2.2464065708418892</c:v>
                      </c:pt>
                      <c:pt idx="32">
                        <c:v>2.3285420944558521</c:v>
                      </c:pt>
                      <c:pt idx="33">
                        <c:v>2.4106776180698151</c:v>
                      </c:pt>
                      <c:pt idx="34">
                        <c:v>2.4928131416837784</c:v>
                      </c:pt>
                      <c:pt idx="35">
                        <c:v>2.5749486652977414</c:v>
                      </c:pt>
                      <c:pt idx="36">
                        <c:v>2.6570841889117043</c:v>
                      </c:pt>
                      <c:pt idx="37">
                        <c:v>2.7392197125256672</c:v>
                      </c:pt>
                      <c:pt idx="38">
                        <c:v>2.8213552361396306</c:v>
                      </c:pt>
                      <c:pt idx="39">
                        <c:v>2.9034907597535935</c:v>
                      </c:pt>
                      <c:pt idx="40">
                        <c:v>3</c:v>
                      </c:pt>
                      <c:pt idx="41">
                        <c:v>3.0821355236139629</c:v>
                      </c:pt>
                      <c:pt idx="42">
                        <c:v>3.1642710472279263</c:v>
                      </c:pt>
                      <c:pt idx="43">
                        <c:v>3.2464065708418892</c:v>
                      </c:pt>
                      <c:pt idx="44">
                        <c:v>3.3285420944558521</c:v>
                      </c:pt>
                      <c:pt idx="45">
                        <c:v>3.4106776180698151</c:v>
                      </c:pt>
                      <c:pt idx="46">
                        <c:v>3.4928131416837784</c:v>
                      </c:pt>
                      <c:pt idx="47">
                        <c:v>3.5749486652977414</c:v>
                      </c:pt>
                      <c:pt idx="48">
                        <c:v>3.6570841889117043</c:v>
                      </c:pt>
                      <c:pt idx="49">
                        <c:v>3.7392197125256672</c:v>
                      </c:pt>
                      <c:pt idx="50">
                        <c:v>3.8213552361396306</c:v>
                      </c:pt>
                      <c:pt idx="51">
                        <c:v>3.9034907597535935</c:v>
                      </c:pt>
                      <c:pt idx="52">
                        <c:v>4</c:v>
                      </c:pt>
                      <c:pt idx="53">
                        <c:v>4.0821355236139629</c:v>
                      </c:pt>
                      <c:pt idx="54">
                        <c:v>4.1642710472279258</c:v>
                      </c:pt>
                      <c:pt idx="55">
                        <c:v>4.2464065708418888</c:v>
                      </c:pt>
                      <c:pt idx="56">
                        <c:v>4.3285420944558526</c:v>
                      </c:pt>
                      <c:pt idx="57">
                        <c:v>4.4106776180698155</c:v>
                      </c:pt>
                      <c:pt idx="58">
                        <c:v>4.4928131416837784</c:v>
                      </c:pt>
                      <c:pt idx="59">
                        <c:v>4.5749486652977414</c:v>
                      </c:pt>
                      <c:pt idx="60">
                        <c:v>4.6570841889117043</c:v>
                      </c:pt>
                      <c:pt idx="61">
                        <c:v>4.7392197125256672</c:v>
                      </c:pt>
                      <c:pt idx="62">
                        <c:v>4.8213552361396301</c:v>
                      </c:pt>
                      <c:pt idx="63">
                        <c:v>4.9034907597535931</c:v>
                      </c:pt>
                      <c:pt idx="64">
                        <c:v>5</c:v>
                      </c:pt>
                      <c:pt idx="65">
                        <c:v>5.0821355236139629</c:v>
                      </c:pt>
                      <c:pt idx="66">
                        <c:v>5.1642710472279258</c:v>
                      </c:pt>
                      <c:pt idx="67">
                        <c:v>5.2464065708418888</c:v>
                      </c:pt>
                      <c:pt idx="68">
                        <c:v>5.3285420944558526</c:v>
                      </c:pt>
                      <c:pt idx="69">
                        <c:v>5.4106776180698155</c:v>
                      </c:pt>
                      <c:pt idx="70">
                        <c:v>5.4928131416837784</c:v>
                      </c:pt>
                      <c:pt idx="71">
                        <c:v>5.5749486652977414</c:v>
                      </c:pt>
                      <c:pt idx="72">
                        <c:v>5.6570841889117043</c:v>
                      </c:pt>
                      <c:pt idx="73">
                        <c:v>5.7392197125256672</c:v>
                      </c:pt>
                      <c:pt idx="74">
                        <c:v>5.8213552361396301</c:v>
                      </c:pt>
                      <c:pt idx="75">
                        <c:v>5.9034907597535931</c:v>
                      </c:pt>
                      <c:pt idx="76">
                        <c:v>6</c:v>
                      </c:pt>
                      <c:pt idx="77">
                        <c:v>6.0821355236139629</c:v>
                      </c:pt>
                      <c:pt idx="78">
                        <c:v>6.1642710472279258</c:v>
                      </c:pt>
                      <c:pt idx="79">
                        <c:v>6.2464065708418888</c:v>
                      </c:pt>
                      <c:pt idx="80">
                        <c:v>6.3285420944558526</c:v>
                      </c:pt>
                      <c:pt idx="81">
                        <c:v>6.4106776180698155</c:v>
                      </c:pt>
                      <c:pt idx="82">
                        <c:v>6.4928131416837784</c:v>
                      </c:pt>
                      <c:pt idx="83">
                        <c:v>6.5749486652977414</c:v>
                      </c:pt>
                      <c:pt idx="84">
                        <c:v>6.6570841889117043</c:v>
                      </c:pt>
                      <c:pt idx="85">
                        <c:v>6.7392197125256672</c:v>
                      </c:pt>
                      <c:pt idx="86">
                        <c:v>6.8213552361396301</c:v>
                      </c:pt>
                      <c:pt idx="87">
                        <c:v>6.9034907597535931</c:v>
                      </c:pt>
                      <c:pt idx="88">
                        <c:v>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Hasil!$R$6:$R$94</c15:sqref>
                        </c15:formulaRef>
                      </c:ext>
                    </c:extLst>
                    <c:numCache>
                      <c:formatCode>0.0000000</c:formatCode>
                      <c:ptCount val="89"/>
                      <c:pt idx="0">
                        <c:v>1.1545848999999999</c:v>
                      </c:pt>
                      <c:pt idx="1">
                        <c:v>1.1497185000000001</c:v>
                      </c:pt>
                      <c:pt idx="2">
                        <c:v>1.1496147999999999</c:v>
                      </c:pt>
                      <c:pt idx="3">
                        <c:v>1.1490023</c:v>
                      </c:pt>
                      <c:pt idx="4">
                        <c:v>1.1482356</c:v>
                      </c:pt>
                      <c:pt idx="5">
                        <c:v>1.1466943000000001</c:v>
                      </c:pt>
                      <c:pt idx="6">
                        <c:v>1.1452751999999999</c:v>
                      </c:pt>
                      <c:pt idx="7">
                        <c:v>1.1415297</c:v>
                      </c:pt>
                      <c:pt idx="8">
                        <c:v>1.1382749999999999</c:v>
                      </c:pt>
                      <c:pt idx="9">
                        <c:v>1.1353666</c:v>
                      </c:pt>
                      <c:pt idx="10">
                        <c:v>1.1327331</c:v>
                      </c:pt>
                      <c:pt idx="11">
                        <c:v>1.1302810000000001</c:v>
                      </c:pt>
                      <c:pt idx="12">
                        <c:v>1.1280539000000001</c:v>
                      </c:pt>
                      <c:pt idx="13">
                        <c:v>1.1259252</c:v>
                      </c:pt>
                      <c:pt idx="14">
                        <c:v>1.1239482000000001</c:v>
                      </c:pt>
                      <c:pt idx="15">
                        <c:v>1.12208</c:v>
                      </c:pt>
                      <c:pt idx="16">
                        <c:v>1.1202979</c:v>
                      </c:pt>
                      <c:pt idx="17">
                        <c:v>1.1203053000000001</c:v>
                      </c:pt>
                      <c:pt idx="18">
                        <c:v>1.1186332000000001</c:v>
                      </c:pt>
                      <c:pt idx="19">
                        <c:v>1.1170224</c:v>
                      </c:pt>
                      <c:pt idx="20">
                        <c:v>1.1154929</c:v>
                      </c:pt>
                      <c:pt idx="21">
                        <c:v>1.1139889999999999</c:v>
                      </c:pt>
                      <c:pt idx="22">
                        <c:v>1.1125399</c:v>
                      </c:pt>
                      <c:pt idx="23">
                        <c:v>1.1110897</c:v>
                      </c:pt>
                      <c:pt idx="24">
                        <c:v>1.1096978</c:v>
                      </c:pt>
                      <c:pt idx="25">
                        <c:v>1.1082365999999999</c:v>
                      </c:pt>
                      <c:pt idx="26">
                        <c:v>1.1067373</c:v>
                      </c:pt>
                      <c:pt idx="27">
                        <c:v>1.1052995999999999</c:v>
                      </c:pt>
                      <c:pt idx="28">
                        <c:v>1.1039137000000001</c:v>
                      </c:pt>
                      <c:pt idx="29">
                        <c:v>1.1022483000000001</c:v>
                      </c:pt>
                      <c:pt idx="30">
                        <c:v>1.1007279999999999</c:v>
                      </c:pt>
                      <c:pt idx="31">
                        <c:v>1.0992767999999999</c:v>
                      </c:pt>
                      <c:pt idx="32">
                        <c:v>1.0978785</c:v>
                      </c:pt>
                      <c:pt idx="33">
                        <c:v>1.0964354000000001</c:v>
                      </c:pt>
                      <c:pt idx="34">
                        <c:v>1.0949526999999999</c:v>
                      </c:pt>
                      <c:pt idx="35">
                        <c:v>1.0934931999999999</c:v>
                      </c:pt>
                      <c:pt idx="36">
                        <c:v>1.0920597000000001</c:v>
                      </c:pt>
                      <c:pt idx="37">
                        <c:v>1.090624</c:v>
                      </c:pt>
                      <c:pt idx="38">
                        <c:v>1.0891447999999999</c:v>
                      </c:pt>
                      <c:pt idx="39">
                        <c:v>1.0876858</c:v>
                      </c:pt>
                      <c:pt idx="40">
                        <c:v>1.0862235</c:v>
                      </c:pt>
                      <c:pt idx="41">
                        <c:v>1.0862461000000001</c:v>
                      </c:pt>
                      <c:pt idx="42">
                        <c:v>1.0847792999999999</c:v>
                      </c:pt>
                      <c:pt idx="43">
                        <c:v>1.0833489000000001</c:v>
                      </c:pt>
                      <c:pt idx="44">
                        <c:v>1.0819456999999999</c:v>
                      </c:pt>
                      <c:pt idx="45">
                        <c:v>1.0804948999999999</c:v>
                      </c:pt>
                      <c:pt idx="46">
                        <c:v>1.0790834</c:v>
                      </c:pt>
                      <c:pt idx="47">
                        <c:v>1.0777211</c:v>
                      </c:pt>
                      <c:pt idx="48">
                        <c:v>1.0762885</c:v>
                      </c:pt>
                      <c:pt idx="49">
                        <c:v>1.0749089000000001</c:v>
                      </c:pt>
                      <c:pt idx="50">
                        <c:v>1.0735711999999999</c:v>
                      </c:pt>
                      <c:pt idx="51">
                        <c:v>1.0721943</c:v>
                      </c:pt>
                      <c:pt idx="52">
                        <c:v>1.0707892999999999</c:v>
                      </c:pt>
                      <c:pt idx="53">
                        <c:v>1.0691974</c:v>
                      </c:pt>
                      <c:pt idx="54">
                        <c:v>1.0678365999999999</c:v>
                      </c:pt>
                      <c:pt idx="55">
                        <c:v>1.0666142999999999</c:v>
                      </c:pt>
                      <c:pt idx="56">
                        <c:v>1.0651735</c:v>
                      </c:pt>
                      <c:pt idx="57">
                        <c:v>1.0639152999999999</c:v>
                      </c:pt>
                      <c:pt idx="58">
                        <c:v>1.0624726</c:v>
                      </c:pt>
                      <c:pt idx="59">
                        <c:v>1.0611358</c:v>
                      </c:pt>
                      <c:pt idx="60">
                        <c:v>1.0598232999999999</c:v>
                      </c:pt>
                      <c:pt idx="61">
                        <c:v>1.0585433</c:v>
                      </c:pt>
                      <c:pt idx="62">
                        <c:v>1.0571809000000001</c:v>
                      </c:pt>
                      <c:pt idx="63">
                        <c:v>1.0560020999999999</c:v>
                      </c:pt>
                      <c:pt idx="64">
                        <c:v>1.0545488999999999</c:v>
                      </c:pt>
                      <c:pt idx="65" formatCode="General">
                        <c:v>1.0546087</c:v>
                      </c:pt>
                      <c:pt idx="66" formatCode="General">
                        <c:v>1.0532657999999999</c:v>
                      </c:pt>
                      <c:pt idx="67" formatCode="General">
                        <c:v>1.0521419000000001</c:v>
                      </c:pt>
                      <c:pt idx="68" formatCode="General">
                        <c:v>1.0506328</c:v>
                      </c:pt>
                      <c:pt idx="69" formatCode="General">
                        <c:v>1.0494353999999999</c:v>
                      </c:pt>
                      <c:pt idx="70" formatCode="General">
                        <c:v>1.0481129</c:v>
                      </c:pt>
                      <c:pt idx="71" formatCode="General">
                        <c:v>1.0468645000000001</c:v>
                      </c:pt>
                      <c:pt idx="72" formatCode="General">
                        <c:v>1.0456057000000001</c:v>
                      </c:pt>
                      <c:pt idx="73" formatCode="General">
                        <c:v>1.0443633000000001</c:v>
                      </c:pt>
                      <c:pt idx="74" formatCode="General">
                        <c:v>1.0431244</c:v>
                      </c:pt>
                      <c:pt idx="75" formatCode="General">
                        <c:v>1.0418931</c:v>
                      </c:pt>
                      <c:pt idx="76" formatCode="General">
                        <c:v>1.0406591999999999</c:v>
                      </c:pt>
                      <c:pt idx="77" formatCode="General">
                        <c:v>1.0392048</c:v>
                      </c:pt>
                      <c:pt idx="78" formatCode="General">
                        <c:v>1.0379651999999999</c:v>
                      </c:pt>
                      <c:pt idx="79" formatCode="General">
                        <c:v>1.0367508999999999</c:v>
                      </c:pt>
                      <c:pt idx="80" formatCode="General">
                        <c:v>1.0355209000000001</c:v>
                      </c:pt>
                      <c:pt idx="81" formatCode="General">
                        <c:v>1.0343020000000001</c:v>
                      </c:pt>
                      <c:pt idx="82" formatCode="General">
                        <c:v>1.0330969000000001</c:v>
                      </c:pt>
                      <c:pt idx="83" formatCode="General">
                        <c:v>1.0318906000000001</c:v>
                      </c:pt>
                      <c:pt idx="84" formatCode="General">
                        <c:v>1.0307686</c:v>
                      </c:pt>
                      <c:pt idx="85" formatCode="General">
                        <c:v>1.0294871000000001</c:v>
                      </c:pt>
                      <c:pt idx="86" formatCode="General">
                        <c:v>1.0283867</c:v>
                      </c:pt>
                      <c:pt idx="87" formatCode="General">
                        <c:v>1.0271756999999999</c:v>
                      </c:pt>
                      <c:pt idx="88" formatCode="General">
                        <c:v>1.0259917000000001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738376128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Tahun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38373952"/>
        <c:crosses val="autoZero"/>
        <c:crossBetween val="midCat"/>
        <c:majorUnit val="0.5"/>
      </c:valAx>
      <c:valAx>
        <c:axId val="1738373952"/>
        <c:scaling>
          <c:orientation val="minMax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K-Efektif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38376128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Hasil!$DD$3</c:f>
              <c:strCache>
                <c:ptCount val="1"/>
                <c:pt idx="0">
                  <c:v>CR di MOL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Hasil!$DC$4:$DC$14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Hasil!$DD$4:$DD$14</c:f>
              <c:numCache>
                <c:formatCode>0.000000</c:formatCode>
                <c:ptCount val="11"/>
                <c:pt idx="0" formatCode="0.00E+00">
                  <c:v>0.51829999999999998</c:v>
                </c:pt>
                <c:pt idx="1">
                  <c:v>0.81023500000000004</c:v>
                </c:pt>
                <c:pt idx="2">
                  <c:v>0.74378200000000005</c:v>
                </c:pt>
                <c:pt idx="3">
                  <c:v>0.70946600000000004</c:v>
                </c:pt>
                <c:pt idx="4">
                  <c:v>0.68356600000000001</c:v>
                </c:pt>
                <c:pt idx="5">
                  <c:v>0.66096100000000002</c:v>
                </c:pt>
                <c:pt idx="6">
                  <c:v>0.63985300000000001</c:v>
                </c:pt>
                <c:pt idx="7">
                  <c:v>0.61970199999999998</c:v>
                </c:pt>
                <c:pt idx="8">
                  <c:v>0.60035799999999995</c:v>
                </c:pt>
                <c:pt idx="9">
                  <c:v>0.58176499999999998</c:v>
                </c:pt>
                <c:pt idx="10">
                  <c:v>0.56389299999999998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447280"/>
        <c:axId val="1783442928"/>
      </c:scatterChart>
      <c:valAx>
        <c:axId val="178344728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Rasio</a:t>
                </a:r>
                <a:r>
                  <a:rPr lang="id-ID" baseline="0"/>
                  <a:t> PuO2 dalam MOX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3442928"/>
        <c:crosses val="autoZero"/>
        <c:crossBetween val="midCat"/>
      </c:valAx>
      <c:valAx>
        <c:axId val="1783442928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 baseline="0"/>
                  <a:t>CR saat MOL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8344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84744</xdr:colOff>
      <xdr:row>95</xdr:row>
      <xdr:rowOff>194959</xdr:rowOff>
    </xdr:from>
    <xdr:to>
      <xdr:col>18</xdr:col>
      <xdr:colOff>-1</xdr:colOff>
      <xdr:row>117</xdr:row>
      <xdr:rowOff>53916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467460</xdr:colOff>
      <xdr:row>95</xdr:row>
      <xdr:rowOff>107339</xdr:rowOff>
    </xdr:from>
    <xdr:to>
      <xdr:col>29</xdr:col>
      <xdr:colOff>427653</xdr:colOff>
      <xdr:row>117</xdr:row>
      <xdr:rowOff>77755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64</xdr:col>
      <xdr:colOff>228600</xdr:colOff>
      <xdr:row>48</xdr:row>
      <xdr:rowOff>23812</xdr:rowOff>
    </xdr:from>
    <xdr:to>
      <xdr:col>72</xdr:col>
      <xdr:colOff>552450</xdr:colOff>
      <xdr:row>65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89</xdr:col>
      <xdr:colOff>219075</xdr:colOff>
      <xdr:row>2</xdr:row>
      <xdr:rowOff>161925</xdr:rowOff>
    </xdr:from>
    <xdr:to>
      <xdr:col>99</xdr:col>
      <xdr:colOff>295275</xdr:colOff>
      <xdr:row>24</xdr:row>
      <xdr:rowOff>185737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89</xdr:col>
      <xdr:colOff>228600</xdr:colOff>
      <xdr:row>25</xdr:row>
      <xdr:rowOff>180975</xdr:rowOff>
    </xdr:from>
    <xdr:to>
      <xdr:col>99</xdr:col>
      <xdr:colOff>304800</xdr:colOff>
      <xdr:row>48</xdr:row>
      <xdr:rowOff>14287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123825</xdr:colOff>
      <xdr:row>118</xdr:row>
      <xdr:rowOff>95250</xdr:rowOff>
    </xdr:from>
    <xdr:to>
      <xdr:col>18</xdr:col>
      <xdr:colOff>39080</xdr:colOff>
      <xdr:row>139</xdr:row>
      <xdr:rowOff>144707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101</xdr:col>
      <xdr:colOff>390525</xdr:colOff>
      <xdr:row>14</xdr:row>
      <xdr:rowOff>176212</xdr:rowOff>
    </xdr:from>
    <xdr:to>
      <xdr:col>108</xdr:col>
      <xdr:colOff>104775</xdr:colOff>
      <xdr:row>29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opLeftCell="A17" workbookViewId="0">
      <selection activeCell="A55" sqref="A55:G56"/>
    </sheetView>
  </sheetViews>
  <sheetFormatPr defaultRowHeight="15" x14ac:dyDescent="0.25"/>
  <cols>
    <col min="1" max="1" width="41.85546875" bestFit="1" customWidth="1"/>
    <col min="2" max="2" width="7" bestFit="1" customWidth="1"/>
    <col min="3" max="3" width="9.5703125" bestFit="1" customWidth="1"/>
    <col min="4" max="4" width="11" bestFit="1" customWidth="1"/>
    <col min="5" max="5" width="8" bestFit="1" customWidth="1"/>
    <col min="6" max="6" width="12" bestFit="1" customWidth="1"/>
    <col min="7" max="7" width="9.5703125" bestFit="1" customWidth="1"/>
    <col min="10" max="10" width="2" bestFit="1" customWidth="1"/>
    <col min="11" max="11" width="36.42578125" bestFit="1" customWidth="1"/>
  </cols>
  <sheetData>
    <row r="1" spans="1:7" ht="15" customHeight="1" x14ac:dyDescent="0.25">
      <c r="A1" s="178" t="s">
        <v>35</v>
      </c>
      <c r="B1" s="179" t="s">
        <v>148</v>
      </c>
      <c r="C1" s="179"/>
      <c r="D1" s="179" t="s">
        <v>149</v>
      </c>
      <c r="E1" s="179"/>
      <c r="F1" s="179" t="s">
        <v>150</v>
      </c>
      <c r="G1" s="179"/>
    </row>
    <row r="2" spans="1:7" x14ac:dyDescent="0.25">
      <c r="A2" s="178"/>
      <c r="B2" s="31" t="s">
        <v>36</v>
      </c>
      <c r="C2" s="31" t="s">
        <v>37</v>
      </c>
      <c r="D2" s="31" t="s">
        <v>36</v>
      </c>
      <c r="E2" s="31" t="s">
        <v>37</v>
      </c>
      <c r="F2" s="32" t="s">
        <v>36</v>
      </c>
      <c r="G2" s="32" t="s">
        <v>37</v>
      </c>
    </row>
    <row r="3" spans="1:7" x14ac:dyDescent="0.25">
      <c r="A3" s="175" t="s">
        <v>151</v>
      </c>
      <c r="B3" s="176"/>
      <c r="C3" s="176"/>
      <c r="D3" s="176"/>
      <c r="E3" s="176"/>
      <c r="F3" s="176"/>
      <c r="G3" s="177"/>
    </row>
    <row r="4" spans="1:7" x14ac:dyDescent="0.25">
      <c r="A4" s="4" t="s">
        <v>152</v>
      </c>
      <c r="B4" s="4">
        <v>59.25</v>
      </c>
      <c r="C4" s="4" t="s">
        <v>153</v>
      </c>
      <c r="D4" s="4">
        <f>B4*2.54</f>
        <v>150.495</v>
      </c>
      <c r="E4" s="4" t="s">
        <v>154</v>
      </c>
      <c r="F4" s="4">
        <v>165</v>
      </c>
      <c r="G4" s="4" t="s">
        <v>154</v>
      </c>
    </row>
    <row r="5" spans="1:7" x14ac:dyDescent="0.25">
      <c r="A5" s="4" t="s">
        <v>155</v>
      </c>
      <c r="B5" s="4">
        <v>78.739999999999995</v>
      </c>
      <c r="C5" s="4" t="s">
        <v>153</v>
      </c>
      <c r="D5" s="4">
        <f>B5*2.54</f>
        <v>199.99959999999999</v>
      </c>
      <c r="E5" s="4" t="s">
        <v>154</v>
      </c>
      <c r="F5" s="4">
        <v>200</v>
      </c>
      <c r="G5" s="4" t="s">
        <v>154</v>
      </c>
    </row>
    <row r="6" spans="1:7" x14ac:dyDescent="0.25">
      <c r="A6" s="4" t="s">
        <v>214</v>
      </c>
      <c r="B6" s="4"/>
      <c r="C6" s="4"/>
      <c r="D6" s="4"/>
      <c r="E6" s="4"/>
      <c r="F6" s="4">
        <f>PI()*(F4/2)^2*F5</f>
        <v>4276492.9996991055</v>
      </c>
      <c r="G6" s="4" t="s">
        <v>215</v>
      </c>
    </row>
    <row r="7" spans="1:7" x14ac:dyDescent="0.25">
      <c r="A7" s="4" t="s">
        <v>43</v>
      </c>
      <c r="B7" s="4"/>
      <c r="C7" s="4"/>
      <c r="D7" s="4"/>
      <c r="E7" s="4"/>
      <c r="F7" s="4">
        <f>0.96*10.96</f>
        <v>10.521600000000001</v>
      </c>
      <c r="G7" s="4" t="s">
        <v>42</v>
      </c>
    </row>
    <row r="8" spans="1:7" x14ac:dyDescent="0.25">
      <c r="A8" s="13" t="s">
        <v>216</v>
      </c>
      <c r="B8" s="4"/>
      <c r="C8" s="4"/>
      <c r="D8" s="4"/>
      <c r="E8" s="4"/>
      <c r="F8" s="4">
        <f>F7*F6</f>
        <v>44995548.745634116</v>
      </c>
      <c r="G8" s="13" t="s">
        <v>217</v>
      </c>
    </row>
    <row r="9" spans="1:7" x14ac:dyDescent="0.25">
      <c r="A9" s="4"/>
      <c r="B9" s="4"/>
      <c r="C9" s="4"/>
      <c r="D9" s="4"/>
      <c r="E9" s="4"/>
      <c r="F9" s="4">
        <f>F8/1000000</f>
        <v>44.995548745634117</v>
      </c>
      <c r="G9" s="13" t="s">
        <v>218</v>
      </c>
    </row>
    <row r="10" spans="1:7" x14ac:dyDescent="0.25">
      <c r="A10" s="175" t="s">
        <v>12</v>
      </c>
      <c r="B10" s="176"/>
      <c r="C10" s="176"/>
      <c r="D10" s="176"/>
      <c r="E10" s="176"/>
      <c r="F10" s="176"/>
      <c r="G10" s="177"/>
    </row>
    <row r="11" spans="1:7" x14ac:dyDescent="0.25">
      <c r="A11" s="4" t="s">
        <v>61</v>
      </c>
      <c r="B11" s="4">
        <v>37</v>
      </c>
      <c r="C11" s="4"/>
      <c r="D11" s="4">
        <v>37</v>
      </c>
      <c r="E11" s="4"/>
      <c r="F11" s="4">
        <v>37</v>
      </c>
      <c r="G11" s="4"/>
    </row>
    <row r="12" spans="1:7" x14ac:dyDescent="0.25">
      <c r="A12" s="4" t="s">
        <v>156</v>
      </c>
      <c r="B12" s="180" t="s">
        <v>157</v>
      </c>
      <c r="C12" s="180"/>
      <c r="D12" s="180" t="s">
        <v>157</v>
      </c>
      <c r="E12" s="180"/>
      <c r="F12" s="180" t="s">
        <v>157</v>
      </c>
      <c r="G12" s="180"/>
    </row>
    <row r="13" spans="1:7" x14ac:dyDescent="0.25">
      <c r="A13" s="4" t="s">
        <v>158</v>
      </c>
      <c r="B13" s="4">
        <v>94</v>
      </c>
      <c r="C13" s="4" t="s">
        <v>153</v>
      </c>
      <c r="D13" s="4">
        <f>B13*2.54</f>
        <v>238.76</v>
      </c>
      <c r="E13" s="4" t="s">
        <v>154</v>
      </c>
      <c r="F13" s="4">
        <v>238.76</v>
      </c>
      <c r="G13" s="4" t="s">
        <v>154</v>
      </c>
    </row>
    <row r="14" spans="1:7" x14ac:dyDescent="0.25">
      <c r="A14" s="4" t="s">
        <v>159</v>
      </c>
      <c r="B14" s="4">
        <v>8.4659999999999993</v>
      </c>
      <c r="C14" s="4" t="s">
        <v>153</v>
      </c>
      <c r="D14" s="4">
        <f>B14*2.54</f>
        <v>21.503639999999997</v>
      </c>
      <c r="E14" s="4" t="s">
        <v>154</v>
      </c>
      <c r="F14" s="4">
        <v>21.503639999999997</v>
      </c>
      <c r="G14" s="4" t="s">
        <v>154</v>
      </c>
    </row>
    <row r="15" spans="1:7" x14ac:dyDescent="0.25">
      <c r="A15" s="4" t="s">
        <v>160</v>
      </c>
      <c r="B15" s="4">
        <v>0.496</v>
      </c>
      <c r="C15" s="4" t="s">
        <v>153</v>
      </c>
      <c r="D15" s="4">
        <f>B15*2.54</f>
        <v>1.2598400000000001</v>
      </c>
      <c r="E15" s="4" t="s">
        <v>154</v>
      </c>
      <c r="F15" s="4">
        <v>1.2598400000000001</v>
      </c>
      <c r="G15" s="4" t="s">
        <v>154</v>
      </c>
    </row>
    <row r="16" spans="1:7" x14ac:dyDescent="0.25">
      <c r="A16" s="4" t="s">
        <v>161</v>
      </c>
      <c r="B16" s="4">
        <v>5</v>
      </c>
      <c r="C16" s="4"/>
      <c r="D16" s="4">
        <v>5</v>
      </c>
      <c r="E16" s="4"/>
      <c r="F16" s="4">
        <v>5</v>
      </c>
      <c r="G16" s="4"/>
    </row>
    <row r="17" spans="1:7" x14ac:dyDescent="0.25">
      <c r="A17" s="4" t="s">
        <v>162</v>
      </c>
      <c r="B17" s="4">
        <v>1.75</v>
      </c>
      <c r="C17" s="4" t="s">
        <v>153</v>
      </c>
      <c r="D17" s="4">
        <f>B17*2.54</f>
        <v>4.4450000000000003</v>
      </c>
      <c r="E17" s="4" t="s">
        <v>154</v>
      </c>
      <c r="F17" s="4">
        <v>4.4450000000000003</v>
      </c>
      <c r="G17" s="4" t="s">
        <v>154</v>
      </c>
    </row>
    <row r="18" spans="1:7" x14ac:dyDescent="0.25">
      <c r="A18" s="4" t="s">
        <v>163</v>
      </c>
      <c r="B18" s="4">
        <v>264</v>
      </c>
      <c r="C18" s="4"/>
      <c r="D18" s="4">
        <v>264</v>
      </c>
      <c r="E18" s="4"/>
      <c r="F18" s="4">
        <v>264</v>
      </c>
      <c r="G18" s="4"/>
    </row>
    <row r="19" spans="1:7" x14ac:dyDescent="0.25">
      <c r="A19" s="4" t="s">
        <v>164</v>
      </c>
      <c r="B19" s="4">
        <v>24</v>
      </c>
      <c r="C19" s="4"/>
      <c r="D19" s="4">
        <v>24</v>
      </c>
      <c r="E19" s="4"/>
      <c r="F19" s="4">
        <v>24</v>
      </c>
      <c r="G19" s="4"/>
    </row>
    <row r="20" spans="1:7" x14ac:dyDescent="0.25">
      <c r="A20" s="4" t="s">
        <v>165</v>
      </c>
      <c r="B20" s="4">
        <v>1</v>
      </c>
      <c r="C20" s="4"/>
      <c r="D20" s="4">
        <v>1</v>
      </c>
      <c r="E20" s="4"/>
      <c r="F20" s="4">
        <v>1</v>
      </c>
      <c r="G20" s="4"/>
    </row>
    <row r="21" spans="1:7" x14ac:dyDescent="0.25">
      <c r="A21" s="13" t="s">
        <v>166</v>
      </c>
      <c r="B21" s="4"/>
      <c r="C21" s="4"/>
      <c r="D21" s="4"/>
      <c r="E21" s="4"/>
      <c r="F21" s="13">
        <v>0.04</v>
      </c>
      <c r="G21" s="4" t="s">
        <v>154</v>
      </c>
    </row>
    <row r="22" spans="1:7" x14ac:dyDescent="0.25">
      <c r="A22" s="175" t="s">
        <v>167</v>
      </c>
      <c r="B22" s="176"/>
      <c r="C22" s="176"/>
      <c r="D22" s="176"/>
      <c r="E22" s="176"/>
      <c r="F22" s="176"/>
      <c r="G22" s="177"/>
    </row>
    <row r="23" spans="1:7" x14ac:dyDescent="0.25">
      <c r="A23" s="4" t="s">
        <v>61</v>
      </c>
      <c r="B23" s="4">
        <v>264</v>
      </c>
      <c r="C23" s="4"/>
      <c r="D23" s="4">
        <v>264</v>
      </c>
      <c r="E23" s="4"/>
      <c r="F23" s="4">
        <v>264</v>
      </c>
      <c r="G23" s="4"/>
    </row>
    <row r="24" spans="1:7" x14ac:dyDescent="0.25">
      <c r="A24" s="4" t="s">
        <v>11</v>
      </c>
      <c r="B24" s="4">
        <v>6.4999999999999997E-3</v>
      </c>
      <c r="C24" s="4" t="s">
        <v>153</v>
      </c>
      <c r="D24" s="4">
        <f>B24*2.54</f>
        <v>1.651E-2</v>
      </c>
      <c r="E24" s="4" t="s">
        <v>154</v>
      </c>
      <c r="F24" s="4">
        <v>1.651E-2</v>
      </c>
      <c r="G24" s="4" t="s">
        <v>154</v>
      </c>
    </row>
    <row r="25" spans="1:7" x14ac:dyDescent="0.25">
      <c r="A25" s="4" t="s">
        <v>168</v>
      </c>
      <c r="B25" s="180" t="s">
        <v>169</v>
      </c>
      <c r="C25" s="180"/>
      <c r="D25" s="180" t="s">
        <v>169</v>
      </c>
      <c r="E25" s="180"/>
      <c r="F25" s="180" t="s">
        <v>170</v>
      </c>
      <c r="G25" s="180"/>
    </row>
    <row r="26" spans="1:7" x14ac:dyDescent="0.25">
      <c r="A26" s="4" t="s">
        <v>171</v>
      </c>
      <c r="B26" s="4">
        <v>0.374</v>
      </c>
      <c r="C26" s="4" t="s">
        <v>153</v>
      </c>
      <c r="D26" s="4">
        <f>B26*2.54</f>
        <v>0.94996000000000003</v>
      </c>
      <c r="E26" s="4" t="s">
        <v>154</v>
      </c>
      <c r="F26" s="4">
        <v>0.94996000000000003</v>
      </c>
      <c r="G26" s="4" t="s">
        <v>154</v>
      </c>
    </row>
    <row r="27" spans="1:7" x14ac:dyDescent="0.25">
      <c r="A27" s="4" t="s">
        <v>172</v>
      </c>
      <c r="B27" s="4">
        <v>0.32600000000000001</v>
      </c>
      <c r="C27" s="4" t="s">
        <v>153</v>
      </c>
      <c r="D27" s="4">
        <f>B27*2.54</f>
        <v>0.82804</v>
      </c>
      <c r="E27" s="4" t="s">
        <v>154</v>
      </c>
      <c r="F27" s="4">
        <v>0.82804</v>
      </c>
      <c r="G27" s="4" t="s">
        <v>154</v>
      </c>
    </row>
    <row r="28" spans="1:7" x14ac:dyDescent="0.25">
      <c r="A28" s="4" t="s">
        <v>173</v>
      </c>
      <c r="B28" s="4">
        <v>2.4E-2</v>
      </c>
      <c r="C28" s="4" t="s">
        <v>153</v>
      </c>
      <c r="D28" s="4">
        <f>B28*2.54</f>
        <v>6.096E-2</v>
      </c>
      <c r="E28" s="4" t="s">
        <v>154</v>
      </c>
      <c r="F28" s="4">
        <v>6.096E-2</v>
      </c>
      <c r="G28" s="4" t="s">
        <v>154</v>
      </c>
    </row>
    <row r="29" spans="1:7" x14ac:dyDescent="0.25">
      <c r="A29" s="4" t="s">
        <v>174</v>
      </c>
      <c r="B29" s="4">
        <v>85</v>
      </c>
      <c r="C29" s="4" t="s">
        <v>153</v>
      </c>
      <c r="D29" s="4">
        <f>B29*2.54</f>
        <v>215.9</v>
      </c>
      <c r="E29" s="4" t="s">
        <v>154</v>
      </c>
      <c r="F29" s="4">
        <v>215.9</v>
      </c>
      <c r="G29" s="4" t="s">
        <v>154</v>
      </c>
    </row>
    <row r="30" spans="1:7" x14ac:dyDescent="0.25">
      <c r="A30" s="4" t="s">
        <v>175</v>
      </c>
      <c r="B30" s="180" t="s">
        <v>176</v>
      </c>
      <c r="C30" s="180"/>
      <c r="D30" s="180" t="s">
        <v>176</v>
      </c>
      <c r="E30" s="180"/>
      <c r="F30" s="180" t="s">
        <v>176</v>
      </c>
      <c r="G30" s="180"/>
    </row>
    <row r="31" spans="1:7" x14ac:dyDescent="0.25">
      <c r="A31" s="175" t="s">
        <v>177</v>
      </c>
      <c r="B31" s="176"/>
      <c r="C31" s="176"/>
      <c r="D31" s="176"/>
      <c r="E31" s="176"/>
      <c r="F31" s="176"/>
      <c r="G31" s="177"/>
    </row>
    <row r="32" spans="1:7" x14ac:dyDescent="0.25">
      <c r="A32" s="4" t="s">
        <v>73</v>
      </c>
      <c r="B32" s="180" t="s">
        <v>178</v>
      </c>
      <c r="C32" s="180"/>
      <c r="D32" s="180" t="s">
        <v>178</v>
      </c>
      <c r="E32" s="180"/>
      <c r="F32" s="180" t="s">
        <v>178</v>
      </c>
      <c r="G32" s="180"/>
    </row>
    <row r="33" spans="1:11" x14ac:dyDescent="0.25">
      <c r="A33" s="4" t="s">
        <v>179</v>
      </c>
      <c r="B33" s="180" t="s">
        <v>180</v>
      </c>
      <c r="C33" s="180"/>
      <c r="D33" s="180" t="s">
        <v>180</v>
      </c>
      <c r="E33" s="180"/>
      <c r="F33" s="180" t="s">
        <v>180</v>
      </c>
      <c r="G33" s="180"/>
    </row>
    <row r="34" spans="1:11" x14ac:dyDescent="0.25">
      <c r="A34" s="4" t="s">
        <v>152</v>
      </c>
      <c r="B34" s="4">
        <v>0.31950000000000001</v>
      </c>
      <c r="C34" s="4" t="s">
        <v>153</v>
      </c>
      <c r="D34" s="4">
        <f>B34*2.54</f>
        <v>0.81152999999999997</v>
      </c>
      <c r="E34" s="4" t="s">
        <v>154</v>
      </c>
      <c r="F34" s="4">
        <v>0.81152999999999997</v>
      </c>
      <c r="G34" s="4" t="s">
        <v>154</v>
      </c>
    </row>
    <row r="35" spans="1:11" x14ac:dyDescent="0.25">
      <c r="A35" s="4" t="s">
        <v>158</v>
      </c>
      <c r="B35" s="4">
        <v>0.4</v>
      </c>
      <c r="C35" s="4" t="s">
        <v>153</v>
      </c>
      <c r="D35" s="4">
        <f>B35*2.54</f>
        <v>1.016</v>
      </c>
      <c r="E35" s="4" t="s">
        <v>154</v>
      </c>
      <c r="F35" s="4">
        <v>1.016</v>
      </c>
      <c r="G35" s="4" t="s">
        <v>154</v>
      </c>
    </row>
    <row r="36" spans="1:11" x14ac:dyDescent="0.25">
      <c r="A36" s="175" t="s">
        <v>181</v>
      </c>
      <c r="B36" s="176"/>
      <c r="C36" s="176"/>
      <c r="D36" s="176"/>
      <c r="E36" s="176"/>
      <c r="F36" s="176"/>
      <c r="G36" s="177"/>
    </row>
    <row r="37" spans="1:11" x14ac:dyDescent="0.25">
      <c r="A37" s="4" t="s">
        <v>61</v>
      </c>
      <c r="B37" s="4">
        <v>16</v>
      </c>
      <c r="C37" s="4"/>
      <c r="D37" s="4">
        <v>16</v>
      </c>
      <c r="E37" s="4"/>
      <c r="F37" s="4">
        <v>16</v>
      </c>
      <c r="G37" s="4"/>
    </row>
    <row r="38" spans="1:11" x14ac:dyDescent="0.25">
      <c r="A38" s="4" t="s">
        <v>182</v>
      </c>
      <c r="B38" s="180" t="s">
        <v>183</v>
      </c>
      <c r="C38" s="180"/>
      <c r="D38" s="180" t="s">
        <v>183</v>
      </c>
      <c r="E38" s="180"/>
      <c r="F38" s="180" t="s">
        <v>183</v>
      </c>
      <c r="G38" s="180"/>
    </row>
    <row r="39" spans="1:11" x14ac:dyDescent="0.25">
      <c r="A39" s="4" t="s">
        <v>184</v>
      </c>
      <c r="B39" s="180" t="s">
        <v>185</v>
      </c>
      <c r="C39" s="180"/>
      <c r="D39" s="180" t="s">
        <v>185</v>
      </c>
      <c r="E39" s="180"/>
      <c r="F39" s="180" t="s">
        <v>185</v>
      </c>
      <c r="G39" s="180"/>
    </row>
    <row r="40" spans="1:11" x14ac:dyDescent="0.25">
      <c r="A40" s="4" t="s">
        <v>71</v>
      </c>
      <c r="B40" s="180" t="s">
        <v>186</v>
      </c>
      <c r="C40" s="180"/>
      <c r="D40" s="180" t="s">
        <v>186</v>
      </c>
      <c r="E40" s="180"/>
      <c r="F40" s="180" t="s">
        <v>186</v>
      </c>
      <c r="G40" s="180"/>
    </row>
    <row r="41" spans="1:11" x14ac:dyDescent="0.25">
      <c r="A41" s="4" t="s">
        <v>175</v>
      </c>
      <c r="B41" s="180" t="s">
        <v>176</v>
      </c>
      <c r="C41" s="180"/>
      <c r="D41" s="180" t="s">
        <v>176</v>
      </c>
      <c r="E41" s="180"/>
      <c r="F41" s="180" t="s">
        <v>176</v>
      </c>
      <c r="G41" s="180"/>
    </row>
    <row r="42" spans="1:11" x14ac:dyDescent="0.25">
      <c r="A42" s="182" t="s">
        <v>187</v>
      </c>
      <c r="B42" s="183"/>
      <c r="C42" s="183"/>
      <c r="D42" s="183"/>
      <c r="E42" s="183"/>
      <c r="F42" s="183"/>
      <c r="G42" s="184"/>
    </row>
    <row r="43" spans="1:11" x14ac:dyDescent="0.25">
      <c r="A43" s="4" t="s">
        <v>188</v>
      </c>
      <c r="B43" s="4">
        <v>0.48199999999999998</v>
      </c>
      <c r="C43" s="4" t="s">
        <v>153</v>
      </c>
      <c r="D43" s="4">
        <f>B43*2.54</f>
        <v>1.22428</v>
      </c>
      <c r="E43" s="4" t="s">
        <v>154</v>
      </c>
      <c r="F43" s="4">
        <v>1.22428</v>
      </c>
      <c r="G43" s="4" t="s">
        <v>154</v>
      </c>
    </row>
    <row r="44" spans="1:11" x14ac:dyDescent="0.25">
      <c r="A44" s="4" t="s">
        <v>189</v>
      </c>
      <c r="B44" s="4">
        <v>0.45</v>
      </c>
      <c r="C44" s="4" t="s">
        <v>153</v>
      </c>
      <c r="D44" s="4">
        <f>B44*2.54</f>
        <v>1.143</v>
      </c>
      <c r="E44" s="4" t="s">
        <v>154</v>
      </c>
      <c r="F44" s="4">
        <v>1.143</v>
      </c>
      <c r="G44" s="4" t="s">
        <v>154</v>
      </c>
    </row>
    <row r="45" spans="1:11" x14ac:dyDescent="0.25">
      <c r="A45" s="4" t="s">
        <v>190</v>
      </c>
      <c r="B45" s="4">
        <v>0.39700000000000002</v>
      </c>
      <c r="C45" s="4" t="s">
        <v>153</v>
      </c>
      <c r="D45" s="4">
        <f>B45*2.54</f>
        <v>1.0083800000000001</v>
      </c>
      <c r="E45" s="4" t="s">
        <v>154</v>
      </c>
      <c r="F45" s="4">
        <v>1.0083800000000001</v>
      </c>
      <c r="G45" s="4" t="s">
        <v>154</v>
      </c>
    </row>
    <row r="46" spans="1:11" x14ac:dyDescent="0.25">
      <c r="A46" s="185" t="s">
        <v>191</v>
      </c>
      <c r="B46" s="185"/>
      <c r="C46" s="185"/>
      <c r="D46" s="185"/>
      <c r="E46" s="185"/>
      <c r="F46" s="185"/>
      <c r="G46" s="185"/>
    </row>
    <row r="47" spans="1:11" x14ac:dyDescent="0.25">
      <c r="A47" s="4" t="s">
        <v>192</v>
      </c>
      <c r="B47" s="4">
        <v>160</v>
      </c>
      <c r="C47" s="4" t="s">
        <v>193</v>
      </c>
      <c r="D47" s="4"/>
      <c r="E47" s="4"/>
      <c r="F47" s="4">
        <v>160</v>
      </c>
      <c r="G47" s="4" t="s">
        <v>193</v>
      </c>
      <c r="I47" t="s">
        <v>204</v>
      </c>
    </row>
    <row r="48" spans="1:11" x14ac:dyDescent="0.25">
      <c r="A48" s="4" t="s">
        <v>194</v>
      </c>
      <c r="B48" s="4">
        <v>24</v>
      </c>
      <c r="C48" s="4" t="s">
        <v>195</v>
      </c>
      <c r="D48" s="4"/>
      <c r="E48" s="4"/>
      <c r="F48" s="4">
        <v>24</v>
      </c>
      <c r="G48" s="4" t="s">
        <v>195</v>
      </c>
      <c r="I48" s="181" t="s">
        <v>206</v>
      </c>
      <c r="J48" s="181"/>
      <c r="K48" s="181"/>
    </row>
    <row r="49" spans="1:11" x14ac:dyDescent="0.25">
      <c r="A49" s="4" t="s">
        <v>196</v>
      </c>
      <c r="B49" s="4">
        <f>50*1000</f>
        <v>50000</v>
      </c>
      <c r="C49" s="4" t="s">
        <v>197</v>
      </c>
      <c r="D49" s="4"/>
      <c r="E49" s="4"/>
      <c r="F49" s="4">
        <v>60000</v>
      </c>
      <c r="G49" s="4" t="s">
        <v>197</v>
      </c>
      <c r="I49" s="41"/>
      <c r="J49" t="s">
        <v>208</v>
      </c>
      <c r="K49" t="s">
        <v>209</v>
      </c>
    </row>
    <row r="50" spans="1:11" x14ac:dyDescent="0.25">
      <c r="A50" s="4" t="s">
        <v>276</v>
      </c>
      <c r="B50" s="4">
        <v>5</v>
      </c>
      <c r="C50" s="4" t="s">
        <v>198</v>
      </c>
      <c r="D50" s="4">
        <v>1.6404200000000001E-4</v>
      </c>
      <c r="E50" s="4" t="s">
        <v>199</v>
      </c>
      <c r="F50" s="4">
        <v>1.6404200000000001E-4</v>
      </c>
      <c r="G50" s="4" t="s">
        <v>199</v>
      </c>
    </row>
    <row r="51" spans="1:11" x14ac:dyDescent="0.25">
      <c r="A51" s="4" t="s">
        <v>200</v>
      </c>
      <c r="B51" s="4"/>
      <c r="C51" s="4"/>
      <c r="D51" s="4"/>
      <c r="E51" s="4"/>
      <c r="F51" s="4">
        <f>F50*72</f>
        <v>1.1811024000000002E-2</v>
      </c>
      <c r="G51" s="4" t="s">
        <v>199</v>
      </c>
    </row>
    <row r="52" spans="1:11" x14ac:dyDescent="0.25">
      <c r="A52" s="4" t="s">
        <v>201</v>
      </c>
      <c r="B52" s="4">
        <v>1850</v>
      </c>
      <c r="C52" s="4" t="s">
        <v>51</v>
      </c>
      <c r="D52" s="4"/>
      <c r="E52" s="4"/>
      <c r="F52" s="4">
        <v>1850</v>
      </c>
      <c r="G52" s="4" t="s">
        <v>51</v>
      </c>
    </row>
    <row r="53" spans="1:11" x14ac:dyDescent="0.25">
      <c r="A53" s="13" t="s">
        <v>202</v>
      </c>
      <c r="B53" s="4">
        <v>930</v>
      </c>
      <c r="C53" s="4" t="s">
        <v>203</v>
      </c>
      <c r="D53" s="4"/>
      <c r="E53" s="4"/>
      <c r="F53" s="40">
        <f>(B53+459.67)*5/9</f>
        <v>772.03888888888889</v>
      </c>
      <c r="G53" s="4" t="s">
        <v>45</v>
      </c>
    </row>
    <row r="54" spans="1:11" x14ac:dyDescent="0.25">
      <c r="A54" s="4" t="s">
        <v>205</v>
      </c>
      <c r="B54" s="4">
        <v>543</v>
      </c>
      <c r="C54" s="4" t="s">
        <v>203</v>
      </c>
      <c r="D54" s="4"/>
      <c r="E54" s="4"/>
      <c r="F54" s="40">
        <f>(B54+459.67)*5/9</f>
        <v>557.03888888888889</v>
      </c>
      <c r="G54" s="4" t="s">
        <v>45</v>
      </c>
    </row>
    <row r="55" spans="1:11" x14ac:dyDescent="0.25">
      <c r="A55" s="13" t="s">
        <v>207</v>
      </c>
      <c r="B55" s="13"/>
      <c r="C55" s="13"/>
      <c r="D55" s="13"/>
      <c r="E55" s="13"/>
      <c r="F55" s="93">
        <v>771.31946716807272</v>
      </c>
      <c r="G55" s="13" t="s">
        <v>45</v>
      </c>
    </row>
    <row r="56" spans="1:11" x14ac:dyDescent="0.25">
      <c r="A56" s="13" t="s">
        <v>210</v>
      </c>
      <c r="B56" s="13"/>
      <c r="C56" s="13"/>
      <c r="D56" s="13"/>
      <c r="E56" s="13"/>
      <c r="F56" s="93">
        <v>711.77061276948893</v>
      </c>
      <c r="G56" s="13" t="s">
        <v>45</v>
      </c>
    </row>
  </sheetData>
  <mergeCells count="39">
    <mergeCell ref="I48:K48"/>
    <mergeCell ref="B39:C39"/>
    <mergeCell ref="D39:E39"/>
    <mergeCell ref="F39:G39"/>
    <mergeCell ref="B40:C40"/>
    <mergeCell ref="D40:E40"/>
    <mergeCell ref="F40:G40"/>
    <mergeCell ref="B41:C41"/>
    <mergeCell ref="D41:E41"/>
    <mergeCell ref="F41:G41"/>
    <mergeCell ref="A42:G42"/>
    <mergeCell ref="A46:G46"/>
    <mergeCell ref="B33:C33"/>
    <mergeCell ref="D33:E33"/>
    <mergeCell ref="F33:G33"/>
    <mergeCell ref="A36:G36"/>
    <mergeCell ref="B38:C38"/>
    <mergeCell ref="D38:E38"/>
    <mergeCell ref="F38:G38"/>
    <mergeCell ref="B30:C30"/>
    <mergeCell ref="D30:E30"/>
    <mergeCell ref="F30:G30"/>
    <mergeCell ref="A31:G31"/>
    <mergeCell ref="B32:C32"/>
    <mergeCell ref="D32:E32"/>
    <mergeCell ref="F32:G32"/>
    <mergeCell ref="B12:C12"/>
    <mergeCell ref="D12:E12"/>
    <mergeCell ref="F12:G12"/>
    <mergeCell ref="A22:G22"/>
    <mergeCell ref="B25:C25"/>
    <mergeCell ref="D25:E25"/>
    <mergeCell ref="F25:G25"/>
    <mergeCell ref="A10:G10"/>
    <mergeCell ref="A1:A2"/>
    <mergeCell ref="B1:C1"/>
    <mergeCell ref="D1:E1"/>
    <mergeCell ref="F1:G1"/>
    <mergeCell ref="A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7"/>
  <sheetViews>
    <sheetView workbookViewId="0">
      <selection activeCell="G10" sqref="G10"/>
    </sheetView>
  </sheetViews>
  <sheetFormatPr defaultRowHeight="15" x14ac:dyDescent="0.25"/>
  <cols>
    <col min="2" max="2" width="18.85546875" bestFit="1" customWidth="1"/>
    <col min="3" max="3" width="12" bestFit="1" customWidth="1"/>
    <col min="5" max="5" width="18.42578125" bestFit="1" customWidth="1"/>
    <col min="6" max="6" width="12" bestFit="1" customWidth="1"/>
    <col min="8" max="8" width="11.5703125" bestFit="1" customWidth="1"/>
  </cols>
  <sheetData>
    <row r="2" spans="2:6" x14ac:dyDescent="0.25">
      <c r="B2" s="180" t="s">
        <v>0</v>
      </c>
      <c r="C2" s="180"/>
      <c r="E2" s="180" t="s">
        <v>1</v>
      </c>
      <c r="F2" s="180"/>
    </row>
    <row r="3" spans="2:6" x14ac:dyDescent="0.25">
      <c r="B3" s="2" t="s">
        <v>2</v>
      </c>
      <c r="C3" s="2" t="s">
        <v>3</v>
      </c>
      <c r="E3" s="3" t="s">
        <v>2</v>
      </c>
      <c r="F3" s="3" t="s">
        <v>4</v>
      </c>
    </row>
    <row r="4" spans="2:6" x14ac:dyDescent="0.25">
      <c r="B4" s="4" t="s">
        <v>5</v>
      </c>
      <c r="C4" s="4">
        <v>0.94996000000000003</v>
      </c>
      <c r="E4" s="5" t="s">
        <v>6</v>
      </c>
      <c r="F4" s="4">
        <f>165/2</f>
        <v>82.5</v>
      </c>
    </row>
    <row r="5" spans="2:6" x14ac:dyDescent="0.25">
      <c r="B5" s="4" t="s">
        <v>7</v>
      </c>
      <c r="C5" s="4">
        <v>0.82804</v>
      </c>
      <c r="E5" s="4" t="s">
        <v>8</v>
      </c>
      <c r="F5" s="4">
        <v>200</v>
      </c>
    </row>
    <row r="6" spans="2:6" x14ac:dyDescent="0.25">
      <c r="B6" s="4" t="s">
        <v>9</v>
      </c>
      <c r="C6" s="4">
        <f>($C$4-$C$5)/2</f>
        <v>6.0960000000000014E-2</v>
      </c>
      <c r="E6" s="4" t="s">
        <v>10</v>
      </c>
      <c r="F6" s="4">
        <f>(PI()/F5)^2+(2.405/F4)^2</f>
        <v>1.0965509456562514E-3</v>
      </c>
    </row>
    <row r="7" spans="2:6" x14ac:dyDescent="0.25">
      <c r="B7" s="4" t="s">
        <v>11</v>
      </c>
      <c r="C7" s="4">
        <v>1.651E-2</v>
      </c>
      <c r="E7" s="180" t="s">
        <v>12</v>
      </c>
      <c r="F7" s="180"/>
    </row>
    <row r="8" spans="2:6" x14ac:dyDescent="0.25">
      <c r="B8" s="4" t="s">
        <v>13</v>
      </c>
      <c r="C8" s="4">
        <v>0.81152999999999997</v>
      </c>
      <c r="E8" s="3" t="s">
        <v>2</v>
      </c>
      <c r="F8" s="3" t="s">
        <v>4</v>
      </c>
    </row>
    <row r="9" spans="2:6" x14ac:dyDescent="0.25">
      <c r="B9" s="4" t="s">
        <v>14</v>
      </c>
      <c r="C9" s="4">
        <v>1.2598400000000001</v>
      </c>
      <c r="E9" s="5" t="s">
        <v>15</v>
      </c>
      <c r="F9" s="4">
        <v>21.417300000000001</v>
      </c>
    </row>
    <row r="10" spans="2:6" x14ac:dyDescent="0.25">
      <c r="B10" s="180" t="s">
        <v>16</v>
      </c>
      <c r="C10" s="180"/>
      <c r="E10" s="4" t="s">
        <v>17</v>
      </c>
      <c r="F10" s="4">
        <v>21.497299999999999</v>
      </c>
    </row>
    <row r="11" spans="2:6" x14ac:dyDescent="0.25">
      <c r="B11" s="6" t="s">
        <v>2</v>
      </c>
      <c r="C11" s="6" t="s">
        <v>4</v>
      </c>
      <c r="E11" s="4" t="s">
        <v>18</v>
      </c>
      <c r="F11" s="4">
        <f>(F10-F9)/2</f>
        <v>3.9999999999999147E-2</v>
      </c>
    </row>
    <row r="12" spans="2:6" x14ac:dyDescent="0.25">
      <c r="B12" s="7" t="s">
        <v>19</v>
      </c>
      <c r="C12" s="7">
        <f>$C$9/SQRT(PI())</f>
        <v>0.7107886049368054</v>
      </c>
      <c r="E12" s="4" t="s">
        <v>20</v>
      </c>
      <c r="F12" s="4">
        <v>200</v>
      </c>
    </row>
    <row r="13" spans="2:6" x14ac:dyDescent="0.25">
      <c r="B13" s="7" t="s">
        <v>21</v>
      </c>
      <c r="C13" s="7">
        <f>$C$4/2</f>
        <v>0.47498000000000001</v>
      </c>
      <c r="E13" s="8" t="s">
        <v>22</v>
      </c>
      <c r="F13" s="8">
        <f>2*F11</f>
        <v>7.9999999999998295E-2</v>
      </c>
    </row>
    <row r="14" spans="2:6" x14ac:dyDescent="0.25">
      <c r="B14" s="7" t="s">
        <v>23</v>
      </c>
      <c r="C14" s="7">
        <f>$C$13-$C$6</f>
        <v>0.41402</v>
      </c>
      <c r="E14" s="180" t="s">
        <v>339</v>
      </c>
      <c r="F14" s="180"/>
    </row>
    <row r="15" spans="2:6" x14ac:dyDescent="0.25">
      <c r="B15" s="7" t="s">
        <v>24</v>
      </c>
      <c r="C15" s="7">
        <f>$C$14-($C$7/2)</f>
        <v>0.40576499999999999</v>
      </c>
      <c r="E15" s="109" t="s">
        <v>2</v>
      </c>
      <c r="F15" s="109" t="s">
        <v>4</v>
      </c>
    </row>
    <row r="16" spans="2:6" x14ac:dyDescent="0.25">
      <c r="B16" s="180" t="s">
        <v>22</v>
      </c>
      <c r="C16" s="180"/>
      <c r="E16" s="5" t="s">
        <v>25</v>
      </c>
      <c r="F16" s="4">
        <f>F17+28</f>
        <v>193</v>
      </c>
    </row>
    <row r="17" spans="2:8" x14ac:dyDescent="0.25">
      <c r="B17" s="9" t="s">
        <v>2</v>
      </c>
      <c r="C17" s="9" t="s">
        <v>4</v>
      </c>
      <c r="E17" s="4" t="s">
        <v>26</v>
      </c>
      <c r="F17" s="4">
        <v>165</v>
      </c>
      <c r="H17" s="88"/>
    </row>
    <row r="18" spans="2:8" x14ac:dyDescent="0.25">
      <c r="B18" s="10" t="s">
        <v>27</v>
      </c>
      <c r="C18" s="10">
        <v>0.81152999999999997</v>
      </c>
      <c r="E18" s="4" t="s">
        <v>28</v>
      </c>
      <c r="F18" s="4">
        <v>14</v>
      </c>
    </row>
    <row r="19" spans="2:8" x14ac:dyDescent="0.25">
      <c r="B19" s="10" t="s">
        <v>29</v>
      </c>
      <c r="C19" s="10">
        <v>1.651E-2</v>
      </c>
      <c r="E19" s="8" t="s">
        <v>22</v>
      </c>
      <c r="F19" s="8">
        <f>2*(F16/2)*(1-(((F17/2)/(F16/2))^2))</f>
        <v>51.937823834196891</v>
      </c>
    </row>
    <row r="20" spans="2:8" x14ac:dyDescent="0.25">
      <c r="B20" s="10" t="s">
        <v>30</v>
      </c>
      <c r="C20" s="10">
        <f>($C$4-$C$5)</f>
        <v>0.12192000000000003</v>
      </c>
      <c r="E20" s="180" t="s">
        <v>341</v>
      </c>
      <c r="F20" s="180"/>
    </row>
    <row r="21" spans="2:8" x14ac:dyDescent="0.25">
      <c r="B21" s="10" t="s">
        <v>31</v>
      </c>
      <c r="C21" s="10">
        <f>4*((C9^2)-(PI()/4*C4^2))/((4*C9)+(PI()*C4))</f>
        <v>0.43791741341351054</v>
      </c>
      <c r="E21" s="92" t="s">
        <v>33</v>
      </c>
      <c r="F21" s="92">
        <v>81</v>
      </c>
    </row>
    <row r="22" spans="2:8" x14ac:dyDescent="0.25">
      <c r="B22" s="186" t="s">
        <v>32</v>
      </c>
      <c r="C22" s="186"/>
      <c r="E22" s="4" t="s">
        <v>342</v>
      </c>
      <c r="F22" s="4">
        <f>F21-F23-F24</f>
        <v>72</v>
      </c>
    </row>
    <row r="23" spans="2:8" x14ac:dyDescent="0.25">
      <c r="B23" s="116">
        <v>1</v>
      </c>
      <c r="C23" s="116">
        <v>0</v>
      </c>
      <c r="E23" s="4" t="s">
        <v>343</v>
      </c>
      <c r="F23" s="4">
        <v>8</v>
      </c>
    </row>
    <row r="24" spans="2:8" x14ac:dyDescent="0.25">
      <c r="B24" s="116">
        <v>2</v>
      </c>
      <c r="C24" s="116">
        <f>$C$32/9</f>
        <v>4.5085E-2</v>
      </c>
      <c r="E24" s="4" t="s">
        <v>344</v>
      </c>
      <c r="F24" s="4">
        <v>1</v>
      </c>
    </row>
    <row r="25" spans="2:8" x14ac:dyDescent="0.25">
      <c r="B25" s="116">
        <v>3</v>
      </c>
      <c r="C25" s="116">
        <f>$C$24*(B25-1)</f>
        <v>9.017E-2</v>
      </c>
      <c r="E25">
        <f>C6/3</f>
        <v>2.0320000000000005E-2</v>
      </c>
    </row>
    <row r="26" spans="2:8" x14ac:dyDescent="0.25">
      <c r="B26" s="116">
        <v>4</v>
      </c>
      <c r="C26" s="116">
        <f t="shared" ref="C26:C30" si="0">$C$24*(B26-1)</f>
        <v>0.13525500000000001</v>
      </c>
    </row>
    <row r="27" spans="2:8" x14ac:dyDescent="0.25">
      <c r="B27" s="116">
        <v>5</v>
      </c>
      <c r="C27" s="116">
        <f t="shared" si="0"/>
        <v>0.18034</v>
      </c>
    </row>
    <row r="28" spans="2:8" x14ac:dyDescent="0.25">
      <c r="B28" s="116">
        <v>6</v>
      </c>
      <c r="C28" s="116">
        <f t="shared" si="0"/>
        <v>0.22542499999999999</v>
      </c>
    </row>
    <row r="29" spans="2:8" x14ac:dyDescent="0.25">
      <c r="B29" s="116">
        <v>7</v>
      </c>
      <c r="C29" s="116">
        <f t="shared" si="0"/>
        <v>0.27051000000000003</v>
      </c>
    </row>
    <row r="30" spans="2:8" x14ac:dyDescent="0.25">
      <c r="B30" s="116">
        <v>8</v>
      </c>
      <c r="C30" s="116">
        <f t="shared" si="0"/>
        <v>0.31559500000000001</v>
      </c>
    </row>
    <row r="31" spans="2:8" x14ac:dyDescent="0.25">
      <c r="B31" s="116">
        <v>9</v>
      </c>
      <c r="C31" s="116">
        <f>$C$24*(B31-1)</f>
        <v>0.36068</v>
      </c>
    </row>
    <row r="32" spans="2:8" x14ac:dyDescent="0.25">
      <c r="B32" s="116">
        <v>10</v>
      </c>
      <c r="C32" s="116">
        <f>C15</f>
        <v>0.40576499999999999</v>
      </c>
    </row>
    <row r="33" spans="2:3" x14ac:dyDescent="0.25">
      <c r="B33" s="117">
        <v>11</v>
      </c>
      <c r="C33" s="117">
        <f>C14</f>
        <v>0.41402</v>
      </c>
    </row>
    <row r="34" spans="2:3" x14ac:dyDescent="0.25">
      <c r="B34" s="11">
        <v>12</v>
      </c>
      <c r="C34" s="11">
        <f>C33+$E$25</f>
        <v>0.43434</v>
      </c>
    </row>
    <row r="35" spans="2:3" x14ac:dyDescent="0.25">
      <c r="B35" s="11">
        <v>13</v>
      </c>
      <c r="C35" s="11">
        <f>C34+$E$25</f>
        <v>0.45466000000000001</v>
      </c>
    </row>
    <row r="36" spans="2:3" x14ac:dyDescent="0.25">
      <c r="B36" s="11">
        <v>14</v>
      </c>
      <c r="C36" s="11">
        <f>C13</f>
        <v>0.47498000000000001</v>
      </c>
    </row>
    <row r="37" spans="2:3" x14ac:dyDescent="0.25">
      <c r="B37" s="112" t="s">
        <v>33</v>
      </c>
      <c r="C37" s="112">
        <v>81</v>
      </c>
    </row>
  </sheetData>
  <mergeCells count="8">
    <mergeCell ref="B22:C22"/>
    <mergeCell ref="B2:C2"/>
    <mergeCell ref="E2:F2"/>
    <mergeCell ref="E7:F7"/>
    <mergeCell ref="B10:C10"/>
    <mergeCell ref="E14:F14"/>
    <mergeCell ref="B16:C16"/>
    <mergeCell ref="E20:F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opLeftCell="O8" workbookViewId="0">
      <selection activeCell="B68" sqref="B68:D68"/>
    </sheetView>
  </sheetViews>
  <sheetFormatPr defaultRowHeight="15" x14ac:dyDescent="0.25"/>
  <cols>
    <col min="1" max="1" width="28.85546875" bestFit="1" customWidth="1"/>
    <col min="4" max="4" width="12" bestFit="1" customWidth="1"/>
    <col min="7" max="7" width="12" bestFit="1" customWidth="1"/>
    <col min="18" max="18" width="19.140625" bestFit="1" customWidth="1"/>
    <col min="19" max="19" width="30" bestFit="1" customWidth="1"/>
  </cols>
  <sheetData>
    <row r="1" spans="1:21" x14ac:dyDescent="0.25">
      <c r="A1" t="s">
        <v>44</v>
      </c>
      <c r="B1">
        <v>772.03899999999999</v>
      </c>
      <c r="C1" t="s">
        <v>45</v>
      </c>
      <c r="D1" t="s">
        <v>284</v>
      </c>
      <c r="F1" t="s">
        <v>299</v>
      </c>
      <c r="G1">
        <f>2*B6*B7</f>
        <v>5.2027287617569842</v>
      </c>
      <c r="R1" s="39"/>
      <c r="S1" t="s">
        <v>205</v>
      </c>
      <c r="T1">
        <v>531.48299999999995</v>
      </c>
      <c r="U1" t="s">
        <v>45</v>
      </c>
    </row>
    <row r="2" spans="1:21" x14ac:dyDescent="0.25">
      <c r="A2" t="s">
        <v>277</v>
      </c>
      <c r="B2">
        <v>557.03899999999999</v>
      </c>
      <c r="C2" t="s">
        <v>45</v>
      </c>
      <c r="D2" t="s">
        <v>334</v>
      </c>
      <c r="F2" t="s">
        <v>301</v>
      </c>
      <c r="G2">
        <f>B12*0.00001/B8</f>
        <v>2.591863517060367E-3</v>
      </c>
      <c r="R2" s="39"/>
      <c r="S2" t="s">
        <v>277</v>
      </c>
      <c r="T2">
        <v>557.03899999999999</v>
      </c>
      <c r="U2" t="s">
        <v>45</v>
      </c>
    </row>
    <row r="3" spans="1:21" x14ac:dyDescent="0.25">
      <c r="A3" t="s">
        <v>278</v>
      </c>
      <c r="B3">
        <v>658.15</v>
      </c>
      <c r="C3" t="s">
        <v>45</v>
      </c>
      <c r="F3" t="s">
        <v>302</v>
      </c>
      <c r="G3">
        <f>B9/((B10^-1)+(B11^-1)-1)</f>
        <v>1.0154290645247896E-12</v>
      </c>
      <c r="R3" s="39"/>
      <c r="S3" t="s">
        <v>310</v>
      </c>
      <c r="T3">
        <f>(2*T2)-T1</f>
        <v>582.59500000000003</v>
      </c>
      <c r="U3" t="s">
        <v>45</v>
      </c>
    </row>
    <row r="4" spans="1:21" x14ac:dyDescent="0.25">
      <c r="A4" t="s">
        <v>279</v>
      </c>
      <c r="B4">
        <v>664.53899999999999</v>
      </c>
      <c r="C4" t="s">
        <v>45</v>
      </c>
      <c r="R4" s="39"/>
      <c r="S4" t="s">
        <v>13</v>
      </c>
      <c r="T4" s="56">
        <f>0.94996/100</f>
        <v>9.4996000000000004E-3</v>
      </c>
      <c r="U4" t="s">
        <v>311</v>
      </c>
    </row>
    <row r="5" spans="1:21" x14ac:dyDescent="0.25">
      <c r="A5" s="4" t="s">
        <v>276</v>
      </c>
      <c r="B5" s="4">
        <f>0.000164042*1000000</f>
        <v>164.042</v>
      </c>
      <c r="C5" s="4" t="s">
        <v>280</v>
      </c>
      <c r="D5" t="s">
        <v>289</v>
      </c>
      <c r="R5" s="39"/>
      <c r="S5" t="s">
        <v>312</v>
      </c>
      <c r="T5">
        <f>B6*T4*2</f>
        <v>5.9687747144083203E-2</v>
      </c>
      <c r="U5" t="s">
        <v>313</v>
      </c>
    </row>
    <row r="6" spans="1:21" x14ac:dyDescent="0.25">
      <c r="A6" s="84" t="s">
        <v>281</v>
      </c>
      <c r="B6">
        <f>PI()</f>
        <v>3.1415926535897931</v>
      </c>
      <c r="R6" s="39"/>
      <c r="S6" t="s">
        <v>315</v>
      </c>
      <c r="T6">
        <v>587.15012339999998</v>
      </c>
      <c r="U6" t="s">
        <v>314</v>
      </c>
    </row>
    <row r="7" spans="1:21" x14ac:dyDescent="0.25">
      <c r="A7" s="84" t="s">
        <v>283</v>
      </c>
      <c r="B7" s="4">
        <v>0.82804</v>
      </c>
      <c r="C7" s="4" t="s">
        <v>154</v>
      </c>
      <c r="D7" t="s">
        <v>282</v>
      </c>
      <c r="R7" s="39"/>
      <c r="S7" t="s">
        <v>316</v>
      </c>
      <c r="T7">
        <v>0.82296000000000002</v>
      </c>
      <c r="U7" t="s">
        <v>317</v>
      </c>
    </row>
    <row r="8" spans="1:21" x14ac:dyDescent="0.25">
      <c r="A8" s="84" t="s">
        <v>285</v>
      </c>
      <c r="B8" s="4">
        <v>6.0960000000000014E-2</v>
      </c>
      <c r="C8" s="4" t="s">
        <v>154</v>
      </c>
      <c r="D8" t="s">
        <v>291</v>
      </c>
      <c r="R8" s="39"/>
      <c r="S8" t="s">
        <v>318</v>
      </c>
    </row>
    <row r="9" spans="1:21" x14ac:dyDescent="0.25">
      <c r="A9" s="84" t="s">
        <v>286</v>
      </c>
      <c r="B9" s="85">
        <f>0.00000005670367/10000</f>
        <v>5.6703669999999993E-12</v>
      </c>
      <c r="C9" s="84" t="s">
        <v>347</v>
      </c>
      <c r="D9" t="s">
        <v>290</v>
      </c>
      <c r="R9" s="39"/>
      <c r="S9" t="s">
        <v>277</v>
      </c>
      <c r="T9">
        <v>557.03899999999999</v>
      </c>
      <c r="U9" t="s">
        <v>45</v>
      </c>
    </row>
    <row r="10" spans="1:21" x14ac:dyDescent="0.25">
      <c r="A10" s="84" t="s">
        <v>287</v>
      </c>
      <c r="B10" s="84">
        <v>0.87</v>
      </c>
      <c r="D10" t="s">
        <v>292</v>
      </c>
      <c r="E10" t="s">
        <v>294</v>
      </c>
      <c r="R10" s="39"/>
      <c r="S10" t="s">
        <v>319</v>
      </c>
      <c r="T10">
        <v>1850</v>
      </c>
      <c r="U10" t="s">
        <v>51</v>
      </c>
    </row>
    <row r="11" spans="1:21" x14ac:dyDescent="0.25">
      <c r="A11" s="84" t="s">
        <v>288</v>
      </c>
      <c r="B11" s="84">
        <v>0.184</v>
      </c>
      <c r="D11" t="s">
        <v>293</v>
      </c>
      <c r="E11" t="s">
        <v>295</v>
      </c>
      <c r="R11" s="39"/>
      <c r="S11" t="s">
        <v>73</v>
      </c>
      <c r="T11">
        <v>753.20399999999995</v>
      </c>
      <c r="U11" t="s">
        <v>320</v>
      </c>
    </row>
    <row r="12" spans="1:21" x14ac:dyDescent="0.25">
      <c r="A12" s="84" t="s">
        <v>296</v>
      </c>
      <c r="B12" s="84">
        <v>15.8</v>
      </c>
      <c r="R12" s="39"/>
      <c r="S12" t="s">
        <v>321</v>
      </c>
      <c r="T12" s="85">
        <v>9.3751000000000004E-5</v>
      </c>
      <c r="U12" t="s">
        <v>322</v>
      </c>
    </row>
    <row r="13" spans="1:21" x14ac:dyDescent="0.25">
      <c r="R13" s="39"/>
      <c r="S13" t="s">
        <v>325</v>
      </c>
      <c r="T13">
        <v>5.2000599999999997</v>
      </c>
      <c r="U13" t="s">
        <v>324</v>
      </c>
    </row>
    <row r="14" spans="1:21" x14ac:dyDescent="0.25">
      <c r="A14" s="187" t="s">
        <v>309</v>
      </c>
      <c r="B14" s="187"/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39"/>
      <c r="S14" t="s">
        <v>323</v>
      </c>
      <c r="T14">
        <v>4.6342128000000002</v>
      </c>
      <c r="U14" t="s">
        <v>326</v>
      </c>
    </row>
    <row r="15" spans="1:21" x14ac:dyDescent="0.25">
      <c r="A15" s="187" t="s">
        <v>298</v>
      </c>
      <c r="B15" s="187" t="s">
        <v>304</v>
      </c>
      <c r="C15" s="187"/>
      <c r="D15" s="187"/>
      <c r="E15" s="187"/>
      <c r="F15" s="187"/>
      <c r="G15" s="187" t="s">
        <v>305</v>
      </c>
      <c r="H15" s="187"/>
      <c r="I15" s="187"/>
      <c r="J15" s="187"/>
      <c r="K15" s="187"/>
      <c r="L15" s="187" t="s">
        <v>306</v>
      </c>
      <c r="M15" s="187"/>
      <c r="N15" s="187"/>
      <c r="O15" s="187"/>
      <c r="P15" s="187"/>
      <c r="Q15" s="111" t="s">
        <v>307</v>
      </c>
      <c r="R15" s="39"/>
    </row>
    <row r="16" spans="1:21" x14ac:dyDescent="0.25">
      <c r="A16" s="187"/>
      <c r="B16" t="s">
        <v>297</v>
      </c>
      <c r="C16" t="s">
        <v>308</v>
      </c>
      <c r="D16" t="s">
        <v>348</v>
      </c>
      <c r="E16" t="s">
        <v>300</v>
      </c>
      <c r="F16" t="s">
        <v>303</v>
      </c>
      <c r="G16" t="s">
        <v>297</v>
      </c>
      <c r="H16" t="s">
        <v>308</v>
      </c>
      <c r="I16" t="s">
        <v>296</v>
      </c>
      <c r="J16" t="s">
        <v>300</v>
      </c>
      <c r="K16" t="s">
        <v>303</v>
      </c>
      <c r="L16" t="s">
        <v>297</v>
      </c>
      <c r="M16" t="s">
        <v>308</v>
      </c>
      <c r="N16" t="s">
        <v>296</v>
      </c>
      <c r="O16" t="s">
        <v>300</v>
      </c>
      <c r="P16" t="s">
        <v>303</v>
      </c>
      <c r="R16" s="39"/>
      <c r="S16" t="s">
        <v>331</v>
      </c>
    </row>
    <row r="17" spans="1:21" x14ac:dyDescent="0.25">
      <c r="A17">
        <v>1</v>
      </c>
      <c r="B17">
        <v>600</v>
      </c>
      <c r="C17">
        <f>($B$1+B17)/2</f>
        <v>686.01949999999999</v>
      </c>
      <c r="D17">
        <f>$G$2*C17^0.79</f>
        <v>0.45114685326705301</v>
      </c>
      <c r="E17">
        <f t="shared" ref="E17:E66" si="0">($B$1^4-B17^4)/($B$1-B17)</f>
        <v>1311729952.1632953</v>
      </c>
      <c r="F17">
        <f t="shared" ref="F17:F66" si="1">$B$1-($B$5/($G$1*(D17+($G$3*E17))))-B17</f>
        <v>102.35619675839087</v>
      </c>
      <c r="G17">
        <f t="shared" ref="G17:G66" si="2">(B17+L17)/2</f>
        <v>700</v>
      </c>
      <c r="H17">
        <f>($B$1+G17)/2</f>
        <v>736.01949999999999</v>
      </c>
      <c r="I17">
        <f>$G$2*H17^0.79</f>
        <v>0.47693005545662226</v>
      </c>
      <c r="J17">
        <f t="shared" ref="J17:J66" si="3">($B$1^4-G17^4)/($B$1-G17)</f>
        <v>1598699443.9153953</v>
      </c>
      <c r="K17">
        <f t="shared" ref="K17:K66" si="4">$B$1-($B$5/($G$1*(I17+($G$3*J17))))-G17</f>
        <v>6.1529540173405621</v>
      </c>
      <c r="L17">
        <v>800</v>
      </c>
      <c r="M17">
        <f>($B$1+L17)/2</f>
        <v>786.01949999999999</v>
      </c>
      <c r="N17">
        <f>$G$2*M17^0.79</f>
        <v>0.50234773880358363</v>
      </c>
      <c r="O17">
        <f t="shared" ref="O17:O66" si="5">($B$1^4-L17^4)/($B$1-L17)</f>
        <v>1943109715.6674957</v>
      </c>
      <c r="P17">
        <f t="shared" ref="P17:P66" si="6">$B$1-($B$5/($G$1*(N17+($G$3*O17))))-L17</f>
        <v>-90.480711496233084</v>
      </c>
      <c r="R17" s="39"/>
      <c r="T17" t="s">
        <v>327</v>
      </c>
      <c r="U17" s="85">
        <f>T11*T7*T4/T12</f>
        <v>62808.837385995495</v>
      </c>
    </row>
    <row r="18" spans="1:21" x14ac:dyDescent="0.25">
      <c r="A18">
        <v>2</v>
      </c>
      <c r="B18">
        <f t="shared" ref="B18:B66" si="7">IF(F17*K17&gt;0,G17,B17)</f>
        <v>700</v>
      </c>
      <c r="C18">
        <f t="shared" ref="C18:C66" si="8">($B$1+B18)/2</f>
        <v>736.01949999999999</v>
      </c>
      <c r="D18">
        <f t="shared" ref="D18:D66" si="9">$G$2*C18^0.79</f>
        <v>0.47693005545662226</v>
      </c>
      <c r="E18">
        <f t="shared" si="0"/>
        <v>1598699443.9153953</v>
      </c>
      <c r="F18">
        <f t="shared" si="1"/>
        <v>6.1529540173405621</v>
      </c>
      <c r="G18">
        <f t="shared" si="2"/>
        <v>750</v>
      </c>
      <c r="H18">
        <f t="shared" ref="H18:H66" si="10">($B$1+G18)/2</f>
        <v>761.01949999999999</v>
      </c>
      <c r="I18">
        <f t="shared" ref="I18:I66" si="11">$G$2*H18^0.79</f>
        <v>0.48968274253804794</v>
      </c>
      <c r="J18">
        <f t="shared" si="3"/>
        <v>1763349482.2914448</v>
      </c>
      <c r="K18">
        <f t="shared" si="4"/>
        <v>-42.115029927897353</v>
      </c>
      <c r="L18">
        <f t="shared" ref="L18:L66" si="12">IF(K17*P17&lt;0,L17,G17)</f>
        <v>800</v>
      </c>
      <c r="M18">
        <f t="shared" ref="M18:M66" si="13">($B$1+L18)/2</f>
        <v>786.01949999999999</v>
      </c>
      <c r="N18">
        <f t="shared" ref="N18:N66" si="14">$G$2*M18^0.79</f>
        <v>0.50234773880358363</v>
      </c>
      <c r="O18">
        <f t="shared" si="5"/>
        <v>1943109715.6674957</v>
      </c>
      <c r="P18">
        <f t="shared" si="6"/>
        <v>-90.480711496233084</v>
      </c>
      <c r="Q18">
        <f>G18-G17</f>
        <v>50</v>
      </c>
      <c r="R18" s="39"/>
      <c r="T18" t="s">
        <v>328</v>
      </c>
      <c r="U18" s="85">
        <f>T13*T12/T14</f>
        <v>1.0519819570219131E-4</v>
      </c>
    </row>
    <row r="19" spans="1:21" x14ac:dyDescent="0.25">
      <c r="A19">
        <v>3</v>
      </c>
      <c r="B19">
        <f t="shared" si="7"/>
        <v>700</v>
      </c>
      <c r="C19">
        <f t="shared" si="8"/>
        <v>736.01949999999999</v>
      </c>
      <c r="D19">
        <f t="shared" si="9"/>
        <v>0.47693005545662226</v>
      </c>
      <c r="E19">
        <f t="shared" si="0"/>
        <v>1598699443.9153953</v>
      </c>
      <c r="F19">
        <f t="shared" si="1"/>
        <v>6.1529540173405621</v>
      </c>
      <c r="G19">
        <f t="shared" si="2"/>
        <v>725</v>
      </c>
      <c r="H19">
        <f t="shared" si="10"/>
        <v>748.51949999999999</v>
      </c>
      <c r="I19">
        <f t="shared" si="11"/>
        <v>0.48331758023202565</v>
      </c>
      <c r="J19">
        <f t="shared" si="3"/>
        <v>1679182563.72842</v>
      </c>
      <c r="K19">
        <f t="shared" si="4"/>
        <v>-17.968255552851588</v>
      </c>
      <c r="L19">
        <f t="shared" si="12"/>
        <v>750</v>
      </c>
      <c r="M19">
        <f t="shared" si="13"/>
        <v>761.01949999999999</v>
      </c>
      <c r="N19">
        <f t="shared" si="14"/>
        <v>0.48968274253804794</v>
      </c>
      <c r="O19">
        <f t="shared" si="5"/>
        <v>1763349482.2914448</v>
      </c>
      <c r="P19">
        <f t="shared" si="6"/>
        <v>-42.115029927897353</v>
      </c>
      <c r="Q19">
        <f t="shared" ref="Q19:Q66" si="15">G19-G18</f>
        <v>-25</v>
      </c>
      <c r="R19" s="39"/>
      <c r="T19" t="s">
        <v>329</v>
      </c>
      <c r="U19" s="85">
        <f>0.0023*U17^0.8*U18^0.4</f>
        <v>0.40639443858002228</v>
      </c>
    </row>
    <row r="20" spans="1:21" x14ac:dyDescent="0.25">
      <c r="A20">
        <v>4</v>
      </c>
      <c r="B20">
        <f t="shared" si="7"/>
        <v>700</v>
      </c>
      <c r="C20">
        <f t="shared" si="8"/>
        <v>736.01949999999999</v>
      </c>
      <c r="D20">
        <f t="shared" si="9"/>
        <v>0.47693005545662226</v>
      </c>
      <c r="E20">
        <f t="shared" si="0"/>
        <v>1598699443.9153953</v>
      </c>
      <c r="F20">
        <f t="shared" si="1"/>
        <v>6.1529540173405621</v>
      </c>
      <c r="G20">
        <f t="shared" si="2"/>
        <v>712.5</v>
      </c>
      <c r="H20">
        <f t="shared" si="10"/>
        <v>742.26949999999999</v>
      </c>
      <c r="I20">
        <f t="shared" si="11"/>
        <v>0.48012664152681128</v>
      </c>
      <c r="J20">
        <f t="shared" si="3"/>
        <v>1638486388.3531575</v>
      </c>
      <c r="K20">
        <f t="shared" si="4"/>
        <v>-5.9043799116145692</v>
      </c>
      <c r="L20">
        <f t="shared" si="12"/>
        <v>725</v>
      </c>
      <c r="M20">
        <f t="shared" si="13"/>
        <v>748.51949999999999</v>
      </c>
      <c r="N20">
        <f t="shared" si="14"/>
        <v>0.48331758023202565</v>
      </c>
      <c r="O20">
        <f t="shared" si="5"/>
        <v>1679182563.72842</v>
      </c>
      <c r="P20">
        <f t="shared" si="6"/>
        <v>-17.968255552851588</v>
      </c>
      <c r="Q20">
        <f t="shared" si="15"/>
        <v>-12.5</v>
      </c>
      <c r="R20" s="39"/>
    </row>
    <row r="21" spans="1:21" x14ac:dyDescent="0.25">
      <c r="A21">
        <v>5</v>
      </c>
      <c r="B21">
        <f t="shared" si="7"/>
        <v>700</v>
      </c>
      <c r="C21">
        <f t="shared" si="8"/>
        <v>736.01949999999999</v>
      </c>
      <c r="D21">
        <f t="shared" si="9"/>
        <v>0.47693005545662226</v>
      </c>
      <c r="E21">
        <f t="shared" si="0"/>
        <v>1598699443.9153953</v>
      </c>
      <c r="F21">
        <f t="shared" si="1"/>
        <v>6.1529540173405621</v>
      </c>
      <c r="G21">
        <f t="shared" si="2"/>
        <v>706.25</v>
      </c>
      <c r="H21">
        <f t="shared" si="10"/>
        <v>739.14449999999999</v>
      </c>
      <c r="I21">
        <f t="shared" si="11"/>
        <v>0.47852905801684231</v>
      </c>
      <c r="J21">
        <f t="shared" si="3"/>
        <v>1618479994.6889639</v>
      </c>
      <c r="K21">
        <f t="shared" si="4"/>
        <v>0.12511443773564679</v>
      </c>
      <c r="L21">
        <f t="shared" si="12"/>
        <v>712.5</v>
      </c>
      <c r="M21">
        <f t="shared" si="13"/>
        <v>742.26949999999999</v>
      </c>
      <c r="N21">
        <f t="shared" si="14"/>
        <v>0.48012664152681128</v>
      </c>
      <c r="O21">
        <f t="shared" si="5"/>
        <v>1638486388.3531575</v>
      </c>
      <c r="P21">
        <f t="shared" si="6"/>
        <v>-5.9043799116145692</v>
      </c>
      <c r="Q21">
        <f t="shared" si="15"/>
        <v>-6.25</v>
      </c>
      <c r="R21" s="39"/>
      <c r="T21" t="s">
        <v>330</v>
      </c>
      <c r="U21" s="66">
        <f>U19*T14/T4</f>
        <v>198.25238000719537</v>
      </c>
    </row>
    <row r="22" spans="1:21" x14ac:dyDescent="0.25">
      <c r="A22">
        <v>6</v>
      </c>
      <c r="B22">
        <f t="shared" si="7"/>
        <v>706.25</v>
      </c>
      <c r="C22">
        <f t="shared" si="8"/>
        <v>739.14449999999999</v>
      </c>
      <c r="D22">
        <f t="shared" si="9"/>
        <v>0.47852905801684231</v>
      </c>
      <c r="E22">
        <f t="shared" si="0"/>
        <v>1618479994.6889639</v>
      </c>
      <c r="F22">
        <f t="shared" si="1"/>
        <v>0.12511443773564679</v>
      </c>
      <c r="G22">
        <f t="shared" si="2"/>
        <v>709.375</v>
      </c>
      <c r="H22">
        <f t="shared" si="10"/>
        <v>740.70699999999999</v>
      </c>
      <c r="I22">
        <f t="shared" si="11"/>
        <v>0.47932802669992081</v>
      </c>
      <c r="J22">
        <f t="shared" si="3"/>
        <v>1628454869.6069982</v>
      </c>
      <c r="K22">
        <f t="shared" si="4"/>
        <v>-2.889427111666464</v>
      </c>
      <c r="L22">
        <f t="shared" si="12"/>
        <v>712.5</v>
      </c>
      <c r="M22">
        <f t="shared" si="13"/>
        <v>742.26949999999999</v>
      </c>
      <c r="N22">
        <f t="shared" si="14"/>
        <v>0.48012664152681128</v>
      </c>
      <c r="O22">
        <f t="shared" si="5"/>
        <v>1638486388.3531575</v>
      </c>
      <c r="P22">
        <f t="shared" si="6"/>
        <v>-5.9043799116145692</v>
      </c>
      <c r="Q22">
        <f t="shared" si="15"/>
        <v>3.125</v>
      </c>
      <c r="R22" s="39"/>
    </row>
    <row r="23" spans="1:21" x14ac:dyDescent="0.25">
      <c r="A23">
        <v>7</v>
      </c>
      <c r="B23">
        <f t="shared" si="7"/>
        <v>706.25</v>
      </c>
      <c r="C23">
        <f t="shared" si="8"/>
        <v>739.14449999999999</v>
      </c>
      <c r="D23">
        <f t="shared" si="9"/>
        <v>0.47852905801684231</v>
      </c>
      <c r="E23">
        <f t="shared" si="0"/>
        <v>1618479994.6889639</v>
      </c>
      <c r="F23">
        <f t="shared" si="1"/>
        <v>0.12511443773564679</v>
      </c>
      <c r="G23">
        <f t="shared" si="2"/>
        <v>707.8125</v>
      </c>
      <c r="H23">
        <f t="shared" si="10"/>
        <v>739.92574999999999</v>
      </c>
      <c r="I23">
        <f t="shared" si="11"/>
        <v>0.4789285866468882</v>
      </c>
      <c r="J23">
        <f t="shared" si="3"/>
        <v>1623460363.1135576</v>
      </c>
      <c r="K23">
        <f t="shared" si="4"/>
        <v>-1.3821047787930638</v>
      </c>
      <c r="L23">
        <f t="shared" si="12"/>
        <v>709.375</v>
      </c>
      <c r="M23">
        <f t="shared" si="13"/>
        <v>740.70699999999999</v>
      </c>
      <c r="N23">
        <f t="shared" si="14"/>
        <v>0.47932802669992081</v>
      </c>
      <c r="O23">
        <f t="shared" si="5"/>
        <v>1628454869.6069982</v>
      </c>
      <c r="P23">
        <f t="shared" si="6"/>
        <v>-2.889427111666464</v>
      </c>
      <c r="Q23">
        <f t="shared" si="15"/>
        <v>-1.5625</v>
      </c>
      <c r="R23" s="39"/>
      <c r="S23" t="s">
        <v>332</v>
      </c>
    </row>
    <row r="24" spans="1:21" x14ac:dyDescent="0.25">
      <c r="A24">
        <v>8</v>
      </c>
      <c r="B24">
        <f t="shared" si="7"/>
        <v>706.25</v>
      </c>
      <c r="C24">
        <f t="shared" si="8"/>
        <v>739.14449999999999</v>
      </c>
      <c r="D24">
        <f t="shared" si="9"/>
        <v>0.47852905801684231</v>
      </c>
      <c r="E24">
        <f t="shared" si="0"/>
        <v>1618479994.6889639</v>
      </c>
      <c r="F24">
        <f t="shared" si="1"/>
        <v>0.12511443773564679</v>
      </c>
      <c r="G24">
        <f t="shared" si="2"/>
        <v>707.03125</v>
      </c>
      <c r="H24">
        <f t="shared" si="10"/>
        <v>739.53512499999999</v>
      </c>
      <c r="I24">
        <f t="shared" si="11"/>
        <v>0.47872883341106642</v>
      </c>
      <c r="J24">
        <f t="shared" si="3"/>
        <v>1620968413.0731661</v>
      </c>
      <c r="K24">
        <f t="shared" si="4"/>
        <v>-0.62848226193739265</v>
      </c>
      <c r="L24">
        <f t="shared" si="12"/>
        <v>707.8125</v>
      </c>
      <c r="M24">
        <f t="shared" si="13"/>
        <v>739.92574999999999</v>
      </c>
      <c r="N24">
        <f t="shared" si="14"/>
        <v>0.4789285866468882</v>
      </c>
      <c r="O24">
        <f t="shared" si="5"/>
        <v>1623460363.1135576</v>
      </c>
      <c r="P24">
        <f t="shared" si="6"/>
        <v>-1.3821047787930638</v>
      </c>
      <c r="Q24">
        <f t="shared" si="15"/>
        <v>-0.78125</v>
      </c>
      <c r="R24" s="39"/>
      <c r="T24" t="s">
        <v>333</v>
      </c>
      <c r="U24">
        <f>(B5/(2*B6*T4/2*U21))+B2</f>
        <v>584.76463198510032</v>
      </c>
    </row>
    <row r="25" spans="1:21" x14ac:dyDescent="0.25">
      <c r="A25">
        <v>9</v>
      </c>
      <c r="B25">
        <f t="shared" si="7"/>
        <v>706.25</v>
      </c>
      <c r="C25">
        <f t="shared" si="8"/>
        <v>739.14449999999999</v>
      </c>
      <c r="D25">
        <f t="shared" si="9"/>
        <v>0.47852905801684231</v>
      </c>
      <c r="E25">
        <f t="shared" si="0"/>
        <v>1618479994.6889639</v>
      </c>
      <c r="F25">
        <f t="shared" si="1"/>
        <v>0.12511443773564679</v>
      </c>
      <c r="G25">
        <f t="shared" si="2"/>
        <v>706.640625</v>
      </c>
      <c r="H25">
        <f t="shared" si="10"/>
        <v>739.33981249999999</v>
      </c>
      <c r="I25">
        <f t="shared" si="11"/>
        <v>0.47862894848464027</v>
      </c>
      <c r="J25">
        <f t="shared" si="3"/>
        <v>1619723762.6028552</v>
      </c>
      <c r="K25">
        <f t="shared" si="4"/>
        <v>-0.25168068256778042</v>
      </c>
      <c r="L25">
        <f t="shared" si="12"/>
        <v>707.03125</v>
      </c>
      <c r="M25">
        <f t="shared" si="13"/>
        <v>739.53512499999999</v>
      </c>
      <c r="N25">
        <f t="shared" si="14"/>
        <v>0.47872883341106642</v>
      </c>
      <c r="O25">
        <f t="shared" si="5"/>
        <v>1620968413.0731661</v>
      </c>
      <c r="P25">
        <f t="shared" si="6"/>
        <v>-0.62848226193739265</v>
      </c>
      <c r="Q25">
        <f t="shared" si="15"/>
        <v>-0.390625</v>
      </c>
      <c r="R25" s="39"/>
    </row>
    <row r="26" spans="1:21" x14ac:dyDescent="0.25">
      <c r="A26">
        <v>10</v>
      </c>
      <c r="B26">
        <f t="shared" si="7"/>
        <v>706.25</v>
      </c>
      <c r="C26">
        <f t="shared" si="8"/>
        <v>739.14449999999999</v>
      </c>
      <c r="D26">
        <f t="shared" si="9"/>
        <v>0.47852905801684231</v>
      </c>
      <c r="E26">
        <f t="shared" si="0"/>
        <v>1618479994.6889639</v>
      </c>
      <c r="F26">
        <f t="shared" si="1"/>
        <v>0.12511443773564679</v>
      </c>
      <c r="G26">
        <f t="shared" si="2"/>
        <v>706.4453125</v>
      </c>
      <c r="H26">
        <f t="shared" si="10"/>
        <v>739.24215624999999</v>
      </c>
      <c r="I26">
        <f t="shared" si="11"/>
        <v>0.47857900394352332</v>
      </c>
      <c r="J26">
        <f t="shared" si="3"/>
        <v>1619101768.3487089</v>
      </c>
      <c r="K26">
        <f t="shared" si="4"/>
        <v>-6.328231473435153E-2</v>
      </c>
      <c r="L26">
        <f t="shared" si="12"/>
        <v>706.640625</v>
      </c>
      <c r="M26">
        <f t="shared" si="13"/>
        <v>739.33981249999999</v>
      </c>
      <c r="N26">
        <f t="shared" si="14"/>
        <v>0.47862894848464027</v>
      </c>
      <c r="O26">
        <f t="shared" si="5"/>
        <v>1619723762.6028552</v>
      </c>
      <c r="P26">
        <f t="shared" si="6"/>
        <v>-0.25168068256778042</v>
      </c>
      <c r="Q26">
        <f t="shared" si="15"/>
        <v>-0.1953125</v>
      </c>
      <c r="R26" s="39"/>
      <c r="S26" t="s">
        <v>335</v>
      </c>
      <c r="T26">
        <f>(G66+U24)/2</f>
        <v>645.57216968162379</v>
      </c>
    </row>
    <row r="27" spans="1:21" x14ac:dyDescent="0.25">
      <c r="A27">
        <v>11</v>
      </c>
      <c r="B27">
        <f t="shared" si="7"/>
        <v>706.25</v>
      </c>
      <c r="C27">
        <f t="shared" si="8"/>
        <v>739.14449999999999</v>
      </c>
      <c r="D27">
        <f t="shared" si="9"/>
        <v>0.47852905801684231</v>
      </c>
      <c r="E27">
        <f t="shared" si="0"/>
        <v>1618479994.6889639</v>
      </c>
      <c r="F27">
        <f t="shared" si="1"/>
        <v>0.12511443773564679</v>
      </c>
      <c r="G27">
        <f t="shared" si="2"/>
        <v>706.34765625</v>
      </c>
      <c r="H27">
        <f t="shared" si="10"/>
        <v>739.19332812499999</v>
      </c>
      <c r="I27">
        <f t="shared" si="11"/>
        <v>0.47855403115339246</v>
      </c>
      <c r="J27">
        <f t="shared" si="3"/>
        <v>1618790853.9473302</v>
      </c>
      <c r="K27">
        <f t="shared" si="4"/>
        <v>3.0916263458379944E-2</v>
      </c>
      <c r="L27">
        <f t="shared" si="12"/>
        <v>706.4453125</v>
      </c>
      <c r="M27">
        <f t="shared" si="13"/>
        <v>739.24215624999999</v>
      </c>
      <c r="N27">
        <f t="shared" si="14"/>
        <v>0.47857900394352332</v>
      </c>
      <c r="O27">
        <f t="shared" si="5"/>
        <v>1619101768.3487089</v>
      </c>
      <c r="P27">
        <f t="shared" si="6"/>
        <v>-6.328231473435153E-2</v>
      </c>
      <c r="Q27">
        <f t="shared" si="15"/>
        <v>-9.765625E-2</v>
      </c>
      <c r="R27" s="39"/>
    </row>
    <row r="28" spans="1:21" x14ac:dyDescent="0.25">
      <c r="A28">
        <v>12</v>
      </c>
      <c r="B28">
        <f t="shared" si="7"/>
        <v>706.34765625</v>
      </c>
      <c r="C28">
        <f t="shared" si="8"/>
        <v>739.19332812499999</v>
      </c>
      <c r="D28">
        <f t="shared" si="9"/>
        <v>0.47855403115339246</v>
      </c>
      <c r="E28">
        <f t="shared" si="0"/>
        <v>1618790853.9473302</v>
      </c>
      <c r="F28">
        <f t="shared" si="1"/>
        <v>3.0916263458379944E-2</v>
      </c>
      <c r="G28">
        <f t="shared" si="2"/>
        <v>706.396484375</v>
      </c>
      <c r="H28">
        <f t="shared" si="10"/>
        <v>739.21774218749999</v>
      </c>
      <c r="I28">
        <f t="shared" si="11"/>
        <v>0.47856651759175822</v>
      </c>
      <c r="J28">
        <f t="shared" si="3"/>
        <v>1618946304.2547936</v>
      </c>
      <c r="K28">
        <f t="shared" si="4"/>
        <v>-1.6182975153242296E-2</v>
      </c>
      <c r="L28">
        <f t="shared" si="12"/>
        <v>706.4453125</v>
      </c>
      <c r="M28">
        <f t="shared" si="13"/>
        <v>739.24215624999999</v>
      </c>
      <c r="N28">
        <f t="shared" si="14"/>
        <v>0.47857900394352332</v>
      </c>
      <c r="O28">
        <f t="shared" si="5"/>
        <v>1619101768.3487089</v>
      </c>
      <c r="P28">
        <f t="shared" si="6"/>
        <v>-6.328231473435153E-2</v>
      </c>
      <c r="Q28">
        <f t="shared" si="15"/>
        <v>4.8828125E-2</v>
      </c>
      <c r="R28" s="39"/>
    </row>
    <row r="29" spans="1:21" x14ac:dyDescent="0.25">
      <c r="A29">
        <v>13</v>
      </c>
      <c r="B29">
        <f t="shared" si="7"/>
        <v>706.34765625</v>
      </c>
      <c r="C29">
        <f t="shared" si="8"/>
        <v>739.19332812499999</v>
      </c>
      <c r="D29">
        <f t="shared" si="9"/>
        <v>0.47855403115339246</v>
      </c>
      <c r="E29">
        <f t="shared" si="0"/>
        <v>1618790853.9473302</v>
      </c>
      <c r="F29">
        <f t="shared" si="1"/>
        <v>3.0916263458379944E-2</v>
      </c>
      <c r="G29">
        <f t="shared" si="2"/>
        <v>706.3720703125</v>
      </c>
      <c r="H29">
        <f t="shared" si="10"/>
        <v>739.20553515624999</v>
      </c>
      <c r="I29">
        <f t="shared" si="11"/>
        <v>0.4785602743834006</v>
      </c>
      <c r="J29">
        <f t="shared" si="3"/>
        <v>1618868577.377799</v>
      </c>
      <c r="K29">
        <f t="shared" si="4"/>
        <v>7.3666567743657652E-3</v>
      </c>
      <c r="L29">
        <f t="shared" si="12"/>
        <v>706.396484375</v>
      </c>
      <c r="M29">
        <f t="shared" si="13"/>
        <v>739.21774218749999</v>
      </c>
      <c r="N29">
        <f t="shared" si="14"/>
        <v>0.47856651759175822</v>
      </c>
      <c r="O29">
        <f t="shared" si="5"/>
        <v>1618946304.2547936</v>
      </c>
      <c r="P29">
        <f t="shared" si="6"/>
        <v>-1.6182975153242296E-2</v>
      </c>
      <c r="Q29">
        <f t="shared" si="15"/>
        <v>-2.44140625E-2</v>
      </c>
      <c r="R29" s="39"/>
    </row>
    <row r="30" spans="1:21" x14ac:dyDescent="0.25">
      <c r="A30">
        <v>14</v>
      </c>
      <c r="B30">
        <f t="shared" si="7"/>
        <v>706.3720703125</v>
      </c>
      <c r="C30">
        <f t="shared" si="8"/>
        <v>739.20553515624999</v>
      </c>
      <c r="D30">
        <f t="shared" si="9"/>
        <v>0.4785602743834006</v>
      </c>
      <c r="E30">
        <f t="shared" si="0"/>
        <v>1618868577.377799</v>
      </c>
      <c r="F30">
        <f t="shared" si="1"/>
        <v>7.3666567743657652E-3</v>
      </c>
      <c r="G30">
        <f t="shared" si="2"/>
        <v>706.38427734375</v>
      </c>
      <c r="H30">
        <f t="shared" si="10"/>
        <v>739.21163867187499</v>
      </c>
      <c r="I30">
        <f t="shared" si="11"/>
        <v>0.4785633959902858</v>
      </c>
      <c r="J30">
        <f t="shared" si="3"/>
        <v>1618907440.3854754</v>
      </c>
      <c r="K30">
        <f t="shared" si="4"/>
        <v>-4.4081560340600845E-3</v>
      </c>
      <c r="L30">
        <f t="shared" si="12"/>
        <v>706.396484375</v>
      </c>
      <c r="M30">
        <f t="shared" si="13"/>
        <v>739.21774218749999</v>
      </c>
      <c r="N30">
        <f t="shared" si="14"/>
        <v>0.47856651759175822</v>
      </c>
      <c r="O30">
        <f t="shared" si="5"/>
        <v>1618946304.2547936</v>
      </c>
      <c r="P30">
        <f t="shared" si="6"/>
        <v>-1.6182975153242296E-2</v>
      </c>
      <c r="Q30">
        <f t="shared" si="15"/>
        <v>1.220703125E-2</v>
      </c>
      <c r="R30" s="39"/>
    </row>
    <row r="31" spans="1:21" x14ac:dyDescent="0.25">
      <c r="A31">
        <v>15</v>
      </c>
      <c r="B31">
        <f t="shared" si="7"/>
        <v>706.3720703125</v>
      </c>
      <c r="C31">
        <f t="shared" si="8"/>
        <v>739.20553515624999</v>
      </c>
      <c r="D31">
        <f t="shared" si="9"/>
        <v>0.4785602743834006</v>
      </c>
      <c r="E31">
        <f t="shared" si="0"/>
        <v>1618868577.377799</v>
      </c>
      <c r="F31">
        <f t="shared" si="1"/>
        <v>7.3666567743657652E-3</v>
      </c>
      <c r="G31">
        <f t="shared" si="2"/>
        <v>706.378173828125</v>
      </c>
      <c r="H31">
        <f t="shared" si="10"/>
        <v>739.20858691406249</v>
      </c>
      <c r="I31">
        <f t="shared" si="11"/>
        <v>0.47856183518751977</v>
      </c>
      <c r="J31">
        <f t="shared" si="3"/>
        <v>1618888008.7739325</v>
      </c>
      <c r="K31">
        <f t="shared" si="4"/>
        <v>1.4792511590258073E-3</v>
      </c>
      <c r="L31">
        <f t="shared" si="12"/>
        <v>706.38427734375</v>
      </c>
      <c r="M31">
        <f t="shared" si="13"/>
        <v>739.21163867187499</v>
      </c>
      <c r="N31">
        <f t="shared" si="14"/>
        <v>0.4785633959902858</v>
      </c>
      <c r="O31">
        <f t="shared" si="5"/>
        <v>1618907440.3854754</v>
      </c>
      <c r="P31">
        <f t="shared" si="6"/>
        <v>-4.4081560340600845E-3</v>
      </c>
      <c r="Q31">
        <f t="shared" si="15"/>
        <v>-6.103515625E-3</v>
      </c>
      <c r="R31" s="39"/>
    </row>
    <row r="32" spans="1:21" x14ac:dyDescent="0.25">
      <c r="A32">
        <v>16</v>
      </c>
      <c r="B32">
        <f t="shared" si="7"/>
        <v>706.378173828125</v>
      </c>
      <c r="C32">
        <f t="shared" si="8"/>
        <v>739.20858691406249</v>
      </c>
      <c r="D32">
        <f t="shared" si="9"/>
        <v>0.47856183518751977</v>
      </c>
      <c r="E32">
        <f t="shared" si="0"/>
        <v>1618888008.7739325</v>
      </c>
      <c r="F32">
        <f t="shared" si="1"/>
        <v>1.4792511590258073E-3</v>
      </c>
      <c r="G32">
        <f t="shared" si="2"/>
        <v>706.3812255859375</v>
      </c>
      <c r="H32">
        <f t="shared" si="10"/>
        <v>739.21011279296874</v>
      </c>
      <c r="I32">
        <f t="shared" si="11"/>
        <v>0.47856261558907176</v>
      </c>
      <c r="J32">
        <f t="shared" si="3"/>
        <v>1618897724.5527775</v>
      </c>
      <c r="K32">
        <f t="shared" si="4"/>
        <v>-1.464452240384162E-3</v>
      </c>
      <c r="L32">
        <f t="shared" si="12"/>
        <v>706.38427734375</v>
      </c>
      <c r="M32">
        <f t="shared" si="13"/>
        <v>739.21163867187499</v>
      </c>
      <c r="N32">
        <f t="shared" si="14"/>
        <v>0.4785633959902858</v>
      </c>
      <c r="O32">
        <f t="shared" si="5"/>
        <v>1618907440.3854754</v>
      </c>
      <c r="P32">
        <f t="shared" si="6"/>
        <v>-4.4081560340600845E-3</v>
      </c>
      <c r="Q32">
        <f t="shared" si="15"/>
        <v>3.0517578125E-3</v>
      </c>
      <c r="R32" s="39"/>
    </row>
    <row r="33" spans="1:18" x14ac:dyDescent="0.25">
      <c r="A33">
        <v>17</v>
      </c>
      <c r="B33">
        <f t="shared" si="7"/>
        <v>706.378173828125</v>
      </c>
      <c r="C33">
        <f t="shared" si="8"/>
        <v>739.20858691406249</v>
      </c>
      <c r="D33">
        <f t="shared" si="9"/>
        <v>0.47856183518751977</v>
      </c>
      <c r="E33">
        <f t="shared" si="0"/>
        <v>1618888008.7739325</v>
      </c>
      <c r="F33">
        <f t="shared" si="1"/>
        <v>1.4792511590258073E-3</v>
      </c>
      <c r="G33">
        <f t="shared" si="2"/>
        <v>706.37969970703125</v>
      </c>
      <c r="H33">
        <f t="shared" si="10"/>
        <v>739.20934985351562</v>
      </c>
      <c r="I33">
        <f t="shared" si="11"/>
        <v>0.47856222538833793</v>
      </c>
      <c r="J33">
        <f t="shared" si="3"/>
        <v>1618892866.6566236</v>
      </c>
      <c r="K33">
        <f t="shared" si="4"/>
        <v>7.3995086040667957E-6</v>
      </c>
      <c r="L33">
        <f t="shared" si="12"/>
        <v>706.3812255859375</v>
      </c>
      <c r="M33">
        <f t="shared" si="13"/>
        <v>739.21011279296874</v>
      </c>
      <c r="N33">
        <f t="shared" si="14"/>
        <v>0.47856261558907176</v>
      </c>
      <c r="O33">
        <f t="shared" si="5"/>
        <v>1618897724.5527775</v>
      </c>
      <c r="P33">
        <f t="shared" si="6"/>
        <v>-1.464452240384162E-3</v>
      </c>
      <c r="Q33">
        <f t="shared" si="15"/>
        <v>-1.52587890625E-3</v>
      </c>
      <c r="R33" s="39"/>
    </row>
    <row r="34" spans="1:18" x14ac:dyDescent="0.25">
      <c r="A34">
        <v>18</v>
      </c>
      <c r="B34">
        <f t="shared" si="7"/>
        <v>706.37969970703125</v>
      </c>
      <c r="C34">
        <f t="shared" si="8"/>
        <v>739.20934985351562</v>
      </c>
      <c r="D34">
        <f t="shared" si="9"/>
        <v>0.47856222538833793</v>
      </c>
      <c r="E34">
        <f t="shared" si="0"/>
        <v>1618892866.6566236</v>
      </c>
      <c r="F34">
        <f t="shared" si="1"/>
        <v>7.3995086040667957E-6</v>
      </c>
      <c r="G34">
        <f t="shared" si="2"/>
        <v>706.38046264648437</v>
      </c>
      <c r="H34">
        <f t="shared" si="10"/>
        <v>739.20973132324218</v>
      </c>
      <c r="I34">
        <f t="shared" si="11"/>
        <v>0.47856242048871545</v>
      </c>
      <c r="J34">
        <f t="shared" si="3"/>
        <v>1618895295.6030176</v>
      </c>
      <c r="K34">
        <f t="shared" si="4"/>
        <v>-7.2852635355502571E-4</v>
      </c>
      <c r="L34">
        <f t="shared" si="12"/>
        <v>706.3812255859375</v>
      </c>
      <c r="M34">
        <f t="shared" si="13"/>
        <v>739.21011279296874</v>
      </c>
      <c r="N34">
        <f t="shared" si="14"/>
        <v>0.47856261558907176</v>
      </c>
      <c r="O34">
        <f t="shared" si="5"/>
        <v>1618897724.5527775</v>
      </c>
      <c r="P34">
        <f t="shared" si="6"/>
        <v>-1.464452240384162E-3</v>
      </c>
      <c r="Q34">
        <f t="shared" si="15"/>
        <v>7.62939453125E-4</v>
      </c>
      <c r="R34" s="39"/>
    </row>
    <row r="35" spans="1:18" x14ac:dyDescent="0.25">
      <c r="A35">
        <v>19</v>
      </c>
      <c r="B35">
        <f t="shared" si="7"/>
        <v>706.37969970703125</v>
      </c>
      <c r="C35">
        <f t="shared" si="8"/>
        <v>739.20934985351562</v>
      </c>
      <c r="D35">
        <f t="shared" si="9"/>
        <v>0.47856222538833793</v>
      </c>
      <c r="E35">
        <f t="shared" si="0"/>
        <v>1618892866.6566236</v>
      </c>
      <c r="F35">
        <f t="shared" si="1"/>
        <v>7.3995086040667957E-6</v>
      </c>
      <c r="G35">
        <f t="shared" si="2"/>
        <v>706.38008117675781</v>
      </c>
      <c r="H35">
        <f t="shared" si="10"/>
        <v>739.2095405883789</v>
      </c>
      <c r="I35">
        <f t="shared" si="11"/>
        <v>0.47856232293852929</v>
      </c>
      <c r="J35">
        <f t="shared" si="3"/>
        <v>1618894081.1294003</v>
      </c>
      <c r="K35">
        <f t="shared" si="4"/>
        <v>-3.6056341946277826E-4</v>
      </c>
      <c r="L35">
        <f t="shared" si="12"/>
        <v>706.38046264648437</v>
      </c>
      <c r="M35">
        <f t="shared" si="13"/>
        <v>739.20973132324218</v>
      </c>
      <c r="N35">
        <f t="shared" si="14"/>
        <v>0.47856242048871545</v>
      </c>
      <c r="O35">
        <f t="shared" si="5"/>
        <v>1618895295.6030176</v>
      </c>
      <c r="P35">
        <f t="shared" si="6"/>
        <v>-7.2852635355502571E-4</v>
      </c>
      <c r="Q35">
        <f t="shared" si="15"/>
        <v>-3.814697265625E-4</v>
      </c>
      <c r="R35" s="39"/>
    </row>
    <row r="36" spans="1:18" x14ac:dyDescent="0.25">
      <c r="A36">
        <v>20</v>
      </c>
      <c r="B36">
        <f t="shared" si="7"/>
        <v>706.37969970703125</v>
      </c>
      <c r="C36">
        <f t="shared" si="8"/>
        <v>739.20934985351562</v>
      </c>
      <c r="D36">
        <f t="shared" si="9"/>
        <v>0.47856222538833793</v>
      </c>
      <c r="E36">
        <f t="shared" si="0"/>
        <v>1618892866.6566236</v>
      </c>
      <c r="F36">
        <f t="shared" si="1"/>
        <v>7.3995086040667957E-6</v>
      </c>
      <c r="G36">
        <f t="shared" si="2"/>
        <v>706.37989044189453</v>
      </c>
      <c r="H36">
        <f t="shared" si="10"/>
        <v>739.20944522094726</v>
      </c>
      <c r="I36">
        <f t="shared" si="11"/>
        <v>0.47856227416343455</v>
      </c>
      <c r="J36">
        <f t="shared" si="3"/>
        <v>1618893473.8929067</v>
      </c>
      <c r="K36">
        <f t="shared" si="4"/>
        <v>-1.7658195463354787E-4</v>
      </c>
      <c r="L36">
        <f t="shared" si="12"/>
        <v>706.38008117675781</v>
      </c>
      <c r="M36">
        <f t="shared" si="13"/>
        <v>739.2095405883789</v>
      </c>
      <c r="N36">
        <f t="shared" si="14"/>
        <v>0.47856232293852929</v>
      </c>
      <c r="O36">
        <f t="shared" si="5"/>
        <v>1618894081.1294003</v>
      </c>
      <c r="P36">
        <f t="shared" si="6"/>
        <v>-3.6056341946277826E-4</v>
      </c>
      <c r="Q36">
        <f t="shared" si="15"/>
        <v>-1.9073486328125E-4</v>
      </c>
      <c r="R36" s="39"/>
    </row>
    <row r="37" spans="1:18" x14ac:dyDescent="0.25">
      <c r="A37">
        <v>21</v>
      </c>
      <c r="B37">
        <f t="shared" si="7"/>
        <v>706.37969970703125</v>
      </c>
      <c r="C37">
        <f t="shared" si="8"/>
        <v>739.20934985351562</v>
      </c>
      <c r="D37">
        <f t="shared" si="9"/>
        <v>0.47856222538833793</v>
      </c>
      <c r="E37">
        <f t="shared" si="0"/>
        <v>1618892866.6566236</v>
      </c>
      <c r="F37">
        <f t="shared" si="1"/>
        <v>7.3995086040667957E-6</v>
      </c>
      <c r="G37">
        <f t="shared" si="2"/>
        <v>706.37979507446289</v>
      </c>
      <c r="H37">
        <f t="shared" si="10"/>
        <v>739.20939753723144</v>
      </c>
      <c r="I37">
        <f t="shared" si="11"/>
        <v>0.47856224977588646</v>
      </c>
      <c r="J37">
        <f t="shared" si="3"/>
        <v>1618893170.2747393</v>
      </c>
      <c r="K37">
        <f t="shared" si="4"/>
        <v>-8.4591222844210279E-5</v>
      </c>
      <c r="L37">
        <f t="shared" si="12"/>
        <v>706.37989044189453</v>
      </c>
      <c r="M37">
        <f t="shared" si="13"/>
        <v>739.20944522094726</v>
      </c>
      <c r="N37">
        <f t="shared" si="14"/>
        <v>0.47856227416343455</v>
      </c>
      <c r="O37">
        <f t="shared" si="5"/>
        <v>1618893473.8929067</v>
      </c>
      <c r="P37">
        <f t="shared" si="6"/>
        <v>-1.7658195463354787E-4</v>
      </c>
      <c r="Q37">
        <f t="shared" si="15"/>
        <v>-9.5367431640625E-5</v>
      </c>
      <c r="R37" s="39"/>
    </row>
    <row r="38" spans="1:18" x14ac:dyDescent="0.25">
      <c r="A38">
        <v>22</v>
      </c>
      <c r="B38">
        <f t="shared" si="7"/>
        <v>706.37969970703125</v>
      </c>
      <c r="C38">
        <f t="shared" si="8"/>
        <v>739.20934985351562</v>
      </c>
      <c r="D38">
        <f t="shared" si="9"/>
        <v>0.47856222538833793</v>
      </c>
      <c r="E38">
        <f t="shared" si="0"/>
        <v>1618892866.6566236</v>
      </c>
      <c r="F38">
        <f t="shared" si="1"/>
        <v>7.3995086040667957E-6</v>
      </c>
      <c r="G38">
        <f t="shared" si="2"/>
        <v>706.37974739074707</v>
      </c>
      <c r="H38">
        <f t="shared" si="10"/>
        <v>739.20937369537353</v>
      </c>
      <c r="I38">
        <f t="shared" si="11"/>
        <v>0.4785622375821123</v>
      </c>
      <c r="J38">
        <f t="shared" si="3"/>
        <v>1618893018.4656746</v>
      </c>
      <c r="K38">
        <f t="shared" si="4"/>
        <v>-3.8595857063228323E-5</v>
      </c>
      <c r="L38">
        <f t="shared" si="12"/>
        <v>706.37979507446289</v>
      </c>
      <c r="M38">
        <f t="shared" si="13"/>
        <v>739.20939753723144</v>
      </c>
      <c r="N38">
        <f t="shared" si="14"/>
        <v>0.47856224977588646</v>
      </c>
      <c r="O38">
        <f t="shared" si="5"/>
        <v>1618893170.2747393</v>
      </c>
      <c r="P38">
        <f t="shared" si="6"/>
        <v>-8.4591222844210279E-5</v>
      </c>
      <c r="Q38">
        <f t="shared" si="15"/>
        <v>-4.76837158203125E-5</v>
      </c>
      <c r="R38" s="39"/>
    </row>
    <row r="39" spans="1:18" x14ac:dyDescent="0.25">
      <c r="A39">
        <v>23</v>
      </c>
      <c r="B39">
        <f t="shared" si="7"/>
        <v>706.37969970703125</v>
      </c>
      <c r="C39">
        <f t="shared" si="8"/>
        <v>739.20934985351562</v>
      </c>
      <c r="D39">
        <f t="shared" si="9"/>
        <v>0.47856222538833793</v>
      </c>
      <c r="E39">
        <f t="shared" si="0"/>
        <v>1618892866.6566236</v>
      </c>
      <c r="F39">
        <f t="shared" si="1"/>
        <v>7.3995086040667957E-6</v>
      </c>
      <c r="G39">
        <f t="shared" si="2"/>
        <v>706.37972354888916</v>
      </c>
      <c r="H39">
        <f t="shared" si="10"/>
        <v>739.20936177444457</v>
      </c>
      <c r="I39">
        <f t="shared" si="11"/>
        <v>0.47856223148522553</v>
      </c>
      <c r="J39">
        <f t="shared" si="3"/>
        <v>1618892942.5611475</v>
      </c>
      <c r="K39">
        <f t="shared" si="4"/>
        <v>-1.5598174172737345E-5</v>
      </c>
      <c r="L39">
        <f t="shared" si="12"/>
        <v>706.37974739074707</v>
      </c>
      <c r="M39">
        <f t="shared" si="13"/>
        <v>739.20937369537353</v>
      </c>
      <c r="N39">
        <f t="shared" si="14"/>
        <v>0.4785622375821123</v>
      </c>
      <c r="O39">
        <f t="shared" si="5"/>
        <v>1618893018.4656746</v>
      </c>
      <c r="P39">
        <f t="shared" si="6"/>
        <v>-3.8595857063228323E-5</v>
      </c>
      <c r="Q39">
        <f t="shared" si="15"/>
        <v>-2.384185791015625E-5</v>
      </c>
      <c r="R39" s="39"/>
    </row>
    <row r="40" spans="1:18" x14ac:dyDescent="0.25">
      <c r="A40">
        <v>24</v>
      </c>
      <c r="B40">
        <f t="shared" si="7"/>
        <v>706.37969970703125</v>
      </c>
      <c r="C40">
        <f t="shared" si="8"/>
        <v>739.20934985351562</v>
      </c>
      <c r="D40">
        <f t="shared" si="9"/>
        <v>0.47856222538833793</v>
      </c>
      <c r="E40">
        <f t="shared" si="0"/>
        <v>1618892866.6566236</v>
      </c>
      <c r="F40">
        <f t="shared" si="1"/>
        <v>7.3995086040667957E-6</v>
      </c>
      <c r="G40">
        <f t="shared" si="2"/>
        <v>706.37971162796021</v>
      </c>
      <c r="H40">
        <f t="shared" si="10"/>
        <v>739.2093558139801</v>
      </c>
      <c r="I40">
        <f t="shared" si="11"/>
        <v>0.4785622284367817</v>
      </c>
      <c r="J40">
        <f t="shared" si="3"/>
        <v>1618892904.6088855</v>
      </c>
      <c r="K40">
        <f t="shared" si="4"/>
        <v>-4.0993328411786933E-6</v>
      </c>
      <c r="L40">
        <f t="shared" si="12"/>
        <v>706.37972354888916</v>
      </c>
      <c r="M40">
        <f t="shared" si="13"/>
        <v>739.20936177444457</v>
      </c>
      <c r="N40">
        <f t="shared" si="14"/>
        <v>0.47856223148522553</v>
      </c>
      <c r="O40">
        <f t="shared" si="5"/>
        <v>1618892942.5611475</v>
      </c>
      <c r="P40">
        <f t="shared" si="6"/>
        <v>-1.5598174172737345E-5</v>
      </c>
      <c r="Q40">
        <f t="shared" si="15"/>
        <v>-1.1920928955078125E-5</v>
      </c>
      <c r="R40" s="39"/>
    </row>
    <row r="41" spans="1:18" x14ac:dyDescent="0.25">
      <c r="A41">
        <v>25</v>
      </c>
      <c r="B41">
        <f t="shared" si="7"/>
        <v>706.37969970703125</v>
      </c>
      <c r="C41">
        <f t="shared" si="8"/>
        <v>739.20934985351562</v>
      </c>
      <c r="D41">
        <f t="shared" si="9"/>
        <v>0.47856222538833793</v>
      </c>
      <c r="E41">
        <f t="shared" si="0"/>
        <v>1618892866.6566236</v>
      </c>
      <c r="F41">
        <f t="shared" si="1"/>
        <v>7.3995086040667957E-6</v>
      </c>
      <c r="G41">
        <f t="shared" si="2"/>
        <v>706.37970566749573</v>
      </c>
      <c r="H41">
        <f t="shared" si="10"/>
        <v>739.20935283374786</v>
      </c>
      <c r="I41">
        <f t="shared" si="11"/>
        <v>0.47856222691255984</v>
      </c>
      <c r="J41">
        <f t="shared" si="3"/>
        <v>1618892885.6327543</v>
      </c>
      <c r="K41">
        <f t="shared" si="4"/>
        <v>1.65008793828747E-6</v>
      </c>
      <c r="L41">
        <f t="shared" si="12"/>
        <v>706.37971162796021</v>
      </c>
      <c r="M41">
        <f t="shared" si="13"/>
        <v>739.2093558139801</v>
      </c>
      <c r="N41">
        <f t="shared" si="14"/>
        <v>0.4785622284367817</v>
      </c>
      <c r="O41">
        <f t="shared" si="5"/>
        <v>1618892904.6088855</v>
      </c>
      <c r="P41">
        <f t="shared" si="6"/>
        <v>-4.0993328411786933E-6</v>
      </c>
      <c r="Q41">
        <f t="shared" si="15"/>
        <v>-5.9604644775390625E-6</v>
      </c>
      <c r="R41" s="39"/>
    </row>
    <row r="42" spans="1:18" x14ac:dyDescent="0.25">
      <c r="A42">
        <v>26</v>
      </c>
      <c r="B42">
        <f t="shared" si="7"/>
        <v>706.37970566749573</v>
      </c>
      <c r="C42">
        <f t="shared" si="8"/>
        <v>739.20935283374786</v>
      </c>
      <c r="D42">
        <f t="shared" si="9"/>
        <v>0.47856222691255984</v>
      </c>
      <c r="E42">
        <f t="shared" si="0"/>
        <v>1618892885.6327543</v>
      </c>
      <c r="F42">
        <f t="shared" si="1"/>
        <v>1.65008793828747E-6</v>
      </c>
      <c r="G42">
        <f t="shared" si="2"/>
        <v>706.37970864772797</v>
      </c>
      <c r="H42">
        <f t="shared" si="10"/>
        <v>739.20935432386398</v>
      </c>
      <c r="I42">
        <f t="shared" si="11"/>
        <v>0.47856222767467077</v>
      </c>
      <c r="J42">
        <f t="shared" si="3"/>
        <v>1618892895.1208198</v>
      </c>
      <c r="K42">
        <f t="shared" si="4"/>
        <v>-1.2246224514456117E-6</v>
      </c>
      <c r="L42">
        <f t="shared" si="12"/>
        <v>706.37971162796021</v>
      </c>
      <c r="M42">
        <f t="shared" si="13"/>
        <v>739.2093558139801</v>
      </c>
      <c r="N42">
        <f t="shared" si="14"/>
        <v>0.4785622284367817</v>
      </c>
      <c r="O42">
        <f t="shared" si="5"/>
        <v>1618892904.6088855</v>
      </c>
      <c r="P42">
        <f t="shared" si="6"/>
        <v>-4.0993328411786933E-6</v>
      </c>
      <c r="Q42">
        <f t="shared" si="15"/>
        <v>2.9802322387695313E-6</v>
      </c>
      <c r="R42" s="39"/>
    </row>
    <row r="43" spans="1:18" x14ac:dyDescent="0.25">
      <c r="A43">
        <v>27</v>
      </c>
      <c r="B43">
        <f t="shared" si="7"/>
        <v>706.37970566749573</v>
      </c>
      <c r="C43">
        <f t="shared" si="8"/>
        <v>739.20935283374786</v>
      </c>
      <c r="D43">
        <f t="shared" si="9"/>
        <v>0.47856222691255984</v>
      </c>
      <c r="E43">
        <f t="shared" si="0"/>
        <v>1618892885.6327543</v>
      </c>
      <c r="F43">
        <f t="shared" si="1"/>
        <v>1.65008793828747E-6</v>
      </c>
      <c r="G43">
        <f t="shared" si="2"/>
        <v>706.37970715761185</v>
      </c>
      <c r="H43">
        <f t="shared" si="10"/>
        <v>739.20935357880592</v>
      </c>
      <c r="I43">
        <f t="shared" si="11"/>
        <v>0.47856222729361514</v>
      </c>
      <c r="J43">
        <f t="shared" si="3"/>
        <v>1618892890.3767872</v>
      </c>
      <c r="K43">
        <f t="shared" si="4"/>
        <v>2.1273274342092918E-7</v>
      </c>
      <c r="L43">
        <f t="shared" si="12"/>
        <v>706.37970864772797</v>
      </c>
      <c r="M43">
        <f t="shared" si="13"/>
        <v>739.20935432386398</v>
      </c>
      <c r="N43">
        <f t="shared" si="14"/>
        <v>0.47856222767467077</v>
      </c>
      <c r="O43">
        <f t="shared" si="5"/>
        <v>1618892895.1208198</v>
      </c>
      <c r="P43">
        <f t="shared" si="6"/>
        <v>-1.2246224514456117E-6</v>
      </c>
      <c r="Q43">
        <f t="shared" si="15"/>
        <v>-1.4901161193847656E-6</v>
      </c>
      <c r="R43" s="39"/>
    </row>
    <row r="44" spans="1:18" x14ac:dyDescent="0.25">
      <c r="A44">
        <v>28</v>
      </c>
      <c r="B44">
        <f t="shared" si="7"/>
        <v>706.37970715761185</v>
      </c>
      <c r="C44">
        <f t="shared" si="8"/>
        <v>739.20935357880592</v>
      </c>
      <c r="D44">
        <f t="shared" si="9"/>
        <v>0.47856222729361514</v>
      </c>
      <c r="E44">
        <f t="shared" si="0"/>
        <v>1618892890.3767872</v>
      </c>
      <c r="F44">
        <f t="shared" si="1"/>
        <v>2.1273274342092918E-7</v>
      </c>
      <c r="G44">
        <f t="shared" si="2"/>
        <v>706.37970790266991</v>
      </c>
      <c r="H44">
        <f t="shared" si="10"/>
        <v>739.20935395133495</v>
      </c>
      <c r="I44">
        <f t="shared" si="11"/>
        <v>0.47856222748414312</v>
      </c>
      <c r="J44">
        <f t="shared" si="3"/>
        <v>1618892892.7488029</v>
      </c>
      <c r="K44">
        <f t="shared" si="4"/>
        <v>-5.0594485401234124E-7</v>
      </c>
      <c r="L44">
        <f t="shared" si="12"/>
        <v>706.37970864772797</v>
      </c>
      <c r="M44">
        <f t="shared" si="13"/>
        <v>739.20935432386398</v>
      </c>
      <c r="N44">
        <f t="shared" si="14"/>
        <v>0.47856222767467077</v>
      </c>
      <c r="O44">
        <f t="shared" si="5"/>
        <v>1618892895.1208198</v>
      </c>
      <c r="P44">
        <f t="shared" si="6"/>
        <v>-1.2246224514456117E-6</v>
      </c>
      <c r="Q44">
        <f t="shared" si="15"/>
        <v>7.4505805969238281E-7</v>
      </c>
      <c r="R44" s="39"/>
    </row>
    <row r="45" spans="1:18" x14ac:dyDescent="0.25">
      <c r="A45">
        <v>29</v>
      </c>
      <c r="B45">
        <f t="shared" si="7"/>
        <v>706.37970715761185</v>
      </c>
      <c r="C45">
        <f t="shared" si="8"/>
        <v>739.20935357880592</v>
      </c>
      <c r="D45">
        <f t="shared" si="9"/>
        <v>0.47856222729361514</v>
      </c>
      <c r="E45">
        <f t="shared" si="0"/>
        <v>1618892890.3767872</v>
      </c>
      <c r="F45">
        <f t="shared" si="1"/>
        <v>2.1273274342092918E-7</v>
      </c>
      <c r="G45">
        <f t="shared" si="2"/>
        <v>706.37970753014088</v>
      </c>
      <c r="H45">
        <f t="shared" si="10"/>
        <v>739.20935376507043</v>
      </c>
      <c r="I45">
        <f t="shared" si="11"/>
        <v>0.4785622273888791</v>
      </c>
      <c r="J45">
        <f t="shared" si="3"/>
        <v>1618892891.5627954</v>
      </c>
      <c r="K45">
        <f t="shared" si="4"/>
        <v>-1.4660611213912489E-7</v>
      </c>
      <c r="L45">
        <f t="shared" si="12"/>
        <v>706.37970790266991</v>
      </c>
      <c r="M45">
        <f t="shared" si="13"/>
        <v>739.20935395133495</v>
      </c>
      <c r="N45">
        <f t="shared" si="14"/>
        <v>0.47856222748414312</v>
      </c>
      <c r="O45">
        <f t="shared" si="5"/>
        <v>1618892892.7488029</v>
      </c>
      <c r="P45">
        <f t="shared" si="6"/>
        <v>-5.0594485401234124E-7</v>
      </c>
      <c r="Q45">
        <f t="shared" si="15"/>
        <v>-3.7252902984619141E-7</v>
      </c>
      <c r="R45" s="39"/>
    </row>
    <row r="46" spans="1:18" x14ac:dyDescent="0.25">
      <c r="A46">
        <v>30</v>
      </c>
      <c r="B46">
        <f t="shared" si="7"/>
        <v>706.37970715761185</v>
      </c>
      <c r="C46">
        <f t="shared" si="8"/>
        <v>739.20935357880592</v>
      </c>
      <c r="D46">
        <f t="shared" si="9"/>
        <v>0.47856222729361514</v>
      </c>
      <c r="E46">
        <f t="shared" si="0"/>
        <v>1618892890.3767872</v>
      </c>
      <c r="F46">
        <f t="shared" si="1"/>
        <v>2.1273274342092918E-7</v>
      </c>
      <c r="G46">
        <f t="shared" si="2"/>
        <v>706.37970734387636</v>
      </c>
      <c r="H46">
        <f t="shared" si="10"/>
        <v>739.20935367193817</v>
      </c>
      <c r="I46">
        <f t="shared" si="11"/>
        <v>0.47856222734124731</v>
      </c>
      <c r="J46">
        <f t="shared" si="3"/>
        <v>1618892890.9697909</v>
      </c>
      <c r="K46">
        <f t="shared" si="4"/>
        <v>3.3063315640902147E-8</v>
      </c>
      <c r="L46">
        <f t="shared" si="12"/>
        <v>706.37970753014088</v>
      </c>
      <c r="M46">
        <f t="shared" si="13"/>
        <v>739.20935376507043</v>
      </c>
      <c r="N46">
        <f t="shared" si="14"/>
        <v>0.4785622273888791</v>
      </c>
      <c r="O46">
        <f t="shared" si="5"/>
        <v>1618892891.5627954</v>
      </c>
      <c r="P46">
        <f t="shared" si="6"/>
        <v>-1.4660611213912489E-7</v>
      </c>
      <c r="Q46">
        <f t="shared" si="15"/>
        <v>-1.862645149230957E-7</v>
      </c>
      <c r="R46" s="39"/>
    </row>
    <row r="47" spans="1:18" x14ac:dyDescent="0.25">
      <c r="A47">
        <v>31</v>
      </c>
      <c r="B47">
        <f t="shared" si="7"/>
        <v>706.37970734387636</v>
      </c>
      <c r="C47">
        <f t="shared" si="8"/>
        <v>739.20935367193817</v>
      </c>
      <c r="D47">
        <f t="shared" si="9"/>
        <v>0.47856222734124731</v>
      </c>
      <c r="E47">
        <f t="shared" si="0"/>
        <v>1618892890.9697909</v>
      </c>
      <c r="F47">
        <f t="shared" si="1"/>
        <v>3.3063315640902147E-8</v>
      </c>
      <c r="G47">
        <f t="shared" si="2"/>
        <v>706.37970743700862</v>
      </c>
      <c r="H47">
        <f t="shared" si="10"/>
        <v>739.2093537185043</v>
      </c>
      <c r="I47">
        <f t="shared" si="11"/>
        <v>0.47856222736506321</v>
      </c>
      <c r="J47">
        <f t="shared" si="3"/>
        <v>1618892891.2662935</v>
      </c>
      <c r="K47">
        <f t="shared" si="4"/>
        <v>-5.677134140569251E-8</v>
      </c>
      <c r="L47">
        <f t="shared" si="12"/>
        <v>706.37970753014088</v>
      </c>
      <c r="M47">
        <f t="shared" si="13"/>
        <v>739.20935376507043</v>
      </c>
      <c r="N47">
        <f t="shared" si="14"/>
        <v>0.4785622273888791</v>
      </c>
      <c r="O47">
        <f t="shared" si="5"/>
        <v>1618892891.5627954</v>
      </c>
      <c r="P47">
        <f t="shared" si="6"/>
        <v>-1.4660611213912489E-7</v>
      </c>
      <c r="Q47">
        <f t="shared" si="15"/>
        <v>9.3132257461547852E-8</v>
      </c>
      <c r="R47" s="39"/>
    </row>
    <row r="48" spans="1:18" x14ac:dyDescent="0.25">
      <c r="A48">
        <v>32</v>
      </c>
      <c r="B48">
        <f t="shared" si="7"/>
        <v>706.37970734387636</v>
      </c>
      <c r="C48">
        <f t="shared" si="8"/>
        <v>739.20935367193817</v>
      </c>
      <c r="D48">
        <f t="shared" si="9"/>
        <v>0.47856222734124731</v>
      </c>
      <c r="E48">
        <f t="shared" si="0"/>
        <v>1618892890.9697909</v>
      </c>
      <c r="F48">
        <f t="shared" si="1"/>
        <v>3.3063315640902147E-8</v>
      </c>
      <c r="G48">
        <f t="shared" si="2"/>
        <v>706.37970739044249</v>
      </c>
      <c r="H48">
        <f t="shared" si="10"/>
        <v>739.20935369522124</v>
      </c>
      <c r="I48">
        <f t="shared" si="11"/>
        <v>0.47856222735315546</v>
      </c>
      <c r="J48">
        <f t="shared" si="3"/>
        <v>1618892891.118042</v>
      </c>
      <c r="K48">
        <f t="shared" si="4"/>
        <v>-1.1854012882395182E-8</v>
      </c>
      <c r="L48">
        <f t="shared" si="12"/>
        <v>706.37970743700862</v>
      </c>
      <c r="M48">
        <f t="shared" si="13"/>
        <v>739.2093537185043</v>
      </c>
      <c r="N48">
        <f t="shared" si="14"/>
        <v>0.47856222736506321</v>
      </c>
      <c r="O48">
        <f t="shared" si="5"/>
        <v>1618892891.2662935</v>
      </c>
      <c r="P48">
        <f t="shared" si="6"/>
        <v>-5.677134140569251E-8</v>
      </c>
      <c r="Q48">
        <f t="shared" si="15"/>
        <v>-4.6566128730773926E-8</v>
      </c>
      <c r="R48" s="39"/>
    </row>
    <row r="49" spans="1:18" x14ac:dyDescent="0.25">
      <c r="A49">
        <v>33</v>
      </c>
      <c r="B49">
        <f t="shared" si="7"/>
        <v>706.37970734387636</v>
      </c>
      <c r="C49">
        <f t="shared" si="8"/>
        <v>739.20935367193817</v>
      </c>
      <c r="D49">
        <f t="shared" si="9"/>
        <v>0.47856222734124731</v>
      </c>
      <c r="E49">
        <f t="shared" si="0"/>
        <v>1618892890.9697909</v>
      </c>
      <c r="F49">
        <f t="shared" si="1"/>
        <v>3.3063315640902147E-8</v>
      </c>
      <c r="G49">
        <f t="shared" si="2"/>
        <v>706.37970736715943</v>
      </c>
      <c r="H49">
        <f t="shared" si="10"/>
        <v>739.20935368357971</v>
      </c>
      <c r="I49">
        <f t="shared" si="11"/>
        <v>0.47856222734720094</v>
      </c>
      <c r="J49">
        <f t="shared" si="3"/>
        <v>1618892891.0439167</v>
      </c>
      <c r="K49">
        <f t="shared" si="4"/>
        <v>1.0604594535834622E-8</v>
      </c>
      <c r="L49">
        <f t="shared" si="12"/>
        <v>706.37970739044249</v>
      </c>
      <c r="M49">
        <f t="shared" si="13"/>
        <v>739.20935369522124</v>
      </c>
      <c r="N49">
        <f t="shared" si="14"/>
        <v>0.47856222735315546</v>
      </c>
      <c r="O49">
        <f t="shared" si="5"/>
        <v>1618892891.118042</v>
      </c>
      <c r="P49">
        <f t="shared" si="6"/>
        <v>-1.1854012882395182E-8</v>
      </c>
      <c r="Q49">
        <f t="shared" si="15"/>
        <v>-2.3283064365386963E-8</v>
      </c>
      <c r="R49" s="39"/>
    </row>
    <row r="50" spans="1:18" x14ac:dyDescent="0.25">
      <c r="A50">
        <v>34</v>
      </c>
      <c r="B50">
        <f t="shared" si="7"/>
        <v>706.37970736715943</v>
      </c>
      <c r="C50">
        <f t="shared" si="8"/>
        <v>739.20935368357971</v>
      </c>
      <c r="D50">
        <f t="shared" si="9"/>
        <v>0.47856222734720094</v>
      </c>
      <c r="E50">
        <f t="shared" si="0"/>
        <v>1618892891.0439167</v>
      </c>
      <c r="F50">
        <f t="shared" si="1"/>
        <v>1.0604594535834622E-8</v>
      </c>
      <c r="G50">
        <f t="shared" si="2"/>
        <v>706.37970737880096</v>
      </c>
      <c r="H50">
        <f t="shared" si="10"/>
        <v>739.20935368940047</v>
      </c>
      <c r="I50">
        <f t="shared" si="11"/>
        <v>0.478562227350178</v>
      </c>
      <c r="J50">
        <f t="shared" si="3"/>
        <v>1618892891.0809791</v>
      </c>
      <c r="K50">
        <f t="shared" si="4"/>
        <v>-6.2470917328028008E-10</v>
      </c>
      <c r="L50">
        <f t="shared" si="12"/>
        <v>706.37970739044249</v>
      </c>
      <c r="M50">
        <f t="shared" si="13"/>
        <v>739.20935369522124</v>
      </c>
      <c r="N50">
        <f t="shared" si="14"/>
        <v>0.47856222735315546</v>
      </c>
      <c r="O50">
        <f t="shared" si="5"/>
        <v>1618892891.118042</v>
      </c>
      <c r="P50">
        <f t="shared" si="6"/>
        <v>-1.1854012882395182E-8</v>
      </c>
      <c r="Q50">
        <f t="shared" si="15"/>
        <v>1.1641532182693481E-8</v>
      </c>
      <c r="R50" s="39"/>
    </row>
    <row r="51" spans="1:18" x14ac:dyDescent="0.25">
      <c r="A51">
        <v>35</v>
      </c>
      <c r="B51">
        <f t="shared" si="7"/>
        <v>706.37970736715943</v>
      </c>
      <c r="C51">
        <f t="shared" si="8"/>
        <v>739.20935368357971</v>
      </c>
      <c r="D51">
        <f t="shared" si="9"/>
        <v>0.47856222734720094</v>
      </c>
      <c r="E51">
        <f t="shared" si="0"/>
        <v>1618892891.0439167</v>
      </c>
      <c r="F51">
        <f t="shared" si="1"/>
        <v>1.0604594535834622E-8</v>
      </c>
      <c r="G51">
        <f t="shared" si="2"/>
        <v>706.37970737298019</v>
      </c>
      <c r="H51">
        <f t="shared" si="10"/>
        <v>739.20935368649009</v>
      </c>
      <c r="I51">
        <f t="shared" si="11"/>
        <v>0.47856222734868953</v>
      </c>
      <c r="J51">
        <f t="shared" si="3"/>
        <v>1618892891.062448</v>
      </c>
      <c r="K51">
        <f t="shared" si="4"/>
        <v>4.9899426812771708E-9</v>
      </c>
      <c r="L51">
        <f t="shared" si="12"/>
        <v>706.37970737880096</v>
      </c>
      <c r="M51">
        <f t="shared" si="13"/>
        <v>739.20935368940047</v>
      </c>
      <c r="N51">
        <f t="shared" si="14"/>
        <v>0.478562227350178</v>
      </c>
      <c r="O51">
        <f t="shared" si="5"/>
        <v>1618892891.0809791</v>
      </c>
      <c r="P51">
        <f t="shared" si="6"/>
        <v>-6.2470917328028008E-10</v>
      </c>
      <c r="Q51">
        <f t="shared" si="15"/>
        <v>-5.8207660913467407E-9</v>
      </c>
      <c r="R51" s="39"/>
    </row>
    <row r="52" spans="1:18" x14ac:dyDescent="0.25">
      <c r="A52">
        <v>36</v>
      </c>
      <c r="B52">
        <f t="shared" si="7"/>
        <v>706.37970737298019</v>
      </c>
      <c r="C52">
        <f t="shared" si="8"/>
        <v>739.20935368649009</v>
      </c>
      <c r="D52">
        <f t="shared" si="9"/>
        <v>0.47856222734868953</v>
      </c>
      <c r="E52">
        <f t="shared" si="0"/>
        <v>1618892891.062448</v>
      </c>
      <c r="F52">
        <f t="shared" si="1"/>
        <v>4.9899426812771708E-9</v>
      </c>
      <c r="G52">
        <f t="shared" si="2"/>
        <v>706.37970737589058</v>
      </c>
      <c r="H52">
        <f t="shared" si="10"/>
        <v>739.20935368794528</v>
      </c>
      <c r="I52">
        <f t="shared" si="11"/>
        <v>0.47856222734943421</v>
      </c>
      <c r="J52">
        <f t="shared" si="3"/>
        <v>1618892891.0717134</v>
      </c>
      <c r="K52">
        <f t="shared" si="4"/>
        <v>2.1826735974173062E-9</v>
      </c>
      <c r="L52">
        <f t="shared" si="12"/>
        <v>706.37970737880096</v>
      </c>
      <c r="M52">
        <f t="shared" si="13"/>
        <v>739.20935368940047</v>
      </c>
      <c r="N52">
        <f t="shared" si="14"/>
        <v>0.478562227350178</v>
      </c>
      <c r="O52">
        <f t="shared" si="5"/>
        <v>1618892891.0809791</v>
      </c>
      <c r="P52">
        <f t="shared" si="6"/>
        <v>-6.2470917328028008E-10</v>
      </c>
      <c r="Q52">
        <f t="shared" si="15"/>
        <v>2.9103830456733704E-9</v>
      </c>
      <c r="R52" s="39"/>
    </row>
    <row r="53" spans="1:18" x14ac:dyDescent="0.25">
      <c r="A53">
        <v>37</v>
      </c>
      <c r="B53">
        <f t="shared" si="7"/>
        <v>706.37970737589058</v>
      </c>
      <c r="C53">
        <f t="shared" si="8"/>
        <v>739.20935368794528</v>
      </c>
      <c r="D53">
        <f t="shared" si="9"/>
        <v>0.47856222734943421</v>
      </c>
      <c r="E53">
        <f t="shared" si="0"/>
        <v>1618892891.0717134</v>
      </c>
      <c r="F53">
        <f t="shared" si="1"/>
        <v>2.1826735974173062E-9</v>
      </c>
      <c r="G53">
        <f t="shared" si="2"/>
        <v>706.37970737734577</v>
      </c>
      <c r="H53">
        <f t="shared" si="10"/>
        <v>739.20935368867288</v>
      </c>
      <c r="I53">
        <f t="shared" si="11"/>
        <v>0.47856222734980614</v>
      </c>
      <c r="J53">
        <f t="shared" si="3"/>
        <v>1618892891.0763462</v>
      </c>
      <c r="K53">
        <f t="shared" si="4"/>
        <v>7.7898221206851304E-10</v>
      </c>
      <c r="L53">
        <f t="shared" si="12"/>
        <v>706.37970737880096</v>
      </c>
      <c r="M53">
        <f t="shared" si="13"/>
        <v>739.20935368940047</v>
      </c>
      <c r="N53">
        <f t="shared" si="14"/>
        <v>0.478562227350178</v>
      </c>
      <c r="O53">
        <f t="shared" si="5"/>
        <v>1618892891.0809791</v>
      </c>
      <c r="P53">
        <f t="shared" si="6"/>
        <v>-6.2470917328028008E-10</v>
      </c>
      <c r="Q53">
        <f t="shared" si="15"/>
        <v>1.4551915228366852E-9</v>
      </c>
      <c r="R53" s="39"/>
    </row>
    <row r="54" spans="1:18" x14ac:dyDescent="0.25">
      <c r="A54">
        <v>38</v>
      </c>
      <c r="B54">
        <f t="shared" si="7"/>
        <v>706.37970737734577</v>
      </c>
      <c r="C54">
        <f t="shared" si="8"/>
        <v>739.20935368867288</v>
      </c>
      <c r="D54">
        <f t="shared" si="9"/>
        <v>0.47856222734980614</v>
      </c>
      <c r="E54">
        <f t="shared" si="0"/>
        <v>1618892891.0763462</v>
      </c>
      <c r="F54">
        <f t="shared" si="1"/>
        <v>7.7898221206851304E-10</v>
      </c>
      <c r="G54">
        <f t="shared" si="2"/>
        <v>706.37970737807336</v>
      </c>
      <c r="H54">
        <f t="shared" si="10"/>
        <v>739.20935368903667</v>
      </c>
      <c r="I54">
        <f t="shared" si="11"/>
        <v>0.47856222734999226</v>
      </c>
      <c r="J54">
        <f t="shared" si="3"/>
        <v>1618892891.0786633</v>
      </c>
      <c r="K54">
        <f t="shared" si="4"/>
        <v>7.7193362812977284E-11</v>
      </c>
      <c r="L54">
        <f t="shared" si="12"/>
        <v>706.37970737880096</v>
      </c>
      <c r="M54">
        <f t="shared" si="13"/>
        <v>739.20935368940047</v>
      </c>
      <c r="N54">
        <f t="shared" si="14"/>
        <v>0.478562227350178</v>
      </c>
      <c r="O54">
        <f t="shared" si="5"/>
        <v>1618892891.0809791</v>
      </c>
      <c r="P54">
        <f t="shared" si="6"/>
        <v>-6.2470917328028008E-10</v>
      </c>
      <c r="Q54">
        <f t="shared" si="15"/>
        <v>7.2759576141834259E-10</v>
      </c>
      <c r="R54" s="39"/>
    </row>
    <row r="55" spans="1:18" x14ac:dyDescent="0.25">
      <c r="A55">
        <v>39</v>
      </c>
      <c r="B55">
        <f t="shared" si="7"/>
        <v>706.37970737807336</v>
      </c>
      <c r="C55">
        <f t="shared" si="8"/>
        <v>739.20935368903667</v>
      </c>
      <c r="D55">
        <f t="shared" si="9"/>
        <v>0.47856222734999226</v>
      </c>
      <c r="E55">
        <f t="shared" si="0"/>
        <v>1618892891.0786633</v>
      </c>
      <c r="F55">
        <f t="shared" si="1"/>
        <v>7.7193362812977284E-11</v>
      </c>
      <c r="G55">
        <f t="shared" si="2"/>
        <v>706.37970737843716</v>
      </c>
      <c r="H55">
        <f t="shared" si="10"/>
        <v>739.20935368921857</v>
      </c>
      <c r="I55">
        <f t="shared" si="11"/>
        <v>0.47856222735008541</v>
      </c>
      <c r="J55">
        <f t="shared" si="3"/>
        <v>1618892891.0798211</v>
      </c>
      <c r="K55">
        <f t="shared" si="4"/>
        <v>-2.737579052336514E-10</v>
      </c>
      <c r="L55">
        <f t="shared" si="12"/>
        <v>706.37970737880096</v>
      </c>
      <c r="M55">
        <f t="shared" si="13"/>
        <v>739.20935368940047</v>
      </c>
      <c r="N55">
        <f t="shared" si="14"/>
        <v>0.478562227350178</v>
      </c>
      <c r="O55">
        <f t="shared" si="5"/>
        <v>1618892891.0809791</v>
      </c>
      <c r="P55">
        <f t="shared" si="6"/>
        <v>-6.2470917328028008E-10</v>
      </c>
      <c r="Q55">
        <f t="shared" si="15"/>
        <v>3.637978807091713E-10</v>
      </c>
      <c r="R55" s="39"/>
    </row>
    <row r="56" spans="1:18" x14ac:dyDescent="0.25">
      <c r="A56">
        <v>40</v>
      </c>
      <c r="B56">
        <f t="shared" si="7"/>
        <v>706.37970737807336</v>
      </c>
      <c r="C56">
        <f t="shared" si="8"/>
        <v>739.20935368903667</v>
      </c>
      <c r="D56">
        <f t="shared" si="9"/>
        <v>0.47856222734999226</v>
      </c>
      <c r="E56">
        <f t="shared" si="0"/>
        <v>1618892891.0786633</v>
      </c>
      <c r="F56">
        <f t="shared" si="1"/>
        <v>7.7193362812977284E-11</v>
      </c>
      <c r="G56">
        <f t="shared" si="2"/>
        <v>706.37970737825526</v>
      </c>
      <c r="H56">
        <f t="shared" si="10"/>
        <v>739.20935368912762</v>
      </c>
      <c r="I56">
        <f t="shared" si="11"/>
        <v>0.47856222735003906</v>
      </c>
      <c r="J56">
        <f t="shared" si="3"/>
        <v>1618892891.0792422</v>
      </c>
      <c r="K56">
        <f t="shared" si="4"/>
        <v>-9.822542779147625E-11</v>
      </c>
      <c r="L56">
        <f t="shared" si="12"/>
        <v>706.37970737843716</v>
      </c>
      <c r="M56">
        <f t="shared" si="13"/>
        <v>739.20935368921857</v>
      </c>
      <c r="N56">
        <f t="shared" si="14"/>
        <v>0.47856222735008541</v>
      </c>
      <c r="O56">
        <f t="shared" si="5"/>
        <v>1618892891.0798211</v>
      </c>
      <c r="P56">
        <f t="shared" si="6"/>
        <v>-2.737579052336514E-10</v>
      </c>
      <c r="Q56">
        <f t="shared" si="15"/>
        <v>-1.8189894035458565E-10</v>
      </c>
      <c r="R56" s="39"/>
    </row>
    <row r="57" spans="1:18" x14ac:dyDescent="0.25">
      <c r="A57">
        <v>41</v>
      </c>
      <c r="B57">
        <f t="shared" si="7"/>
        <v>706.37970737807336</v>
      </c>
      <c r="C57">
        <f t="shared" si="8"/>
        <v>739.20935368903667</v>
      </c>
      <c r="D57">
        <f t="shared" si="9"/>
        <v>0.47856222734999226</v>
      </c>
      <c r="E57">
        <f t="shared" si="0"/>
        <v>1618892891.0786633</v>
      </c>
      <c r="F57">
        <f t="shared" si="1"/>
        <v>7.7193362812977284E-11</v>
      </c>
      <c r="G57">
        <f t="shared" si="2"/>
        <v>706.37970737816431</v>
      </c>
      <c r="H57">
        <f t="shared" si="10"/>
        <v>739.20935368908215</v>
      </c>
      <c r="I57">
        <f t="shared" si="11"/>
        <v>0.47856222735001525</v>
      </c>
      <c r="J57">
        <f t="shared" si="3"/>
        <v>1618892891.0789523</v>
      </c>
      <c r="K57">
        <f t="shared" si="4"/>
        <v>-1.0572875908110291E-11</v>
      </c>
      <c r="L57">
        <f t="shared" si="12"/>
        <v>706.37970737825526</v>
      </c>
      <c r="M57">
        <f t="shared" si="13"/>
        <v>739.20935368912762</v>
      </c>
      <c r="N57">
        <f t="shared" si="14"/>
        <v>0.47856222735003906</v>
      </c>
      <c r="O57">
        <f t="shared" si="5"/>
        <v>1618892891.0792422</v>
      </c>
      <c r="P57">
        <f t="shared" si="6"/>
        <v>-9.822542779147625E-11</v>
      </c>
      <c r="Q57">
        <f t="shared" si="15"/>
        <v>-9.0949470177292824E-11</v>
      </c>
      <c r="R57" s="39"/>
    </row>
    <row r="58" spans="1:18" x14ac:dyDescent="0.25">
      <c r="A58">
        <v>42</v>
      </c>
      <c r="B58">
        <f t="shared" si="7"/>
        <v>706.37970737807336</v>
      </c>
      <c r="C58">
        <f t="shared" si="8"/>
        <v>739.20935368903667</v>
      </c>
      <c r="D58">
        <f t="shared" si="9"/>
        <v>0.47856222734999226</v>
      </c>
      <c r="E58">
        <f t="shared" si="0"/>
        <v>1618892891.0786633</v>
      </c>
      <c r="F58">
        <f t="shared" si="1"/>
        <v>7.7193362812977284E-11</v>
      </c>
      <c r="G58">
        <f t="shared" si="2"/>
        <v>706.37970737811884</v>
      </c>
      <c r="H58">
        <f t="shared" si="10"/>
        <v>739.20935368905941</v>
      </c>
      <c r="I58">
        <f t="shared" si="11"/>
        <v>0.47856222735000375</v>
      </c>
      <c r="J58">
        <f t="shared" si="3"/>
        <v>1618892891.0788076</v>
      </c>
      <c r="K58">
        <f t="shared" si="4"/>
        <v>3.3310243452433497E-11</v>
      </c>
      <c r="L58">
        <f t="shared" si="12"/>
        <v>706.37970737816431</v>
      </c>
      <c r="M58">
        <f t="shared" si="13"/>
        <v>739.20935368908215</v>
      </c>
      <c r="N58">
        <f t="shared" si="14"/>
        <v>0.47856222735001525</v>
      </c>
      <c r="O58">
        <f t="shared" si="5"/>
        <v>1618892891.0789523</v>
      </c>
      <c r="P58">
        <f t="shared" si="6"/>
        <v>-1.0572875908110291E-11</v>
      </c>
      <c r="Q58">
        <f t="shared" si="15"/>
        <v>-4.5474735088646412E-11</v>
      </c>
      <c r="R58" s="39"/>
    </row>
    <row r="59" spans="1:18" x14ac:dyDescent="0.25">
      <c r="A59">
        <v>43</v>
      </c>
      <c r="B59">
        <f t="shared" si="7"/>
        <v>706.37970737811884</v>
      </c>
      <c r="C59">
        <f t="shared" si="8"/>
        <v>739.20935368905941</v>
      </c>
      <c r="D59">
        <f t="shared" si="9"/>
        <v>0.47856222735000375</v>
      </c>
      <c r="E59">
        <f t="shared" si="0"/>
        <v>1618892891.0788076</v>
      </c>
      <c r="F59">
        <f t="shared" si="1"/>
        <v>3.3310243452433497E-11</v>
      </c>
      <c r="G59">
        <f t="shared" si="2"/>
        <v>706.37970737814157</v>
      </c>
      <c r="H59">
        <f t="shared" si="10"/>
        <v>739.20935368907078</v>
      </c>
      <c r="I59">
        <f t="shared" si="11"/>
        <v>0.47856222735000964</v>
      </c>
      <c r="J59">
        <f t="shared" si="3"/>
        <v>1618892891.0788803</v>
      </c>
      <c r="K59">
        <f t="shared" si="4"/>
        <v>1.1368683772161603E-11</v>
      </c>
      <c r="L59">
        <f t="shared" si="12"/>
        <v>706.37970737816431</v>
      </c>
      <c r="M59">
        <f t="shared" si="13"/>
        <v>739.20935368908215</v>
      </c>
      <c r="N59">
        <f t="shared" si="14"/>
        <v>0.47856222735001525</v>
      </c>
      <c r="O59">
        <f t="shared" si="5"/>
        <v>1618892891.0789523</v>
      </c>
      <c r="P59">
        <f t="shared" si="6"/>
        <v>-1.0572875908110291E-11</v>
      </c>
      <c r="Q59">
        <f t="shared" si="15"/>
        <v>2.2737367544323206E-11</v>
      </c>
      <c r="R59" s="39"/>
    </row>
    <row r="60" spans="1:18" x14ac:dyDescent="0.25">
      <c r="A60">
        <v>44</v>
      </c>
      <c r="B60">
        <f t="shared" si="7"/>
        <v>706.37970737814157</v>
      </c>
      <c r="C60">
        <f t="shared" si="8"/>
        <v>739.20935368907078</v>
      </c>
      <c r="D60">
        <f t="shared" si="9"/>
        <v>0.47856222735000964</v>
      </c>
      <c r="E60">
        <f t="shared" si="0"/>
        <v>1618892891.0788803</v>
      </c>
      <c r="F60">
        <f t="shared" si="1"/>
        <v>1.1368683772161603E-11</v>
      </c>
      <c r="G60">
        <f t="shared" si="2"/>
        <v>706.37970737815294</v>
      </c>
      <c r="H60">
        <f t="shared" si="10"/>
        <v>739.20935368907647</v>
      </c>
      <c r="I60">
        <f t="shared" si="11"/>
        <v>0.47856222735001269</v>
      </c>
      <c r="J60">
        <f t="shared" si="3"/>
        <v>1618892891.0789161</v>
      </c>
      <c r="K60">
        <f t="shared" si="4"/>
        <v>0</v>
      </c>
      <c r="L60">
        <f t="shared" si="12"/>
        <v>706.37970737816431</v>
      </c>
      <c r="M60">
        <f t="shared" si="13"/>
        <v>739.20935368908215</v>
      </c>
      <c r="N60">
        <f t="shared" si="14"/>
        <v>0.47856222735001525</v>
      </c>
      <c r="O60">
        <f t="shared" si="5"/>
        <v>1618892891.0789523</v>
      </c>
      <c r="P60">
        <f t="shared" si="6"/>
        <v>-1.0572875908110291E-11</v>
      </c>
      <c r="Q60">
        <f t="shared" si="15"/>
        <v>1.1368683772161603E-11</v>
      </c>
      <c r="R60" s="39"/>
    </row>
    <row r="61" spans="1:18" x14ac:dyDescent="0.25">
      <c r="A61">
        <v>45</v>
      </c>
      <c r="B61">
        <f t="shared" si="7"/>
        <v>706.37970737814157</v>
      </c>
      <c r="C61">
        <f t="shared" si="8"/>
        <v>739.20935368907078</v>
      </c>
      <c r="D61">
        <f t="shared" si="9"/>
        <v>0.47856222735000964</v>
      </c>
      <c r="E61">
        <f t="shared" si="0"/>
        <v>1618892891.0788803</v>
      </c>
      <c r="F61">
        <f t="shared" si="1"/>
        <v>1.1368683772161603E-11</v>
      </c>
      <c r="G61">
        <f t="shared" si="2"/>
        <v>706.37970737814726</v>
      </c>
      <c r="H61">
        <f t="shared" si="10"/>
        <v>739.20935368907362</v>
      </c>
      <c r="I61">
        <f t="shared" si="11"/>
        <v>0.47856222735001097</v>
      </c>
      <c r="J61">
        <f t="shared" si="3"/>
        <v>1618892891.0788982</v>
      </c>
      <c r="K61">
        <f t="shared" si="4"/>
        <v>5.9117155615240335E-12</v>
      </c>
      <c r="L61">
        <f t="shared" si="12"/>
        <v>706.37970737815294</v>
      </c>
      <c r="M61">
        <f t="shared" si="13"/>
        <v>739.20935368907647</v>
      </c>
      <c r="N61">
        <f t="shared" si="14"/>
        <v>0.47856222735001269</v>
      </c>
      <c r="O61">
        <f t="shared" si="5"/>
        <v>1618892891.0789161</v>
      </c>
      <c r="P61">
        <f t="shared" si="6"/>
        <v>0</v>
      </c>
      <c r="Q61">
        <f t="shared" si="15"/>
        <v>-5.6843418860808015E-12</v>
      </c>
      <c r="R61" s="39"/>
    </row>
    <row r="62" spans="1:18" x14ac:dyDescent="0.25">
      <c r="A62">
        <v>46</v>
      </c>
      <c r="B62">
        <f t="shared" si="7"/>
        <v>706.37970737814726</v>
      </c>
      <c r="C62">
        <f t="shared" si="8"/>
        <v>739.20935368907362</v>
      </c>
      <c r="D62">
        <f t="shared" si="9"/>
        <v>0.47856222735001097</v>
      </c>
      <c r="E62">
        <f t="shared" si="0"/>
        <v>1618892891.0788982</v>
      </c>
      <c r="F62">
        <f t="shared" si="1"/>
        <v>5.9117155615240335E-12</v>
      </c>
      <c r="G62">
        <f t="shared" si="2"/>
        <v>706.37970737814726</v>
      </c>
      <c r="H62">
        <f t="shared" si="10"/>
        <v>739.20935368907362</v>
      </c>
      <c r="I62">
        <f t="shared" si="11"/>
        <v>0.47856222735001097</v>
      </c>
      <c r="J62">
        <f t="shared" si="3"/>
        <v>1618892891.0788982</v>
      </c>
      <c r="K62">
        <f t="shared" si="4"/>
        <v>5.9117155615240335E-12</v>
      </c>
      <c r="L62">
        <f t="shared" si="12"/>
        <v>706.37970737814726</v>
      </c>
      <c r="M62">
        <f t="shared" si="13"/>
        <v>739.20935368907362</v>
      </c>
      <c r="N62">
        <f t="shared" si="14"/>
        <v>0.47856222735001097</v>
      </c>
      <c r="O62">
        <f t="shared" si="5"/>
        <v>1618892891.0788982</v>
      </c>
      <c r="P62">
        <f t="shared" si="6"/>
        <v>5.9117155615240335E-12</v>
      </c>
      <c r="Q62">
        <f t="shared" si="15"/>
        <v>0</v>
      </c>
      <c r="R62" s="39"/>
    </row>
    <row r="63" spans="1:18" x14ac:dyDescent="0.25">
      <c r="A63">
        <v>47</v>
      </c>
      <c r="B63">
        <f t="shared" si="7"/>
        <v>706.37970737814726</v>
      </c>
      <c r="C63">
        <f t="shared" si="8"/>
        <v>739.20935368907362</v>
      </c>
      <c r="D63">
        <f t="shared" si="9"/>
        <v>0.47856222735001097</v>
      </c>
      <c r="E63">
        <f t="shared" si="0"/>
        <v>1618892891.0788982</v>
      </c>
      <c r="F63">
        <f t="shared" si="1"/>
        <v>5.9117155615240335E-12</v>
      </c>
      <c r="G63">
        <f t="shared" si="2"/>
        <v>706.37970737814726</v>
      </c>
      <c r="H63">
        <f t="shared" si="10"/>
        <v>739.20935368907362</v>
      </c>
      <c r="I63">
        <f t="shared" si="11"/>
        <v>0.47856222735001097</v>
      </c>
      <c r="J63">
        <f t="shared" si="3"/>
        <v>1618892891.0788982</v>
      </c>
      <c r="K63">
        <f t="shared" si="4"/>
        <v>5.9117155615240335E-12</v>
      </c>
      <c r="L63">
        <f t="shared" si="12"/>
        <v>706.37970737814726</v>
      </c>
      <c r="M63">
        <f t="shared" si="13"/>
        <v>739.20935368907362</v>
      </c>
      <c r="N63">
        <f t="shared" si="14"/>
        <v>0.47856222735001097</v>
      </c>
      <c r="O63">
        <f t="shared" si="5"/>
        <v>1618892891.0788982</v>
      </c>
      <c r="P63">
        <f t="shared" si="6"/>
        <v>5.9117155615240335E-12</v>
      </c>
      <c r="Q63">
        <f t="shared" si="15"/>
        <v>0</v>
      </c>
      <c r="R63" s="39"/>
    </row>
    <row r="64" spans="1:18" x14ac:dyDescent="0.25">
      <c r="A64">
        <v>48</v>
      </c>
      <c r="B64">
        <f t="shared" si="7"/>
        <v>706.37970737814726</v>
      </c>
      <c r="C64">
        <f t="shared" si="8"/>
        <v>739.20935368907362</v>
      </c>
      <c r="D64">
        <f t="shared" si="9"/>
        <v>0.47856222735001097</v>
      </c>
      <c r="E64">
        <f t="shared" si="0"/>
        <v>1618892891.0788982</v>
      </c>
      <c r="F64">
        <f t="shared" si="1"/>
        <v>5.9117155615240335E-12</v>
      </c>
      <c r="G64">
        <f t="shared" si="2"/>
        <v>706.37970737814726</v>
      </c>
      <c r="H64">
        <f t="shared" si="10"/>
        <v>739.20935368907362</v>
      </c>
      <c r="I64">
        <f t="shared" si="11"/>
        <v>0.47856222735001097</v>
      </c>
      <c r="J64">
        <f t="shared" si="3"/>
        <v>1618892891.0788982</v>
      </c>
      <c r="K64">
        <f t="shared" si="4"/>
        <v>5.9117155615240335E-12</v>
      </c>
      <c r="L64">
        <f t="shared" si="12"/>
        <v>706.37970737814726</v>
      </c>
      <c r="M64">
        <f t="shared" si="13"/>
        <v>739.20935368907362</v>
      </c>
      <c r="N64">
        <f t="shared" si="14"/>
        <v>0.47856222735001097</v>
      </c>
      <c r="O64">
        <f t="shared" si="5"/>
        <v>1618892891.0788982</v>
      </c>
      <c r="P64">
        <f t="shared" si="6"/>
        <v>5.9117155615240335E-12</v>
      </c>
      <c r="Q64">
        <f t="shared" si="15"/>
        <v>0</v>
      </c>
      <c r="R64" s="39"/>
    </row>
    <row r="65" spans="1:18" x14ac:dyDescent="0.25">
      <c r="A65">
        <v>49</v>
      </c>
      <c r="B65">
        <f t="shared" si="7"/>
        <v>706.37970737814726</v>
      </c>
      <c r="C65">
        <f t="shared" si="8"/>
        <v>739.20935368907362</v>
      </c>
      <c r="D65">
        <f t="shared" si="9"/>
        <v>0.47856222735001097</v>
      </c>
      <c r="E65">
        <f t="shared" si="0"/>
        <v>1618892891.0788982</v>
      </c>
      <c r="F65">
        <f t="shared" si="1"/>
        <v>5.9117155615240335E-12</v>
      </c>
      <c r="G65">
        <f t="shared" si="2"/>
        <v>706.37970737814726</v>
      </c>
      <c r="H65">
        <f t="shared" si="10"/>
        <v>739.20935368907362</v>
      </c>
      <c r="I65">
        <f t="shared" si="11"/>
        <v>0.47856222735001097</v>
      </c>
      <c r="J65">
        <f t="shared" si="3"/>
        <v>1618892891.0788982</v>
      </c>
      <c r="K65">
        <f t="shared" si="4"/>
        <v>5.9117155615240335E-12</v>
      </c>
      <c r="L65">
        <f t="shared" si="12"/>
        <v>706.37970737814726</v>
      </c>
      <c r="M65">
        <f t="shared" si="13"/>
        <v>739.20935368907362</v>
      </c>
      <c r="N65">
        <f t="shared" si="14"/>
        <v>0.47856222735001097</v>
      </c>
      <c r="O65">
        <f t="shared" si="5"/>
        <v>1618892891.0788982</v>
      </c>
      <c r="P65">
        <f t="shared" si="6"/>
        <v>5.9117155615240335E-12</v>
      </c>
      <c r="Q65">
        <f t="shared" si="15"/>
        <v>0</v>
      </c>
      <c r="R65" s="39"/>
    </row>
    <row r="66" spans="1:18" x14ac:dyDescent="0.25">
      <c r="A66">
        <v>50</v>
      </c>
      <c r="B66">
        <f t="shared" si="7"/>
        <v>706.37970737814726</v>
      </c>
      <c r="C66">
        <f t="shared" si="8"/>
        <v>739.20935368907362</v>
      </c>
      <c r="D66">
        <f t="shared" si="9"/>
        <v>0.47856222735001097</v>
      </c>
      <c r="E66">
        <f t="shared" si="0"/>
        <v>1618892891.0788982</v>
      </c>
      <c r="F66">
        <f t="shared" si="1"/>
        <v>5.9117155615240335E-12</v>
      </c>
      <c r="G66">
        <f t="shared" si="2"/>
        <v>706.37970737814726</v>
      </c>
      <c r="H66">
        <f t="shared" si="10"/>
        <v>739.20935368907362</v>
      </c>
      <c r="I66">
        <f t="shared" si="11"/>
        <v>0.47856222735001097</v>
      </c>
      <c r="J66">
        <f t="shared" si="3"/>
        <v>1618892891.0788982</v>
      </c>
      <c r="K66">
        <f t="shared" si="4"/>
        <v>5.9117155615240335E-12</v>
      </c>
      <c r="L66">
        <f t="shared" si="12"/>
        <v>706.37970737814726</v>
      </c>
      <c r="M66">
        <f t="shared" si="13"/>
        <v>739.20935368907362</v>
      </c>
      <c r="N66">
        <f t="shared" si="14"/>
        <v>0.47856222735001097</v>
      </c>
      <c r="O66">
        <f t="shared" si="5"/>
        <v>1618892891.0788982</v>
      </c>
      <c r="P66">
        <f t="shared" si="6"/>
        <v>5.9117155615240335E-12</v>
      </c>
      <c r="Q66">
        <f t="shared" si="15"/>
        <v>0</v>
      </c>
      <c r="R66" s="39"/>
    </row>
    <row r="67" spans="1:18" x14ac:dyDescent="0.25">
      <c r="R67" s="39"/>
    </row>
    <row r="68" spans="1:18" x14ac:dyDescent="0.25">
      <c r="B68" t="s">
        <v>308</v>
      </c>
      <c r="C68">
        <f>(B1+G66)/2</f>
        <v>739.20935368907362</v>
      </c>
      <c r="R68" s="39"/>
    </row>
    <row r="69" spans="1:18" x14ac:dyDescent="0.25">
      <c r="R69" s="39"/>
    </row>
  </sheetData>
  <mergeCells count="5">
    <mergeCell ref="A15:A16"/>
    <mergeCell ref="A14:Q14"/>
    <mergeCell ref="B15:F15"/>
    <mergeCell ref="G15:K15"/>
    <mergeCell ref="L15:P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1"/>
  <sheetViews>
    <sheetView topLeftCell="D2" workbookViewId="0">
      <selection activeCell="M10" sqref="M10:M12"/>
    </sheetView>
  </sheetViews>
  <sheetFormatPr defaultRowHeight="15" x14ac:dyDescent="0.25"/>
  <cols>
    <col min="1" max="1" width="12.7109375" bestFit="1" customWidth="1"/>
    <col min="2" max="2" width="11.5703125" bestFit="1" customWidth="1"/>
    <col min="3" max="3" width="16.28515625" bestFit="1" customWidth="1"/>
    <col min="7" max="7" width="11" bestFit="1" customWidth="1"/>
    <col min="8" max="8" width="9" bestFit="1" customWidth="1"/>
    <col min="9" max="9" width="12" bestFit="1" customWidth="1"/>
    <col min="10" max="10" width="9.140625" customWidth="1"/>
    <col min="11" max="11" width="10" customWidth="1"/>
    <col min="12" max="14" width="14" customWidth="1"/>
    <col min="15" max="15" width="14.140625" customWidth="1"/>
    <col min="16" max="16" width="12.42578125" customWidth="1"/>
    <col min="17" max="17" width="13.7109375" bestFit="1" customWidth="1"/>
    <col min="18" max="18" width="19.140625" customWidth="1"/>
    <col min="19" max="19" width="11.5703125" bestFit="1" customWidth="1"/>
    <col min="20" max="21" width="12" bestFit="1" customWidth="1"/>
    <col min="22" max="23" width="11.5703125" bestFit="1" customWidth="1"/>
  </cols>
  <sheetData>
    <row r="1" spans="1:25" ht="15.75" x14ac:dyDescent="0.25">
      <c r="A1" s="201" t="s">
        <v>229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</row>
    <row r="2" spans="1:25" ht="15.75" x14ac:dyDescent="0.25">
      <c r="A2" s="194" t="s">
        <v>263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6"/>
    </row>
    <row r="3" spans="1:25" ht="45" x14ac:dyDescent="0.25">
      <c r="A3" s="77" t="s">
        <v>266</v>
      </c>
      <c r="B3" s="77" t="s">
        <v>262</v>
      </c>
      <c r="C3" s="77" t="s">
        <v>261</v>
      </c>
      <c r="D3" s="77" t="s">
        <v>260</v>
      </c>
      <c r="E3" s="77" t="s">
        <v>259</v>
      </c>
      <c r="F3" s="77" t="s">
        <v>258</v>
      </c>
      <c r="G3" s="77" t="s">
        <v>336</v>
      </c>
      <c r="H3" s="77"/>
      <c r="I3" s="77" t="s">
        <v>272</v>
      </c>
      <c r="J3" s="77" t="s">
        <v>257</v>
      </c>
      <c r="K3" s="77" t="s">
        <v>269</v>
      </c>
      <c r="L3" s="77" t="s">
        <v>268</v>
      </c>
      <c r="M3" s="130" t="s">
        <v>352</v>
      </c>
      <c r="N3" s="130" t="s">
        <v>354</v>
      </c>
      <c r="O3" s="77" t="s">
        <v>267</v>
      </c>
      <c r="P3" s="77" t="s">
        <v>270</v>
      </c>
      <c r="Q3" s="77" t="s">
        <v>256</v>
      </c>
      <c r="R3" s="81" t="s">
        <v>271</v>
      </c>
      <c r="U3" s="205" t="s">
        <v>275</v>
      </c>
      <c r="V3" s="205"/>
      <c r="W3" s="205"/>
      <c r="X3" s="205"/>
      <c r="Y3" s="205"/>
    </row>
    <row r="4" spans="1:25" x14ac:dyDescent="0.25">
      <c r="A4" s="191" t="s">
        <v>265</v>
      </c>
      <c r="B4" s="69" t="s">
        <v>53</v>
      </c>
      <c r="C4" s="70">
        <f>4.6/100</f>
        <v>4.5999999999999999E-2</v>
      </c>
      <c r="D4" s="46">
        <v>238.04955989999999</v>
      </c>
      <c r="E4" s="191">
        <f>(C4*D4)+(C5*D5)+(C6*D6)+(C7*D7)+(C8*D8)</f>
        <v>239.7495783283</v>
      </c>
      <c r="F4" s="191">
        <f>E4+E9</f>
        <v>271.74838818501661</v>
      </c>
      <c r="G4" s="191">
        <v>0.02</v>
      </c>
      <c r="H4" s="191">
        <f>G4</f>
        <v>0.02</v>
      </c>
      <c r="I4" s="191">
        <f>(G4*F4)+(G10*F10)</f>
        <v>270.06235197065058</v>
      </c>
      <c r="J4" s="191">
        <f>11.46</f>
        <v>11.46</v>
      </c>
      <c r="K4" s="191">
        <v>100</v>
      </c>
      <c r="L4" s="191">
        <f>K4*H4</f>
        <v>2</v>
      </c>
      <c r="M4" s="191">
        <f>L4/F4</f>
        <v>7.3597492642286594E-3</v>
      </c>
      <c r="N4" s="191">
        <f>M4/(M4+M10)</f>
        <v>1.9875896248046043E-2</v>
      </c>
      <c r="O4" s="191">
        <f>L4/J4</f>
        <v>0.17452006980802792</v>
      </c>
      <c r="P4" s="188">
        <f>O4+O10</f>
        <v>9.1161259092240847</v>
      </c>
      <c r="Q4" s="188">
        <f>O4/P4</f>
        <v>1.9144104803493454E-2</v>
      </c>
      <c r="R4" s="202">
        <f>(Q4*J4)+(Q10*J10)</f>
        <v>10.969572052401748</v>
      </c>
      <c r="S4" s="82">
        <f>R4*0.96</f>
        <v>10.530789170305678</v>
      </c>
      <c r="U4" s="207" t="s">
        <v>239</v>
      </c>
      <c r="V4" s="179" t="s">
        <v>73</v>
      </c>
      <c r="W4" s="179"/>
      <c r="X4" s="206" t="s">
        <v>116</v>
      </c>
      <c r="Y4" s="206"/>
    </row>
    <row r="5" spans="1:25" x14ac:dyDescent="0.25">
      <c r="A5" s="192"/>
      <c r="B5" s="69" t="s">
        <v>54</v>
      </c>
      <c r="C5" s="70">
        <f>50.5/100</f>
        <v>0.505</v>
      </c>
      <c r="D5" s="46">
        <v>239.05216340000001</v>
      </c>
      <c r="E5" s="192"/>
      <c r="F5" s="192"/>
      <c r="G5" s="192"/>
      <c r="H5" s="192"/>
      <c r="I5" s="192"/>
      <c r="J5" s="192"/>
      <c r="K5" s="192"/>
      <c r="L5" s="192"/>
      <c r="M5" s="192"/>
      <c r="N5" s="192"/>
      <c r="O5" s="192"/>
      <c r="P5" s="189"/>
      <c r="Q5" s="189"/>
      <c r="R5" s="203"/>
      <c r="S5" s="82"/>
      <c r="U5" s="207"/>
      <c r="V5" s="79" t="s">
        <v>273</v>
      </c>
      <c r="W5" s="79" t="s">
        <v>274</v>
      </c>
      <c r="X5" s="79" t="s">
        <v>273</v>
      </c>
      <c r="Y5" s="79" t="s">
        <v>274</v>
      </c>
    </row>
    <row r="6" spans="1:25" x14ac:dyDescent="0.25">
      <c r="A6" s="192"/>
      <c r="B6" s="69" t="s">
        <v>55</v>
      </c>
      <c r="C6" s="70">
        <f>24/100</f>
        <v>0.24</v>
      </c>
      <c r="D6" s="46">
        <v>240.05381349999999</v>
      </c>
      <c r="E6" s="192"/>
      <c r="F6" s="192"/>
      <c r="G6" s="192"/>
      <c r="H6" s="192"/>
      <c r="I6" s="192"/>
      <c r="J6" s="192"/>
      <c r="K6" s="192"/>
      <c r="L6" s="192"/>
      <c r="M6" s="192"/>
      <c r="N6" s="192"/>
      <c r="O6" s="192"/>
      <c r="P6" s="189"/>
      <c r="Q6" s="189"/>
      <c r="R6" s="203"/>
      <c r="S6" s="82"/>
      <c r="U6" s="4">
        <v>2</v>
      </c>
      <c r="V6" s="83">
        <f>S4</f>
        <v>10.530789170305678</v>
      </c>
      <c r="W6" s="83">
        <f>S14</f>
        <v>10.49097638325355</v>
      </c>
      <c r="X6" s="4">
        <f>I4</f>
        <v>270.06235197065058</v>
      </c>
      <c r="Y6" s="4">
        <f>I14</f>
        <v>270.79262843062986</v>
      </c>
    </row>
    <row r="7" spans="1:25" x14ac:dyDescent="0.25">
      <c r="A7" s="192"/>
      <c r="B7" s="69" t="s">
        <v>56</v>
      </c>
      <c r="C7" s="70">
        <f>12.5/100</f>
        <v>0.125</v>
      </c>
      <c r="D7" s="76">
        <v>241.05685149999999</v>
      </c>
      <c r="E7" s="192"/>
      <c r="F7" s="192"/>
      <c r="G7" s="192"/>
      <c r="H7" s="192"/>
      <c r="I7" s="192"/>
      <c r="J7" s="192"/>
      <c r="K7" s="192"/>
      <c r="L7" s="192"/>
      <c r="M7" s="192"/>
      <c r="N7" s="192"/>
      <c r="O7" s="192"/>
      <c r="P7" s="189"/>
      <c r="Q7" s="189"/>
      <c r="R7" s="203"/>
      <c r="S7" s="82"/>
      <c r="U7" s="4">
        <v>4</v>
      </c>
      <c r="V7" s="83">
        <f>S29</f>
        <v>10.539994405594406</v>
      </c>
      <c r="W7" s="83">
        <f>S39</f>
        <v>10.500039882497232</v>
      </c>
      <c r="X7" s="4">
        <f>I29</f>
        <v>270.09676087298459</v>
      </c>
      <c r="Y7" s="4">
        <f>I39</f>
        <v>270.8267655026354</v>
      </c>
    </row>
    <row r="8" spans="1:25" x14ac:dyDescent="0.25">
      <c r="A8" s="192"/>
      <c r="B8" s="69" t="s">
        <v>57</v>
      </c>
      <c r="C8" s="70">
        <f>8.4/100</f>
        <v>8.4000000000000005E-2</v>
      </c>
      <c r="D8" s="76">
        <v>242.05874259999999</v>
      </c>
      <c r="E8" s="193"/>
      <c r="F8" s="192"/>
      <c r="G8" s="192"/>
      <c r="H8" s="192"/>
      <c r="I8" s="192"/>
      <c r="J8" s="192"/>
      <c r="K8" s="192"/>
      <c r="L8" s="192"/>
      <c r="M8" s="192"/>
      <c r="N8" s="192"/>
      <c r="O8" s="192"/>
      <c r="P8" s="189"/>
      <c r="Q8" s="189"/>
      <c r="R8" s="203"/>
      <c r="S8" s="82"/>
      <c r="U8" s="4">
        <v>6</v>
      </c>
      <c r="V8" s="83">
        <f>S54</f>
        <v>10.549215748031497</v>
      </c>
      <c r="W8" s="83">
        <f>S64</f>
        <v>10.50911905579191</v>
      </c>
      <c r="X8" s="4">
        <f>I54</f>
        <v>270.13116977531854</v>
      </c>
      <c r="Y8" s="4">
        <f>I64</f>
        <v>270.86090257464099</v>
      </c>
    </row>
    <row r="9" spans="1:25" x14ac:dyDescent="0.25">
      <c r="A9" s="193"/>
      <c r="B9" s="23" t="s">
        <v>66</v>
      </c>
      <c r="C9" s="23">
        <v>1</v>
      </c>
      <c r="D9" s="75">
        <v>15.999404928358301</v>
      </c>
      <c r="E9" s="23">
        <f>2*D9</f>
        <v>31.998809856716601</v>
      </c>
      <c r="F9" s="193"/>
      <c r="G9" s="193"/>
      <c r="H9" s="193"/>
      <c r="I9" s="192"/>
      <c r="J9" s="193"/>
      <c r="K9" s="192"/>
      <c r="L9" s="193"/>
      <c r="M9" s="193"/>
      <c r="N9" s="193"/>
      <c r="O9" s="193"/>
      <c r="P9" s="189"/>
      <c r="Q9" s="190"/>
      <c r="R9" s="203"/>
      <c r="S9" s="82"/>
      <c r="U9" s="4">
        <v>8</v>
      </c>
      <c r="V9" s="83">
        <f>S79</f>
        <v>10.558453239929948</v>
      </c>
      <c r="W9" s="83">
        <f>S89</f>
        <v>10.51821394383188</v>
      </c>
      <c r="X9" s="4">
        <f>I79</f>
        <v>270.1655786776526</v>
      </c>
      <c r="Y9" s="4">
        <f>I89</f>
        <v>270.89503964664652</v>
      </c>
    </row>
    <row r="10" spans="1:25" x14ac:dyDescent="0.25">
      <c r="A10" s="200" t="s">
        <v>254</v>
      </c>
      <c r="B10" s="70" t="s">
        <v>62</v>
      </c>
      <c r="C10" s="131">
        <v>7.1999999999999998E-3</v>
      </c>
      <c r="D10" s="70">
        <v>235.0439231</v>
      </c>
      <c r="E10" s="200">
        <f>(C10*D10)+(C11*D11)</f>
        <v>238.0291332116</v>
      </c>
      <c r="F10" s="188">
        <f>E10+E12</f>
        <v>270.02794306831657</v>
      </c>
      <c r="G10" s="188">
        <f>1-G4</f>
        <v>0.98</v>
      </c>
      <c r="H10" s="188">
        <f>G10</f>
        <v>0.98</v>
      </c>
      <c r="I10" s="192"/>
      <c r="J10" s="200">
        <v>10.96</v>
      </c>
      <c r="K10" s="192"/>
      <c r="L10" s="188">
        <f>K4*H10</f>
        <v>98</v>
      </c>
      <c r="M10" s="188">
        <f>L10/F10</f>
        <v>0.36292540278028257</v>
      </c>
      <c r="N10" s="188">
        <f>M10/(M10+M4)</f>
        <v>0.98012410375195391</v>
      </c>
      <c r="O10" s="188">
        <f>L10/J10</f>
        <v>8.9416058394160576</v>
      </c>
      <c r="P10" s="189"/>
      <c r="Q10" s="188">
        <f>O10/P4</f>
        <v>0.98085589519650662</v>
      </c>
      <c r="R10" s="203"/>
      <c r="S10" s="82"/>
      <c r="U10" s="4">
        <v>10</v>
      </c>
      <c r="V10" s="83">
        <f>S104</f>
        <v>10.567706923751096</v>
      </c>
      <c r="W10" s="83">
        <f>S114</f>
        <v>10.527324587452439</v>
      </c>
      <c r="X10" s="4">
        <f>I104</f>
        <v>270.19998757998661</v>
      </c>
      <c r="Y10" s="4">
        <f>I114</f>
        <v>270.92917671865212</v>
      </c>
    </row>
    <row r="11" spans="1:25" x14ac:dyDescent="0.25">
      <c r="A11" s="200"/>
      <c r="B11" s="70" t="s">
        <v>64</v>
      </c>
      <c r="C11" s="131">
        <f>1-C10</f>
        <v>0.99280000000000002</v>
      </c>
      <c r="D11" s="70">
        <v>238.05078259999999</v>
      </c>
      <c r="E11" s="200"/>
      <c r="F11" s="189"/>
      <c r="G11" s="189"/>
      <c r="H11" s="189"/>
      <c r="I11" s="192"/>
      <c r="J11" s="200"/>
      <c r="K11" s="192"/>
      <c r="L11" s="189"/>
      <c r="M11" s="189"/>
      <c r="N11" s="189"/>
      <c r="O11" s="189"/>
      <c r="P11" s="189"/>
      <c r="Q11" s="189"/>
      <c r="R11" s="203"/>
      <c r="S11" s="82"/>
      <c r="U11" s="4">
        <v>12</v>
      </c>
      <c r="V11" s="83">
        <f>S129</f>
        <v>10.576976842105262</v>
      </c>
      <c r="W11" s="83">
        <f>S139</f>
        <v>10.536451027630475</v>
      </c>
      <c r="X11" s="4">
        <f>I129</f>
        <v>270.23439648232056</v>
      </c>
      <c r="Y11" s="4">
        <f>I139</f>
        <v>270.96331379065765</v>
      </c>
    </row>
    <row r="12" spans="1:25" x14ac:dyDescent="0.25">
      <c r="A12" s="200"/>
      <c r="B12" s="70" t="s">
        <v>66</v>
      </c>
      <c r="C12" s="131">
        <v>1</v>
      </c>
      <c r="D12" s="75">
        <v>15.999404928358301</v>
      </c>
      <c r="E12" s="75">
        <f>(2*D12)</f>
        <v>31.998809856716601</v>
      </c>
      <c r="F12" s="190"/>
      <c r="G12" s="190"/>
      <c r="H12" s="190"/>
      <c r="I12" s="193"/>
      <c r="J12" s="200"/>
      <c r="K12" s="193"/>
      <c r="L12" s="190"/>
      <c r="M12" s="190"/>
      <c r="N12" s="190"/>
      <c r="O12" s="190"/>
      <c r="P12" s="190"/>
      <c r="Q12" s="190"/>
      <c r="R12" s="204"/>
      <c r="S12" s="82"/>
      <c r="U12" s="4">
        <v>14</v>
      </c>
      <c r="V12" s="83">
        <f>S154</f>
        <v>10.586263037752413</v>
      </c>
      <c r="W12" s="83">
        <f>S164</f>
        <v>10.545593305485111</v>
      </c>
      <c r="X12" s="4">
        <f>I154</f>
        <v>270.26880538465457</v>
      </c>
      <c r="Y12" s="4">
        <f>I164</f>
        <v>270.99745086266324</v>
      </c>
    </row>
    <row r="13" spans="1:25" ht="15.75" x14ac:dyDescent="0.25">
      <c r="A13" s="194" t="s">
        <v>255</v>
      </c>
      <c r="B13" s="195"/>
      <c r="C13" s="195"/>
      <c r="D13" s="195"/>
      <c r="E13" s="195"/>
      <c r="F13" s="195"/>
      <c r="G13" s="195"/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6"/>
      <c r="S13" s="82"/>
      <c r="U13" s="4">
        <v>16</v>
      </c>
      <c r="V13" s="83">
        <f>S179</f>
        <v>10.595565553602812</v>
      </c>
      <c r="W13" s="83">
        <f>S189</f>
        <v>10.554751462278295</v>
      </c>
      <c r="X13" s="4">
        <f>I179</f>
        <v>270.30321428698858</v>
      </c>
      <c r="Y13" s="4">
        <f>I189</f>
        <v>271.03158793466878</v>
      </c>
    </row>
    <row r="14" spans="1:25" x14ac:dyDescent="0.25">
      <c r="A14" s="191" t="s">
        <v>265</v>
      </c>
      <c r="B14" s="73" t="s">
        <v>53</v>
      </c>
      <c r="C14" s="74">
        <f>4.6/100</f>
        <v>4.5999999999999999E-2</v>
      </c>
      <c r="D14" s="46">
        <v>238.04955989999999</v>
      </c>
      <c r="E14" s="191">
        <f>(C14*D14)+(C15*D15)+(C16*D16)+(C17*D17)+(C18*D18)</f>
        <v>239.7495783283</v>
      </c>
      <c r="F14" s="191">
        <f>E14+E19</f>
        <v>271.74838818501661</v>
      </c>
      <c r="G14" s="191">
        <f>G4</f>
        <v>0.02</v>
      </c>
      <c r="H14" s="197">
        <f>G14*0.9921</f>
        <v>1.9841999999999999E-2</v>
      </c>
      <c r="I14" s="200">
        <f>(H14*F14)+(H20*F20)+(H23*F23)</f>
        <v>270.79262843062986</v>
      </c>
      <c r="J14" s="191">
        <f>11.46</f>
        <v>11.46</v>
      </c>
      <c r="K14" s="200">
        <v>100</v>
      </c>
      <c r="L14" s="200">
        <f>K14*H14</f>
        <v>1.9842</v>
      </c>
      <c r="M14" s="188">
        <f>L14/F14</f>
        <v>7.3016072450412528E-3</v>
      </c>
      <c r="N14" s="188">
        <f>M14/(M14+M20+M23)</f>
        <v>1.9758681460352676E-2</v>
      </c>
      <c r="O14" s="200">
        <f>L14/J14</f>
        <v>0.17314136125654447</v>
      </c>
      <c r="P14" s="188">
        <f>O14+O20+O23</f>
        <v>9.1507212001012679</v>
      </c>
      <c r="Q14" s="200">
        <f>O14/P14</f>
        <v>1.892106179069562E-2</v>
      </c>
      <c r="R14" s="200">
        <f>(Q14*J14)+(Q20*J20)+(Q23*J23)</f>
        <v>10.928100399222448</v>
      </c>
      <c r="S14" s="82">
        <f t="shared" ref="S14:S64" si="0">R14*0.96</f>
        <v>10.49097638325355</v>
      </c>
      <c r="U14" s="4">
        <v>18</v>
      </c>
      <c r="V14" s="83">
        <f>S204</f>
        <v>10.604884432717679</v>
      </c>
      <c r="W14" s="83">
        <f>S214</f>
        <v>10.563925539415443</v>
      </c>
      <c r="X14" s="4">
        <f>I204</f>
        <v>270.33762318932258</v>
      </c>
      <c r="Y14" s="4">
        <f>I214</f>
        <v>271.06572500667437</v>
      </c>
    </row>
    <row r="15" spans="1:25" x14ac:dyDescent="0.25">
      <c r="A15" s="192"/>
      <c r="B15" s="73" t="s">
        <v>54</v>
      </c>
      <c r="C15" s="74">
        <f>50.5/100</f>
        <v>0.505</v>
      </c>
      <c r="D15" s="46">
        <v>239.05216340000001</v>
      </c>
      <c r="E15" s="192"/>
      <c r="F15" s="192"/>
      <c r="G15" s="192"/>
      <c r="H15" s="198"/>
      <c r="I15" s="200"/>
      <c r="J15" s="192"/>
      <c r="K15" s="200"/>
      <c r="L15" s="200"/>
      <c r="M15" s="189"/>
      <c r="N15" s="189"/>
      <c r="O15" s="200"/>
      <c r="P15" s="189"/>
      <c r="Q15" s="200"/>
      <c r="R15" s="200"/>
      <c r="S15" s="82"/>
      <c r="U15" s="4">
        <v>20</v>
      </c>
      <c r="V15" s="83">
        <f>S229</f>
        <v>10.61421971830986</v>
      </c>
      <c r="W15" s="83">
        <f>S239</f>
        <v>10.573115578446044</v>
      </c>
      <c r="X15" s="4">
        <f>I229</f>
        <v>270.37203209165659</v>
      </c>
      <c r="Y15" s="4">
        <f>I239</f>
        <v>271.09986207867996</v>
      </c>
    </row>
    <row r="16" spans="1:25" x14ac:dyDescent="0.25">
      <c r="A16" s="192"/>
      <c r="B16" s="73" t="s">
        <v>55</v>
      </c>
      <c r="C16" s="74">
        <f>24/100</f>
        <v>0.24</v>
      </c>
      <c r="D16" s="46">
        <v>240.05381349999999</v>
      </c>
      <c r="E16" s="192"/>
      <c r="F16" s="192"/>
      <c r="G16" s="192"/>
      <c r="H16" s="198"/>
      <c r="I16" s="200"/>
      <c r="J16" s="192"/>
      <c r="K16" s="200"/>
      <c r="L16" s="200"/>
      <c r="M16" s="189"/>
      <c r="N16" s="189"/>
      <c r="O16" s="200"/>
      <c r="P16" s="189"/>
      <c r="Q16" s="200"/>
      <c r="R16" s="200"/>
      <c r="S16" s="82"/>
    </row>
    <row r="17" spans="1:19" x14ac:dyDescent="0.25">
      <c r="A17" s="192"/>
      <c r="B17" s="73" t="s">
        <v>56</v>
      </c>
      <c r="C17" s="74">
        <f>12.5/100</f>
        <v>0.125</v>
      </c>
      <c r="D17" s="76">
        <v>241.05685149999999</v>
      </c>
      <c r="E17" s="192"/>
      <c r="F17" s="192"/>
      <c r="G17" s="192"/>
      <c r="H17" s="198"/>
      <c r="I17" s="200"/>
      <c r="J17" s="192"/>
      <c r="K17" s="200"/>
      <c r="L17" s="200"/>
      <c r="M17" s="189"/>
      <c r="N17" s="189"/>
      <c r="O17" s="200"/>
      <c r="P17" s="189"/>
      <c r="Q17" s="200"/>
      <c r="R17" s="200"/>
      <c r="S17" s="82"/>
    </row>
    <row r="18" spans="1:19" x14ac:dyDescent="0.25">
      <c r="A18" s="192"/>
      <c r="B18" s="73" t="s">
        <v>57</v>
      </c>
      <c r="C18" s="74">
        <f>8.4/100</f>
        <v>8.4000000000000005E-2</v>
      </c>
      <c r="D18" s="76">
        <v>242.05874259999999</v>
      </c>
      <c r="E18" s="193"/>
      <c r="F18" s="192"/>
      <c r="G18" s="192"/>
      <c r="H18" s="198"/>
      <c r="I18" s="200"/>
      <c r="J18" s="192"/>
      <c r="K18" s="200"/>
      <c r="L18" s="200"/>
      <c r="M18" s="189"/>
      <c r="N18" s="189"/>
      <c r="O18" s="200"/>
      <c r="P18" s="189"/>
      <c r="Q18" s="200"/>
      <c r="R18" s="200"/>
      <c r="S18" s="82"/>
    </row>
    <row r="19" spans="1:19" x14ac:dyDescent="0.25">
      <c r="A19" s="193"/>
      <c r="B19" s="23" t="s">
        <v>66</v>
      </c>
      <c r="C19" s="23">
        <v>1</v>
      </c>
      <c r="D19" s="75">
        <v>15.999404928358301</v>
      </c>
      <c r="E19" s="23">
        <f>2*D19</f>
        <v>31.998809856716601</v>
      </c>
      <c r="F19" s="193"/>
      <c r="G19" s="193"/>
      <c r="H19" s="199"/>
      <c r="I19" s="200"/>
      <c r="J19" s="193"/>
      <c r="K19" s="200"/>
      <c r="L19" s="200"/>
      <c r="M19" s="190"/>
      <c r="N19" s="190"/>
      <c r="O19" s="200"/>
      <c r="P19" s="189"/>
      <c r="Q19" s="200"/>
      <c r="R19" s="200"/>
      <c r="S19" s="82"/>
    </row>
    <row r="20" spans="1:19" x14ac:dyDescent="0.25">
      <c r="A20" s="200" t="s">
        <v>254</v>
      </c>
      <c r="B20" s="74" t="s">
        <v>62</v>
      </c>
      <c r="C20" s="131">
        <v>7.1999999999999998E-3</v>
      </c>
      <c r="D20" s="74">
        <v>235.0439231</v>
      </c>
      <c r="E20" s="200">
        <f>(C20*D20)+(C21*D21)</f>
        <v>238.0291332116</v>
      </c>
      <c r="F20" s="188">
        <f>E20+E22</f>
        <v>270.02794306831657</v>
      </c>
      <c r="G20" s="188">
        <f>G10</f>
        <v>0.98</v>
      </c>
      <c r="H20" s="208">
        <f>G20*0.9921</f>
        <v>0.97225799999999996</v>
      </c>
      <c r="I20" s="200"/>
      <c r="J20" s="200">
        <v>10.96</v>
      </c>
      <c r="K20" s="200"/>
      <c r="L20" s="200">
        <f>K14*H20</f>
        <v>97.225799999999992</v>
      </c>
      <c r="M20" s="188">
        <f>L20/F20</f>
        <v>0.3600582920983183</v>
      </c>
      <c r="N20" s="188">
        <f>M20/(M14+M20+M23)</f>
        <v>0.97434398509462627</v>
      </c>
      <c r="O20" s="200">
        <f>L20/J20</f>
        <v>8.8709671532846706</v>
      </c>
      <c r="P20" s="189"/>
      <c r="Q20" s="200">
        <f>O20/P14</f>
        <v>0.96942819689299442</v>
      </c>
      <c r="R20" s="200"/>
      <c r="S20" s="82"/>
    </row>
    <row r="21" spans="1:19" x14ac:dyDescent="0.25">
      <c r="A21" s="200"/>
      <c r="B21" s="74" t="s">
        <v>64</v>
      </c>
      <c r="C21" s="131">
        <f>1-C20</f>
        <v>0.99280000000000002</v>
      </c>
      <c r="D21" s="74">
        <v>238.05078259999999</v>
      </c>
      <c r="E21" s="200"/>
      <c r="F21" s="189"/>
      <c r="G21" s="189"/>
      <c r="H21" s="210"/>
      <c r="I21" s="200"/>
      <c r="J21" s="200"/>
      <c r="K21" s="200"/>
      <c r="L21" s="200"/>
      <c r="M21" s="189"/>
      <c r="N21" s="189"/>
      <c r="O21" s="200"/>
      <c r="P21" s="189"/>
      <c r="Q21" s="200"/>
      <c r="R21" s="200"/>
      <c r="S21" s="82"/>
    </row>
    <row r="22" spans="1:19" x14ac:dyDescent="0.25">
      <c r="A22" s="200"/>
      <c r="B22" s="74" t="s">
        <v>66</v>
      </c>
      <c r="C22" s="131">
        <v>1</v>
      </c>
      <c r="D22" s="75">
        <v>15.999404928358301</v>
      </c>
      <c r="E22" s="75">
        <f>(2*D22)</f>
        <v>31.998809856716601</v>
      </c>
      <c r="F22" s="190"/>
      <c r="G22" s="190"/>
      <c r="H22" s="209"/>
      <c r="I22" s="200"/>
      <c r="J22" s="200"/>
      <c r="K22" s="200"/>
      <c r="L22" s="200"/>
      <c r="M22" s="190"/>
      <c r="N22" s="190"/>
      <c r="O22" s="200"/>
      <c r="P22" s="189"/>
      <c r="Q22" s="200"/>
      <c r="R22" s="200"/>
      <c r="S22" s="82"/>
    </row>
    <row r="23" spans="1:19" x14ac:dyDescent="0.25">
      <c r="A23" s="200" t="s">
        <v>127</v>
      </c>
      <c r="B23" s="70" t="s">
        <v>253</v>
      </c>
      <c r="C23" s="70">
        <v>1</v>
      </c>
      <c r="D23" s="4">
        <v>157.25209770539999</v>
      </c>
      <c r="E23" s="75">
        <f>2*D23</f>
        <v>314.50419541079998</v>
      </c>
      <c r="F23" s="188">
        <f>E23+E24</f>
        <v>362.50241019587486</v>
      </c>
      <c r="G23" s="188">
        <v>7.9000000000000008E-3</v>
      </c>
      <c r="H23" s="208">
        <v>7.9000000000000008E-3</v>
      </c>
      <c r="I23" s="200"/>
      <c r="J23" s="188">
        <v>7.41</v>
      </c>
      <c r="K23" s="200"/>
      <c r="L23" s="200">
        <f>K14*H23</f>
        <v>0.79</v>
      </c>
      <c r="M23" s="188">
        <f>L23/F23</f>
        <v>2.1792958550899862E-3</v>
      </c>
      <c r="N23" s="188">
        <f>M23/(M14+M20+M23)</f>
        <v>5.8973334450210706E-3</v>
      </c>
      <c r="O23" s="200">
        <f>L23/J23</f>
        <v>0.10661268556005399</v>
      </c>
      <c r="P23" s="189"/>
      <c r="Q23" s="200">
        <f>O23/P14</f>
        <v>1.1650741316310035E-2</v>
      </c>
      <c r="R23" s="200"/>
      <c r="S23" s="82"/>
    </row>
    <row r="24" spans="1:19" x14ac:dyDescent="0.25">
      <c r="A24" s="200"/>
      <c r="B24" s="70" t="s">
        <v>66</v>
      </c>
      <c r="C24" s="70">
        <v>1</v>
      </c>
      <c r="D24" s="74">
        <v>15.999404928358299</v>
      </c>
      <c r="E24" s="75">
        <f>(3*D24)</f>
        <v>47.998214785074893</v>
      </c>
      <c r="F24" s="190"/>
      <c r="G24" s="190"/>
      <c r="H24" s="209"/>
      <c r="I24" s="200"/>
      <c r="J24" s="190"/>
      <c r="K24" s="200"/>
      <c r="L24" s="200"/>
      <c r="M24" s="190"/>
      <c r="N24" s="190"/>
      <c r="O24" s="200"/>
      <c r="P24" s="190"/>
      <c r="Q24" s="200"/>
      <c r="R24" s="200"/>
      <c r="S24" s="82"/>
    </row>
    <row r="25" spans="1:19" x14ac:dyDescent="0.25">
      <c r="S25" s="82"/>
    </row>
    <row r="26" spans="1:19" ht="15.75" x14ac:dyDescent="0.25">
      <c r="A26" s="201" t="s">
        <v>230</v>
      </c>
      <c r="B26" s="201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82"/>
    </row>
    <row r="27" spans="1:19" ht="15.75" x14ac:dyDescent="0.25">
      <c r="A27" s="194" t="s">
        <v>263</v>
      </c>
      <c r="B27" s="195"/>
      <c r="C27" s="195"/>
      <c r="D27" s="195"/>
      <c r="E27" s="195"/>
      <c r="F27" s="195"/>
      <c r="G27" s="195"/>
      <c r="H27" s="195"/>
      <c r="I27" s="195"/>
      <c r="J27" s="195"/>
      <c r="K27" s="195"/>
      <c r="L27" s="195"/>
      <c r="M27" s="195"/>
      <c r="N27" s="195"/>
      <c r="O27" s="195"/>
      <c r="P27" s="195"/>
      <c r="Q27" s="195"/>
      <c r="R27" s="196"/>
      <c r="S27" s="82"/>
    </row>
    <row r="28" spans="1:19" ht="45" x14ac:dyDescent="0.25">
      <c r="A28" s="77" t="s">
        <v>266</v>
      </c>
      <c r="B28" s="77" t="s">
        <v>262</v>
      </c>
      <c r="C28" s="77" t="s">
        <v>261</v>
      </c>
      <c r="D28" s="77" t="s">
        <v>260</v>
      </c>
      <c r="E28" s="77" t="s">
        <v>259</v>
      </c>
      <c r="F28" s="77" t="s">
        <v>258</v>
      </c>
      <c r="G28" s="77" t="s">
        <v>264</v>
      </c>
      <c r="H28" s="77"/>
      <c r="I28" s="77" t="s">
        <v>272</v>
      </c>
      <c r="J28" s="77" t="s">
        <v>257</v>
      </c>
      <c r="K28" s="77" t="s">
        <v>269</v>
      </c>
      <c r="L28" s="77" t="s">
        <v>268</v>
      </c>
      <c r="M28" s="130" t="s">
        <v>352</v>
      </c>
      <c r="N28" s="130" t="s">
        <v>354</v>
      </c>
      <c r="O28" s="77" t="s">
        <v>267</v>
      </c>
      <c r="P28" s="77" t="s">
        <v>270</v>
      </c>
      <c r="Q28" s="77" t="s">
        <v>256</v>
      </c>
      <c r="R28" s="81" t="s">
        <v>271</v>
      </c>
      <c r="S28" s="82"/>
    </row>
    <row r="29" spans="1:19" x14ac:dyDescent="0.25">
      <c r="A29" s="191" t="s">
        <v>265</v>
      </c>
      <c r="B29" s="78" t="s">
        <v>53</v>
      </c>
      <c r="C29" s="80">
        <f>4.6/100</f>
        <v>4.5999999999999999E-2</v>
      </c>
      <c r="D29" s="46">
        <v>238.04955989999999</v>
      </c>
      <c r="E29" s="191">
        <f>(C29*D29)+(C30*D30)+(C31*D31)+(C32*D32)+(C33*D33)</f>
        <v>239.7495783283</v>
      </c>
      <c r="F29" s="191">
        <f>E29+E34</f>
        <v>271.74838818501661</v>
      </c>
      <c r="G29" s="191">
        <v>0.04</v>
      </c>
      <c r="H29" s="191">
        <f>G29</f>
        <v>0.04</v>
      </c>
      <c r="I29" s="191">
        <f>(G29*F29)+(G35*F35)</f>
        <v>270.09676087298459</v>
      </c>
      <c r="J29" s="191">
        <f>11.46</f>
        <v>11.46</v>
      </c>
      <c r="K29" s="191">
        <v>100</v>
      </c>
      <c r="L29" s="191">
        <f>K29*H29</f>
        <v>4</v>
      </c>
      <c r="M29" s="191">
        <f>L29/F29</f>
        <v>1.4719498528457319E-2</v>
      </c>
      <c r="N29" s="191">
        <f>M29/(M29+M35)</f>
        <v>3.9756827160802741E-2</v>
      </c>
      <c r="O29" s="191">
        <f>L29/J29</f>
        <v>0.34904013961605584</v>
      </c>
      <c r="P29" s="188">
        <f>O29+O35</f>
        <v>9.1081642272072969</v>
      </c>
      <c r="Q29" s="188">
        <f>O29/P29</f>
        <v>3.8321678321678321E-2</v>
      </c>
      <c r="R29" s="202">
        <f>(Q29*J29)+(Q35*J35)</f>
        <v>10.979160839160841</v>
      </c>
      <c r="S29" s="82">
        <f t="shared" si="0"/>
        <v>10.539994405594406</v>
      </c>
    </row>
    <row r="30" spans="1:19" x14ac:dyDescent="0.25">
      <c r="A30" s="192"/>
      <c r="B30" s="78" t="s">
        <v>54</v>
      </c>
      <c r="C30" s="80">
        <f>50.5/100</f>
        <v>0.505</v>
      </c>
      <c r="D30" s="46">
        <v>239.05216340000001</v>
      </c>
      <c r="E30" s="192"/>
      <c r="F30" s="192"/>
      <c r="G30" s="192"/>
      <c r="H30" s="192"/>
      <c r="I30" s="192"/>
      <c r="J30" s="192"/>
      <c r="K30" s="192"/>
      <c r="L30" s="192"/>
      <c r="M30" s="192"/>
      <c r="N30" s="192"/>
      <c r="O30" s="192"/>
      <c r="P30" s="189"/>
      <c r="Q30" s="189"/>
      <c r="R30" s="203"/>
      <c r="S30" s="82"/>
    </row>
    <row r="31" spans="1:19" x14ac:dyDescent="0.25">
      <c r="A31" s="192"/>
      <c r="B31" s="78" t="s">
        <v>55</v>
      </c>
      <c r="C31" s="80">
        <f>24/100</f>
        <v>0.24</v>
      </c>
      <c r="D31" s="46">
        <v>240.05381349999999</v>
      </c>
      <c r="E31" s="192"/>
      <c r="F31" s="192"/>
      <c r="G31" s="192"/>
      <c r="H31" s="192"/>
      <c r="I31" s="192"/>
      <c r="J31" s="192"/>
      <c r="K31" s="192"/>
      <c r="L31" s="192"/>
      <c r="M31" s="192"/>
      <c r="N31" s="192"/>
      <c r="O31" s="192"/>
      <c r="P31" s="189"/>
      <c r="Q31" s="189"/>
      <c r="R31" s="203"/>
      <c r="S31" s="82"/>
    </row>
    <row r="32" spans="1:19" x14ac:dyDescent="0.25">
      <c r="A32" s="192"/>
      <c r="B32" s="78" t="s">
        <v>56</v>
      </c>
      <c r="C32" s="80">
        <f>12.5/100</f>
        <v>0.125</v>
      </c>
      <c r="D32" s="76">
        <v>241.05685149999999</v>
      </c>
      <c r="E32" s="192"/>
      <c r="F32" s="192"/>
      <c r="G32" s="192"/>
      <c r="H32" s="192"/>
      <c r="I32" s="192"/>
      <c r="J32" s="192"/>
      <c r="K32" s="192"/>
      <c r="L32" s="192"/>
      <c r="M32" s="192"/>
      <c r="N32" s="192"/>
      <c r="O32" s="192"/>
      <c r="P32" s="189"/>
      <c r="Q32" s="189"/>
      <c r="R32" s="203"/>
      <c r="S32" s="82"/>
    </row>
    <row r="33" spans="1:19" x14ac:dyDescent="0.25">
      <c r="A33" s="192"/>
      <c r="B33" s="78" t="s">
        <v>57</v>
      </c>
      <c r="C33" s="80">
        <f>8.4/100</f>
        <v>8.4000000000000005E-2</v>
      </c>
      <c r="D33" s="76">
        <v>242.05874259999999</v>
      </c>
      <c r="E33" s="193"/>
      <c r="F33" s="192"/>
      <c r="G33" s="192"/>
      <c r="H33" s="192"/>
      <c r="I33" s="192"/>
      <c r="J33" s="192"/>
      <c r="K33" s="192"/>
      <c r="L33" s="192"/>
      <c r="M33" s="192"/>
      <c r="N33" s="192"/>
      <c r="O33" s="192"/>
      <c r="P33" s="189"/>
      <c r="Q33" s="189"/>
      <c r="R33" s="203"/>
      <c r="S33" s="82"/>
    </row>
    <row r="34" spans="1:19" x14ac:dyDescent="0.25">
      <c r="A34" s="193"/>
      <c r="B34" s="23" t="s">
        <v>66</v>
      </c>
      <c r="C34" s="23">
        <v>1</v>
      </c>
      <c r="D34" s="75">
        <v>15.999404928358301</v>
      </c>
      <c r="E34" s="23">
        <f>2*D34</f>
        <v>31.998809856716601</v>
      </c>
      <c r="F34" s="193"/>
      <c r="G34" s="193"/>
      <c r="H34" s="193"/>
      <c r="I34" s="192"/>
      <c r="J34" s="193"/>
      <c r="K34" s="192"/>
      <c r="L34" s="193"/>
      <c r="M34" s="193"/>
      <c r="N34" s="193"/>
      <c r="O34" s="193"/>
      <c r="P34" s="189"/>
      <c r="Q34" s="190"/>
      <c r="R34" s="203"/>
      <c r="S34" s="82"/>
    </row>
    <row r="35" spans="1:19" x14ac:dyDescent="0.25">
      <c r="A35" s="200" t="s">
        <v>254</v>
      </c>
      <c r="B35" s="80" t="s">
        <v>62</v>
      </c>
      <c r="C35" s="131">
        <v>7.1999999999999998E-3</v>
      </c>
      <c r="D35" s="80">
        <v>235.0439231</v>
      </c>
      <c r="E35" s="200">
        <f>(C35*D35)+(C36*D36)</f>
        <v>238.0291332116</v>
      </c>
      <c r="F35" s="188">
        <f>E35+E37</f>
        <v>270.02794306831657</v>
      </c>
      <c r="G35" s="188">
        <f>1-G29</f>
        <v>0.96</v>
      </c>
      <c r="H35" s="188">
        <f>G35</f>
        <v>0.96</v>
      </c>
      <c r="I35" s="192"/>
      <c r="J35" s="200">
        <v>10.96</v>
      </c>
      <c r="K35" s="192"/>
      <c r="L35" s="188">
        <f>K29*H35</f>
        <v>96</v>
      </c>
      <c r="M35" s="188">
        <f>L35/F35</f>
        <v>0.35551876190721554</v>
      </c>
      <c r="N35" s="188">
        <f>M35/(M35+M29)</f>
        <v>0.96024317283919725</v>
      </c>
      <c r="O35" s="188">
        <f>L35/J35</f>
        <v>8.7591240875912408</v>
      </c>
      <c r="P35" s="189"/>
      <c r="Q35" s="188">
        <f>O35/P29</f>
        <v>0.96167832167832168</v>
      </c>
      <c r="R35" s="203"/>
      <c r="S35" s="82"/>
    </row>
    <row r="36" spans="1:19" x14ac:dyDescent="0.25">
      <c r="A36" s="200"/>
      <c r="B36" s="80" t="s">
        <v>64</v>
      </c>
      <c r="C36" s="131">
        <f>1-C35</f>
        <v>0.99280000000000002</v>
      </c>
      <c r="D36" s="80">
        <v>238.05078259999999</v>
      </c>
      <c r="E36" s="200"/>
      <c r="F36" s="189"/>
      <c r="G36" s="189"/>
      <c r="H36" s="189"/>
      <c r="I36" s="192"/>
      <c r="J36" s="200"/>
      <c r="K36" s="192"/>
      <c r="L36" s="189"/>
      <c r="M36" s="189"/>
      <c r="N36" s="189"/>
      <c r="O36" s="189"/>
      <c r="P36" s="189"/>
      <c r="Q36" s="189"/>
      <c r="R36" s="203"/>
      <c r="S36" s="82"/>
    </row>
    <row r="37" spans="1:19" x14ac:dyDescent="0.25">
      <c r="A37" s="200"/>
      <c r="B37" s="80" t="s">
        <v>66</v>
      </c>
      <c r="C37" s="131">
        <v>1</v>
      </c>
      <c r="D37" s="75">
        <v>15.999404928358301</v>
      </c>
      <c r="E37" s="75">
        <f>(2*D37)</f>
        <v>31.998809856716601</v>
      </c>
      <c r="F37" s="190"/>
      <c r="G37" s="190"/>
      <c r="H37" s="190"/>
      <c r="I37" s="193"/>
      <c r="J37" s="200"/>
      <c r="K37" s="193"/>
      <c r="L37" s="190"/>
      <c r="M37" s="190"/>
      <c r="N37" s="190"/>
      <c r="O37" s="190"/>
      <c r="P37" s="190"/>
      <c r="Q37" s="190"/>
      <c r="R37" s="204"/>
      <c r="S37" s="82"/>
    </row>
    <row r="38" spans="1:19" ht="15.75" x14ac:dyDescent="0.25">
      <c r="A38" s="194" t="s">
        <v>255</v>
      </c>
      <c r="B38" s="195"/>
      <c r="C38" s="195"/>
      <c r="D38" s="195"/>
      <c r="E38" s="195"/>
      <c r="F38" s="195"/>
      <c r="G38" s="195"/>
      <c r="H38" s="195"/>
      <c r="I38" s="195"/>
      <c r="J38" s="195"/>
      <c r="K38" s="195"/>
      <c r="L38" s="195"/>
      <c r="M38" s="195"/>
      <c r="N38" s="195"/>
      <c r="O38" s="195"/>
      <c r="P38" s="195"/>
      <c r="Q38" s="195"/>
      <c r="R38" s="196"/>
      <c r="S38" s="82"/>
    </row>
    <row r="39" spans="1:19" x14ac:dyDescent="0.25">
      <c r="A39" s="191" t="s">
        <v>265</v>
      </c>
      <c r="B39" s="78" t="s">
        <v>53</v>
      </c>
      <c r="C39" s="80">
        <f>4.6/100</f>
        <v>4.5999999999999999E-2</v>
      </c>
      <c r="D39" s="46">
        <v>238.04955989999999</v>
      </c>
      <c r="E39" s="191">
        <f>(C39*D39)+(C40*D40)+(C41*D41)+(C42*D42)+(C43*D43)</f>
        <v>239.7495783283</v>
      </c>
      <c r="F39" s="191">
        <f>E39+E44</f>
        <v>271.74838818501661</v>
      </c>
      <c r="G39" s="191">
        <f>G29</f>
        <v>0.04</v>
      </c>
      <c r="H39" s="197">
        <f>G39*0.9921</f>
        <v>3.9683999999999997E-2</v>
      </c>
      <c r="I39" s="200">
        <f>(H39*F39)+(H45*F45)+(H48*F48)</f>
        <v>270.8267655026354</v>
      </c>
      <c r="J39" s="191">
        <f>11.46</f>
        <v>11.46</v>
      </c>
      <c r="K39" s="200">
        <v>100</v>
      </c>
      <c r="L39" s="200">
        <f>K39*H39</f>
        <v>3.9683999999999999</v>
      </c>
      <c r="M39" s="188">
        <f>L39/F39</f>
        <v>1.4603214490082506E-2</v>
      </c>
      <c r="N39" s="188">
        <f>M39/(M39+M45+M48)</f>
        <v>3.9522338374604914E-2</v>
      </c>
      <c r="O39" s="200">
        <f>L39/J39</f>
        <v>0.34628272251308895</v>
      </c>
      <c r="P39" s="188">
        <f>O39+O45+O48</f>
        <v>9.1428224153724109</v>
      </c>
      <c r="Q39" s="200">
        <f>O39/P39</f>
        <v>3.7874816635491214E-2</v>
      </c>
      <c r="R39" s="200">
        <f>(Q39*J39)+(Q45*J45)+(Q48*J48)</f>
        <v>10.937541544267949</v>
      </c>
      <c r="S39" s="82">
        <f t="shared" si="0"/>
        <v>10.500039882497232</v>
      </c>
    </row>
    <row r="40" spans="1:19" x14ac:dyDescent="0.25">
      <c r="A40" s="192"/>
      <c r="B40" s="78" t="s">
        <v>54</v>
      </c>
      <c r="C40" s="80">
        <f>50.5/100</f>
        <v>0.505</v>
      </c>
      <c r="D40" s="46">
        <v>239.05216340000001</v>
      </c>
      <c r="E40" s="192"/>
      <c r="F40" s="192"/>
      <c r="G40" s="192"/>
      <c r="H40" s="198"/>
      <c r="I40" s="200"/>
      <c r="J40" s="192"/>
      <c r="K40" s="200"/>
      <c r="L40" s="200"/>
      <c r="M40" s="189"/>
      <c r="N40" s="189"/>
      <c r="O40" s="200"/>
      <c r="P40" s="189"/>
      <c r="Q40" s="200"/>
      <c r="R40" s="200"/>
      <c r="S40" s="82"/>
    </row>
    <row r="41" spans="1:19" x14ac:dyDescent="0.25">
      <c r="A41" s="192"/>
      <c r="B41" s="78" t="s">
        <v>55</v>
      </c>
      <c r="C41" s="80">
        <f>24/100</f>
        <v>0.24</v>
      </c>
      <c r="D41" s="46">
        <v>240.05381349999999</v>
      </c>
      <c r="E41" s="192"/>
      <c r="F41" s="192"/>
      <c r="G41" s="192"/>
      <c r="H41" s="198"/>
      <c r="I41" s="200"/>
      <c r="J41" s="192"/>
      <c r="K41" s="200"/>
      <c r="L41" s="200"/>
      <c r="M41" s="189"/>
      <c r="N41" s="189"/>
      <c r="O41" s="200"/>
      <c r="P41" s="189"/>
      <c r="Q41" s="200"/>
      <c r="R41" s="200"/>
      <c r="S41" s="82"/>
    </row>
    <row r="42" spans="1:19" x14ac:dyDescent="0.25">
      <c r="A42" s="192"/>
      <c r="B42" s="78" t="s">
        <v>56</v>
      </c>
      <c r="C42" s="80">
        <f>12.5/100</f>
        <v>0.125</v>
      </c>
      <c r="D42" s="76">
        <v>241.05685149999999</v>
      </c>
      <c r="E42" s="192"/>
      <c r="F42" s="192"/>
      <c r="G42" s="192"/>
      <c r="H42" s="198"/>
      <c r="I42" s="200"/>
      <c r="J42" s="192"/>
      <c r="K42" s="200"/>
      <c r="L42" s="200"/>
      <c r="M42" s="189"/>
      <c r="N42" s="189"/>
      <c r="O42" s="200"/>
      <c r="P42" s="189"/>
      <c r="Q42" s="200"/>
      <c r="R42" s="200"/>
      <c r="S42" s="82"/>
    </row>
    <row r="43" spans="1:19" x14ac:dyDescent="0.25">
      <c r="A43" s="192"/>
      <c r="B43" s="78" t="s">
        <v>57</v>
      </c>
      <c r="C43" s="80">
        <f>8.4/100</f>
        <v>8.4000000000000005E-2</v>
      </c>
      <c r="D43" s="76">
        <v>242.05874259999999</v>
      </c>
      <c r="E43" s="193"/>
      <c r="F43" s="192"/>
      <c r="G43" s="192"/>
      <c r="H43" s="198"/>
      <c r="I43" s="200"/>
      <c r="J43" s="192"/>
      <c r="K43" s="200"/>
      <c r="L43" s="200"/>
      <c r="M43" s="189"/>
      <c r="N43" s="189"/>
      <c r="O43" s="200"/>
      <c r="P43" s="189"/>
      <c r="Q43" s="200"/>
      <c r="R43" s="200"/>
      <c r="S43" s="82"/>
    </row>
    <row r="44" spans="1:19" x14ac:dyDescent="0.25">
      <c r="A44" s="193"/>
      <c r="B44" s="23" t="s">
        <v>66</v>
      </c>
      <c r="C44" s="23">
        <v>1</v>
      </c>
      <c r="D44" s="75">
        <v>15.999404928358301</v>
      </c>
      <c r="E44" s="23">
        <f>2*D44</f>
        <v>31.998809856716601</v>
      </c>
      <c r="F44" s="193"/>
      <c r="G44" s="193"/>
      <c r="H44" s="199"/>
      <c r="I44" s="200"/>
      <c r="J44" s="193"/>
      <c r="K44" s="200"/>
      <c r="L44" s="200"/>
      <c r="M44" s="190"/>
      <c r="N44" s="190"/>
      <c r="O44" s="200"/>
      <c r="P44" s="189"/>
      <c r="Q44" s="200"/>
      <c r="R44" s="200"/>
      <c r="S44" s="82"/>
    </row>
    <row r="45" spans="1:19" x14ac:dyDescent="0.25">
      <c r="A45" s="200" t="s">
        <v>254</v>
      </c>
      <c r="B45" s="80" t="s">
        <v>62</v>
      </c>
      <c r="C45" s="131">
        <v>7.1999999999999998E-3</v>
      </c>
      <c r="D45" s="80">
        <v>235.0439231</v>
      </c>
      <c r="E45" s="200">
        <f>(C45*D45)+(C46*D46)</f>
        <v>238.0291332116</v>
      </c>
      <c r="F45" s="188">
        <f>E45+E47</f>
        <v>270.02794306831657</v>
      </c>
      <c r="G45" s="188">
        <f>G35</f>
        <v>0.96</v>
      </c>
      <c r="H45" s="208">
        <f>G45*0.9921</f>
        <v>0.95241599999999993</v>
      </c>
      <c r="I45" s="200"/>
      <c r="J45" s="200">
        <v>10.96</v>
      </c>
      <c r="K45" s="200"/>
      <c r="L45" s="200">
        <f>K39*H45</f>
        <v>95.241599999999991</v>
      </c>
      <c r="M45" s="188">
        <f>L45/F45</f>
        <v>0.3527101636881485</v>
      </c>
      <c r="N45" s="188">
        <f>M45/(M39+M45+M48)</f>
        <v>0.95457958567357404</v>
      </c>
      <c r="O45" s="200">
        <f>L45/J45</f>
        <v>8.6899270072992678</v>
      </c>
      <c r="P45" s="189"/>
      <c r="Q45" s="200">
        <f>O45/P39</f>
        <v>0.95046437658991811</v>
      </c>
      <c r="R45" s="200"/>
      <c r="S45" s="82"/>
    </row>
    <row r="46" spans="1:19" x14ac:dyDescent="0.25">
      <c r="A46" s="200"/>
      <c r="B46" s="80" t="s">
        <v>64</v>
      </c>
      <c r="C46" s="131">
        <f>1-C45</f>
        <v>0.99280000000000002</v>
      </c>
      <c r="D46" s="80">
        <v>238.05078259999999</v>
      </c>
      <c r="E46" s="200"/>
      <c r="F46" s="189"/>
      <c r="G46" s="189"/>
      <c r="H46" s="210"/>
      <c r="I46" s="200"/>
      <c r="J46" s="200"/>
      <c r="K46" s="200"/>
      <c r="L46" s="200"/>
      <c r="M46" s="189"/>
      <c r="N46" s="189"/>
      <c r="O46" s="200"/>
      <c r="P46" s="189"/>
      <c r="Q46" s="200"/>
      <c r="R46" s="200"/>
      <c r="S46" s="82"/>
    </row>
    <row r="47" spans="1:19" x14ac:dyDescent="0.25">
      <c r="A47" s="200"/>
      <c r="B47" s="80" t="s">
        <v>66</v>
      </c>
      <c r="C47" s="131">
        <v>1</v>
      </c>
      <c r="D47" s="75">
        <v>15.999404928358301</v>
      </c>
      <c r="E47" s="75">
        <f>(2*D47)</f>
        <v>31.998809856716601</v>
      </c>
      <c r="F47" s="190"/>
      <c r="G47" s="190"/>
      <c r="H47" s="209"/>
      <c r="I47" s="200"/>
      <c r="J47" s="200"/>
      <c r="K47" s="200"/>
      <c r="L47" s="200"/>
      <c r="M47" s="190"/>
      <c r="N47" s="190"/>
      <c r="O47" s="200"/>
      <c r="P47" s="189"/>
      <c r="Q47" s="200"/>
      <c r="R47" s="200"/>
      <c r="S47" s="82"/>
    </row>
    <row r="48" spans="1:19" x14ac:dyDescent="0.25">
      <c r="A48" s="200" t="s">
        <v>127</v>
      </c>
      <c r="B48" s="80" t="s">
        <v>253</v>
      </c>
      <c r="C48" s="80">
        <v>1</v>
      </c>
      <c r="D48" s="4">
        <v>157.25209770539999</v>
      </c>
      <c r="E48" s="75">
        <f>2*D48</f>
        <v>314.50419541079998</v>
      </c>
      <c r="F48" s="188">
        <f>E48+E49</f>
        <v>362.50241019587486</v>
      </c>
      <c r="G48" s="188">
        <v>7.9000000000000008E-3</v>
      </c>
      <c r="H48" s="208">
        <v>7.9000000000000008E-3</v>
      </c>
      <c r="I48" s="200"/>
      <c r="J48" s="188">
        <v>7.41</v>
      </c>
      <c r="K48" s="200"/>
      <c r="L48" s="200">
        <f>K39*H48</f>
        <v>0.79</v>
      </c>
      <c r="M48" s="188">
        <f>L48/F48</f>
        <v>2.1792958550899862E-3</v>
      </c>
      <c r="N48" s="188">
        <f>M48/(M39+M45+M48)</f>
        <v>5.8980759518210543E-3</v>
      </c>
      <c r="O48" s="200">
        <f>L48/J48</f>
        <v>0.10661268556005399</v>
      </c>
      <c r="P48" s="189"/>
      <c r="Q48" s="200">
        <f>O48/P39</f>
        <v>1.1660806774590663E-2</v>
      </c>
      <c r="R48" s="200"/>
      <c r="S48" s="82"/>
    </row>
    <row r="49" spans="1:19" x14ac:dyDescent="0.25">
      <c r="A49" s="200"/>
      <c r="B49" s="80" t="s">
        <v>66</v>
      </c>
      <c r="C49" s="80">
        <v>1</v>
      </c>
      <c r="D49" s="80">
        <v>15.999404928358299</v>
      </c>
      <c r="E49" s="75">
        <f>(3*D49)</f>
        <v>47.998214785074893</v>
      </c>
      <c r="F49" s="190"/>
      <c r="G49" s="190"/>
      <c r="H49" s="209"/>
      <c r="I49" s="200"/>
      <c r="J49" s="190"/>
      <c r="K49" s="200"/>
      <c r="L49" s="200"/>
      <c r="M49" s="190"/>
      <c r="N49" s="190"/>
      <c r="O49" s="200"/>
      <c r="P49" s="190"/>
      <c r="Q49" s="200"/>
      <c r="R49" s="200"/>
      <c r="S49" s="82"/>
    </row>
    <row r="50" spans="1:19" x14ac:dyDescent="0.25">
      <c r="S50" s="82"/>
    </row>
    <row r="51" spans="1:19" ht="15.75" x14ac:dyDescent="0.25">
      <c r="A51" s="201" t="s">
        <v>231</v>
      </c>
      <c r="B51" s="201"/>
      <c r="C51" s="201"/>
      <c r="D51" s="201"/>
      <c r="E51" s="201"/>
      <c r="F51" s="201"/>
      <c r="G51" s="201"/>
      <c r="H51" s="201"/>
      <c r="I51" s="201"/>
      <c r="J51" s="201"/>
      <c r="K51" s="201"/>
      <c r="L51" s="201"/>
      <c r="M51" s="201"/>
      <c r="N51" s="201"/>
      <c r="O51" s="201"/>
      <c r="P51" s="201"/>
      <c r="Q51" s="201"/>
      <c r="R51" s="201"/>
      <c r="S51" s="82"/>
    </row>
    <row r="52" spans="1:19" ht="15.75" x14ac:dyDescent="0.25">
      <c r="A52" s="194" t="s">
        <v>263</v>
      </c>
      <c r="B52" s="195"/>
      <c r="C52" s="195"/>
      <c r="D52" s="195"/>
      <c r="E52" s="195"/>
      <c r="F52" s="195"/>
      <c r="G52" s="195"/>
      <c r="H52" s="195"/>
      <c r="I52" s="195"/>
      <c r="J52" s="195"/>
      <c r="K52" s="195"/>
      <c r="L52" s="195"/>
      <c r="M52" s="195"/>
      <c r="N52" s="195"/>
      <c r="O52" s="195"/>
      <c r="P52" s="195"/>
      <c r="Q52" s="195"/>
      <c r="R52" s="196"/>
      <c r="S52" s="82"/>
    </row>
    <row r="53" spans="1:19" ht="45" x14ac:dyDescent="0.25">
      <c r="A53" s="77" t="s">
        <v>266</v>
      </c>
      <c r="B53" s="77" t="s">
        <v>262</v>
      </c>
      <c r="C53" s="77" t="s">
        <v>261</v>
      </c>
      <c r="D53" s="77" t="s">
        <v>260</v>
      </c>
      <c r="E53" s="77" t="s">
        <v>259</v>
      </c>
      <c r="F53" s="77" t="s">
        <v>258</v>
      </c>
      <c r="G53" s="77" t="s">
        <v>264</v>
      </c>
      <c r="H53" s="77"/>
      <c r="I53" s="77" t="s">
        <v>272</v>
      </c>
      <c r="J53" s="77" t="s">
        <v>257</v>
      </c>
      <c r="K53" s="77" t="s">
        <v>269</v>
      </c>
      <c r="L53" s="77" t="s">
        <v>268</v>
      </c>
      <c r="M53" s="130" t="s">
        <v>352</v>
      </c>
      <c r="N53" s="130" t="s">
        <v>354</v>
      </c>
      <c r="O53" s="77" t="s">
        <v>267</v>
      </c>
      <c r="P53" s="77" t="s">
        <v>270</v>
      </c>
      <c r="Q53" s="77" t="s">
        <v>256</v>
      </c>
      <c r="R53" s="81" t="s">
        <v>271</v>
      </c>
      <c r="S53" s="82"/>
    </row>
    <row r="54" spans="1:19" x14ac:dyDescent="0.25">
      <c r="A54" s="191" t="s">
        <v>265</v>
      </c>
      <c r="B54" s="78" t="s">
        <v>53</v>
      </c>
      <c r="C54" s="80">
        <f>4.6/100</f>
        <v>4.5999999999999999E-2</v>
      </c>
      <c r="D54" s="46">
        <v>238.04955989999999</v>
      </c>
      <c r="E54" s="191">
        <f>(C54*D54)+(C55*D55)+(C56*D56)+(C57*D57)+(C58*D58)</f>
        <v>239.7495783283</v>
      </c>
      <c r="F54" s="191">
        <f>E54+E59</f>
        <v>271.74838818501661</v>
      </c>
      <c r="G54" s="191">
        <v>0.06</v>
      </c>
      <c r="H54" s="191">
        <f>G54</f>
        <v>0.06</v>
      </c>
      <c r="I54" s="191">
        <f>(G54*F54)+(G60*F60)</f>
        <v>270.13116977531854</v>
      </c>
      <c r="J54" s="191">
        <f>11.46</f>
        <v>11.46</v>
      </c>
      <c r="K54" s="191">
        <v>100</v>
      </c>
      <c r="L54" s="191">
        <f>K54*H54</f>
        <v>6</v>
      </c>
      <c r="M54" s="191">
        <f>L54/F54</f>
        <v>2.2079247792685976E-2</v>
      </c>
      <c r="N54" s="191">
        <f>M54/(M54+M60)</f>
        <v>5.964279465147132E-2</v>
      </c>
      <c r="O54" s="191">
        <f>L54/J54</f>
        <v>0.52356020942408377</v>
      </c>
      <c r="P54" s="188">
        <f>O54+O60</f>
        <v>9.1002025451905055</v>
      </c>
      <c r="Q54" s="188">
        <f>O54/P54</f>
        <v>5.7532808398950142E-2</v>
      </c>
      <c r="R54" s="202">
        <f>(Q54*J54)+(Q60*J60)</f>
        <v>10.988766404199476</v>
      </c>
      <c r="S54" s="82">
        <f t="shared" si="0"/>
        <v>10.549215748031497</v>
      </c>
    </row>
    <row r="55" spans="1:19" x14ac:dyDescent="0.25">
      <c r="A55" s="192"/>
      <c r="B55" s="78" t="s">
        <v>54</v>
      </c>
      <c r="C55" s="80">
        <f>50.5/100</f>
        <v>0.505</v>
      </c>
      <c r="D55" s="46">
        <v>239.05216340000001</v>
      </c>
      <c r="E55" s="192"/>
      <c r="F55" s="192"/>
      <c r="G55" s="192"/>
      <c r="H55" s="192"/>
      <c r="I55" s="192"/>
      <c r="J55" s="192"/>
      <c r="K55" s="192"/>
      <c r="L55" s="192"/>
      <c r="M55" s="192"/>
      <c r="N55" s="192"/>
      <c r="O55" s="192"/>
      <c r="P55" s="189"/>
      <c r="Q55" s="189"/>
      <c r="R55" s="203"/>
      <c r="S55" s="82"/>
    </row>
    <row r="56" spans="1:19" x14ac:dyDescent="0.25">
      <c r="A56" s="192"/>
      <c r="B56" s="78" t="s">
        <v>55</v>
      </c>
      <c r="C56" s="80">
        <f>24/100</f>
        <v>0.24</v>
      </c>
      <c r="D56" s="46">
        <v>240.05381349999999</v>
      </c>
      <c r="E56" s="192"/>
      <c r="F56" s="192"/>
      <c r="G56" s="192"/>
      <c r="H56" s="192"/>
      <c r="I56" s="192"/>
      <c r="J56" s="192"/>
      <c r="K56" s="192"/>
      <c r="L56" s="192"/>
      <c r="M56" s="192"/>
      <c r="N56" s="192"/>
      <c r="O56" s="192"/>
      <c r="P56" s="189"/>
      <c r="Q56" s="189"/>
      <c r="R56" s="203"/>
      <c r="S56" s="82"/>
    </row>
    <row r="57" spans="1:19" x14ac:dyDescent="0.25">
      <c r="A57" s="192"/>
      <c r="B57" s="78" t="s">
        <v>56</v>
      </c>
      <c r="C57" s="80">
        <f>12.5/100</f>
        <v>0.125</v>
      </c>
      <c r="D57" s="76">
        <v>241.05685149999999</v>
      </c>
      <c r="E57" s="192"/>
      <c r="F57" s="192"/>
      <c r="G57" s="192"/>
      <c r="H57" s="192"/>
      <c r="I57" s="192"/>
      <c r="J57" s="192"/>
      <c r="K57" s="192"/>
      <c r="L57" s="192"/>
      <c r="M57" s="192"/>
      <c r="N57" s="192"/>
      <c r="O57" s="192"/>
      <c r="P57" s="189"/>
      <c r="Q57" s="189"/>
      <c r="R57" s="203"/>
      <c r="S57" s="82"/>
    </row>
    <row r="58" spans="1:19" x14ac:dyDescent="0.25">
      <c r="A58" s="192"/>
      <c r="B58" s="78" t="s">
        <v>57</v>
      </c>
      <c r="C58" s="80">
        <f>8.4/100</f>
        <v>8.4000000000000005E-2</v>
      </c>
      <c r="D58" s="76">
        <v>242.05874259999999</v>
      </c>
      <c r="E58" s="193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89"/>
      <c r="Q58" s="189"/>
      <c r="R58" s="203"/>
      <c r="S58" s="82"/>
    </row>
    <row r="59" spans="1:19" x14ac:dyDescent="0.25">
      <c r="A59" s="193"/>
      <c r="B59" s="23" t="s">
        <v>66</v>
      </c>
      <c r="C59" s="23">
        <v>1</v>
      </c>
      <c r="D59" s="75">
        <v>15.999404928358301</v>
      </c>
      <c r="E59" s="23">
        <f>2*D59</f>
        <v>31.998809856716601</v>
      </c>
      <c r="F59" s="193"/>
      <c r="G59" s="193"/>
      <c r="H59" s="193"/>
      <c r="I59" s="192"/>
      <c r="J59" s="193"/>
      <c r="K59" s="192"/>
      <c r="L59" s="193"/>
      <c r="M59" s="193"/>
      <c r="N59" s="193"/>
      <c r="O59" s="193"/>
      <c r="P59" s="189"/>
      <c r="Q59" s="190"/>
      <c r="R59" s="203"/>
      <c r="S59" s="82"/>
    </row>
    <row r="60" spans="1:19" x14ac:dyDescent="0.25">
      <c r="A60" s="200" t="s">
        <v>254</v>
      </c>
      <c r="B60" s="80" t="s">
        <v>62</v>
      </c>
      <c r="C60" s="131">
        <v>7.1999999999999998E-3</v>
      </c>
      <c r="D60" s="80">
        <v>235.0439231</v>
      </c>
      <c r="E60" s="200">
        <f>(C60*D60)+(C61*D61)</f>
        <v>238.0291332116</v>
      </c>
      <c r="F60" s="188">
        <f>E60+E62</f>
        <v>270.02794306831657</v>
      </c>
      <c r="G60" s="188">
        <f>1-G54</f>
        <v>0.94</v>
      </c>
      <c r="H60" s="188">
        <f>G60</f>
        <v>0.94</v>
      </c>
      <c r="I60" s="192"/>
      <c r="J60" s="200">
        <v>10.96</v>
      </c>
      <c r="K60" s="192"/>
      <c r="L60" s="188">
        <f>K54*H60</f>
        <v>94</v>
      </c>
      <c r="M60" s="188">
        <f>L60/F60</f>
        <v>0.34811212103414857</v>
      </c>
      <c r="N60" s="188">
        <f>M60/(M60+M54)</f>
        <v>0.94035720534852862</v>
      </c>
      <c r="O60" s="188">
        <f>L60/J60</f>
        <v>8.5766423357664223</v>
      </c>
      <c r="P60" s="189"/>
      <c r="Q60" s="188">
        <f>O60/P54</f>
        <v>0.94246719160104997</v>
      </c>
      <c r="R60" s="203"/>
      <c r="S60" s="82"/>
    </row>
    <row r="61" spans="1:19" x14ac:dyDescent="0.25">
      <c r="A61" s="200"/>
      <c r="B61" s="80" t="s">
        <v>64</v>
      </c>
      <c r="C61" s="131">
        <f>1-C60</f>
        <v>0.99280000000000002</v>
      </c>
      <c r="D61" s="80">
        <v>238.05078259999999</v>
      </c>
      <c r="E61" s="200"/>
      <c r="F61" s="189"/>
      <c r="G61" s="189"/>
      <c r="H61" s="189"/>
      <c r="I61" s="192"/>
      <c r="J61" s="200"/>
      <c r="K61" s="192"/>
      <c r="L61" s="189"/>
      <c r="M61" s="189"/>
      <c r="N61" s="189"/>
      <c r="O61" s="189"/>
      <c r="P61" s="189"/>
      <c r="Q61" s="189"/>
      <c r="R61" s="203"/>
      <c r="S61" s="82"/>
    </row>
    <row r="62" spans="1:19" x14ac:dyDescent="0.25">
      <c r="A62" s="200"/>
      <c r="B62" s="80" t="s">
        <v>66</v>
      </c>
      <c r="C62" s="131">
        <v>1</v>
      </c>
      <c r="D62" s="75">
        <v>15.999404928358301</v>
      </c>
      <c r="E62" s="75">
        <f>(2*D62)</f>
        <v>31.998809856716601</v>
      </c>
      <c r="F62" s="190"/>
      <c r="G62" s="190"/>
      <c r="H62" s="190"/>
      <c r="I62" s="193"/>
      <c r="J62" s="200"/>
      <c r="K62" s="193"/>
      <c r="L62" s="190"/>
      <c r="M62" s="190"/>
      <c r="N62" s="190"/>
      <c r="O62" s="190"/>
      <c r="P62" s="190"/>
      <c r="Q62" s="190"/>
      <c r="R62" s="204"/>
      <c r="S62" s="82"/>
    </row>
    <row r="63" spans="1:19" ht="15.75" x14ac:dyDescent="0.25">
      <c r="A63" s="194" t="s">
        <v>255</v>
      </c>
      <c r="B63" s="195"/>
      <c r="C63" s="195"/>
      <c r="D63" s="195"/>
      <c r="E63" s="195"/>
      <c r="F63" s="195"/>
      <c r="G63" s="195"/>
      <c r="H63" s="195"/>
      <c r="I63" s="195"/>
      <c r="J63" s="195"/>
      <c r="K63" s="195"/>
      <c r="L63" s="195"/>
      <c r="M63" s="195"/>
      <c r="N63" s="195"/>
      <c r="O63" s="195"/>
      <c r="P63" s="195"/>
      <c r="Q63" s="195"/>
      <c r="R63" s="196"/>
      <c r="S63" s="82"/>
    </row>
    <row r="64" spans="1:19" x14ac:dyDescent="0.25">
      <c r="A64" s="191" t="s">
        <v>265</v>
      </c>
      <c r="B64" s="78" t="s">
        <v>53</v>
      </c>
      <c r="C64" s="80">
        <f>4.6/100</f>
        <v>4.5999999999999999E-2</v>
      </c>
      <c r="D64" s="46">
        <v>238.04955989999999</v>
      </c>
      <c r="E64" s="191">
        <f>(C64*D64)+(C65*D65)+(C66*D66)+(C67*D67)+(C68*D68)</f>
        <v>239.7495783283</v>
      </c>
      <c r="F64" s="191">
        <f>E64+E69</f>
        <v>271.74838818501661</v>
      </c>
      <c r="G64" s="191">
        <f>G54</f>
        <v>0.06</v>
      </c>
      <c r="H64" s="197">
        <f>G64*0.9921</f>
        <v>5.9525999999999996E-2</v>
      </c>
      <c r="I64" s="200">
        <f>(H64*F64)+(H70*F70)+(H73*F73)</f>
        <v>270.86090257464099</v>
      </c>
      <c r="J64" s="191">
        <f>11.46</f>
        <v>11.46</v>
      </c>
      <c r="K64" s="200">
        <v>100</v>
      </c>
      <c r="L64" s="200">
        <f>K64*H64</f>
        <v>5.9525999999999994</v>
      </c>
      <c r="M64" s="188">
        <f>L64/F64</f>
        <v>2.1904821735123755E-2</v>
      </c>
      <c r="N64" s="188">
        <f>M64/(M64+M70+M73)</f>
        <v>5.929097262230458E-2</v>
      </c>
      <c r="O64" s="200">
        <f>L64/J64</f>
        <v>0.51942408376963345</v>
      </c>
      <c r="P64" s="188">
        <f>O64+O70+O73</f>
        <v>9.1349236306435539</v>
      </c>
      <c r="Q64" s="200">
        <f>O64/P64</f>
        <v>5.6861349341465715E-2</v>
      </c>
      <c r="R64" s="200">
        <f>(Q64*J64)+(Q70*J70)+(Q73*J73)</f>
        <v>10.946999016449906</v>
      </c>
      <c r="S64" s="82">
        <f t="shared" si="0"/>
        <v>10.50911905579191</v>
      </c>
    </row>
    <row r="65" spans="1:19" x14ac:dyDescent="0.25">
      <c r="A65" s="192"/>
      <c r="B65" s="78" t="s">
        <v>54</v>
      </c>
      <c r="C65" s="80">
        <f>50.5/100</f>
        <v>0.505</v>
      </c>
      <c r="D65" s="46">
        <v>239.05216340000001</v>
      </c>
      <c r="E65" s="192"/>
      <c r="F65" s="192"/>
      <c r="G65" s="192"/>
      <c r="H65" s="198"/>
      <c r="I65" s="200"/>
      <c r="J65" s="192"/>
      <c r="K65" s="200"/>
      <c r="L65" s="200"/>
      <c r="M65" s="189"/>
      <c r="N65" s="189"/>
      <c r="O65" s="200"/>
      <c r="P65" s="189"/>
      <c r="Q65" s="200"/>
      <c r="R65" s="200"/>
      <c r="S65" s="82"/>
    </row>
    <row r="66" spans="1:19" x14ac:dyDescent="0.25">
      <c r="A66" s="192"/>
      <c r="B66" s="78" t="s">
        <v>55</v>
      </c>
      <c r="C66" s="80">
        <f>24/100</f>
        <v>0.24</v>
      </c>
      <c r="D66" s="46">
        <v>240.05381349999999</v>
      </c>
      <c r="E66" s="192"/>
      <c r="F66" s="192"/>
      <c r="G66" s="192"/>
      <c r="H66" s="198"/>
      <c r="I66" s="200"/>
      <c r="J66" s="192"/>
      <c r="K66" s="200"/>
      <c r="L66" s="200"/>
      <c r="M66" s="189"/>
      <c r="N66" s="189"/>
      <c r="O66" s="200"/>
      <c r="P66" s="189"/>
      <c r="Q66" s="200"/>
      <c r="R66" s="200"/>
      <c r="S66" s="82"/>
    </row>
    <row r="67" spans="1:19" x14ac:dyDescent="0.25">
      <c r="A67" s="192"/>
      <c r="B67" s="78" t="s">
        <v>56</v>
      </c>
      <c r="C67" s="80">
        <f>12.5/100</f>
        <v>0.125</v>
      </c>
      <c r="D67" s="76">
        <v>241.05685149999999</v>
      </c>
      <c r="E67" s="192"/>
      <c r="F67" s="192"/>
      <c r="G67" s="192"/>
      <c r="H67" s="198"/>
      <c r="I67" s="200"/>
      <c r="J67" s="192"/>
      <c r="K67" s="200"/>
      <c r="L67" s="200"/>
      <c r="M67" s="189"/>
      <c r="N67" s="189"/>
      <c r="O67" s="200"/>
      <c r="P67" s="189"/>
      <c r="Q67" s="200"/>
      <c r="R67" s="200"/>
      <c r="S67" s="82"/>
    </row>
    <row r="68" spans="1:19" x14ac:dyDescent="0.25">
      <c r="A68" s="192"/>
      <c r="B68" s="78" t="s">
        <v>57</v>
      </c>
      <c r="C68" s="80">
        <f>8.4/100</f>
        <v>8.4000000000000005E-2</v>
      </c>
      <c r="D68" s="76">
        <v>242.05874259999999</v>
      </c>
      <c r="E68" s="193"/>
      <c r="F68" s="192"/>
      <c r="G68" s="192"/>
      <c r="H68" s="198"/>
      <c r="I68" s="200"/>
      <c r="J68" s="192"/>
      <c r="K68" s="200"/>
      <c r="L68" s="200"/>
      <c r="M68" s="189"/>
      <c r="N68" s="189"/>
      <c r="O68" s="200"/>
      <c r="P68" s="189"/>
      <c r="Q68" s="200"/>
      <c r="R68" s="200"/>
      <c r="S68" s="82"/>
    </row>
    <row r="69" spans="1:19" x14ac:dyDescent="0.25">
      <c r="A69" s="193"/>
      <c r="B69" s="23" t="s">
        <v>66</v>
      </c>
      <c r="C69" s="23">
        <v>1</v>
      </c>
      <c r="D69" s="75">
        <v>15.999404928358301</v>
      </c>
      <c r="E69" s="23">
        <f>2*D69</f>
        <v>31.998809856716601</v>
      </c>
      <c r="F69" s="193"/>
      <c r="G69" s="193"/>
      <c r="H69" s="199"/>
      <c r="I69" s="200"/>
      <c r="J69" s="193"/>
      <c r="K69" s="200"/>
      <c r="L69" s="200"/>
      <c r="M69" s="190"/>
      <c r="N69" s="190"/>
      <c r="O69" s="200"/>
      <c r="P69" s="189"/>
      <c r="Q69" s="200"/>
      <c r="R69" s="200"/>
      <c r="S69" s="82"/>
    </row>
    <row r="70" spans="1:19" x14ac:dyDescent="0.25">
      <c r="A70" s="200" t="s">
        <v>254</v>
      </c>
      <c r="B70" s="80" t="s">
        <v>62</v>
      </c>
      <c r="C70" s="131">
        <v>7.1999999999999998E-3</v>
      </c>
      <c r="D70" s="80">
        <v>235.0439231</v>
      </c>
      <c r="E70" s="200">
        <f>(C70*D70)+(C71*D71)</f>
        <v>238.0291332116</v>
      </c>
      <c r="F70" s="188">
        <f>E70+E72</f>
        <v>270.02794306831657</v>
      </c>
      <c r="G70" s="188">
        <f>G60</f>
        <v>0.94</v>
      </c>
      <c r="H70" s="208">
        <f>G70*0.9921</f>
        <v>0.9325739999999999</v>
      </c>
      <c r="I70" s="200"/>
      <c r="J70" s="200">
        <v>10.96</v>
      </c>
      <c r="K70" s="200"/>
      <c r="L70" s="200">
        <f>K64*H70</f>
        <v>93.25739999999999</v>
      </c>
      <c r="M70" s="188">
        <f>L70/F70</f>
        <v>0.34536203527797876</v>
      </c>
      <c r="N70" s="188">
        <f>M70/(M64+M70+M73)</f>
        <v>0.93481020873207943</v>
      </c>
      <c r="O70" s="200">
        <f>L70/J70</f>
        <v>8.5088868613138668</v>
      </c>
      <c r="P70" s="189"/>
      <c r="Q70" s="200">
        <f>O70/P64</f>
        <v>0.93146776101886442</v>
      </c>
      <c r="R70" s="200"/>
      <c r="S70" s="82"/>
    </row>
    <row r="71" spans="1:19" x14ac:dyDescent="0.25">
      <c r="A71" s="200"/>
      <c r="B71" s="80" t="s">
        <v>64</v>
      </c>
      <c r="C71" s="131">
        <f>1-C70</f>
        <v>0.99280000000000002</v>
      </c>
      <c r="D71" s="80">
        <v>238.05078259999999</v>
      </c>
      <c r="E71" s="200"/>
      <c r="F71" s="189"/>
      <c r="G71" s="189"/>
      <c r="H71" s="210"/>
      <c r="I71" s="200"/>
      <c r="J71" s="200"/>
      <c r="K71" s="200"/>
      <c r="L71" s="200"/>
      <c r="M71" s="189"/>
      <c r="N71" s="189"/>
      <c r="O71" s="200"/>
      <c r="P71" s="189"/>
      <c r="Q71" s="200"/>
      <c r="R71" s="200"/>
      <c r="S71" s="82"/>
    </row>
    <row r="72" spans="1:19" x14ac:dyDescent="0.25">
      <c r="A72" s="200"/>
      <c r="B72" s="80" t="s">
        <v>66</v>
      </c>
      <c r="C72" s="131">
        <v>1</v>
      </c>
      <c r="D72" s="75">
        <v>15.999404928358301</v>
      </c>
      <c r="E72" s="75">
        <f>(2*D72)</f>
        <v>31.998809856716601</v>
      </c>
      <c r="F72" s="190"/>
      <c r="G72" s="190"/>
      <c r="H72" s="209"/>
      <c r="I72" s="200"/>
      <c r="J72" s="200"/>
      <c r="K72" s="200"/>
      <c r="L72" s="200"/>
      <c r="M72" s="190"/>
      <c r="N72" s="190"/>
      <c r="O72" s="200"/>
      <c r="P72" s="189"/>
      <c r="Q72" s="200"/>
      <c r="R72" s="200"/>
      <c r="S72" s="82"/>
    </row>
    <row r="73" spans="1:19" x14ac:dyDescent="0.25">
      <c r="A73" s="200" t="s">
        <v>127</v>
      </c>
      <c r="B73" s="80" t="s">
        <v>253</v>
      </c>
      <c r="C73" s="80">
        <v>1</v>
      </c>
      <c r="D73" s="4">
        <v>157.25209770539999</v>
      </c>
      <c r="E73" s="75">
        <f>2*D73</f>
        <v>314.50419541079998</v>
      </c>
      <c r="F73" s="188">
        <f>E73+E74</f>
        <v>362.50241019587486</v>
      </c>
      <c r="G73" s="188">
        <v>7.9000000000000008E-3</v>
      </c>
      <c r="H73" s="208">
        <v>7.9000000000000008E-3</v>
      </c>
      <c r="I73" s="200"/>
      <c r="J73" s="188">
        <v>7.41</v>
      </c>
      <c r="K73" s="200"/>
      <c r="L73" s="200">
        <f>K64*H73</f>
        <v>0.79</v>
      </c>
      <c r="M73" s="188">
        <f>L73/F73</f>
        <v>2.1792958550899862E-3</v>
      </c>
      <c r="N73" s="188">
        <f>M73/(M64+M70+M73)</f>
        <v>5.8988186456159818E-3</v>
      </c>
      <c r="O73" s="200">
        <f>L73/J73</f>
        <v>0.10661268556005399</v>
      </c>
      <c r="P73" s="189"/>
      <c r="Q73" s="200">
        <f>O73/P64</f>
        <v>1.1670889639669942E-2</v>
      </c>
      <c r="R73" s="200"/>
      <c r="S73" s="82"/>
    </row>
    <row r="74" spans="1:19" x14ac:dyDescent="0.25">
      <c r="A74" s="200"/>
      <c r="B74" s="80" t="s">
        <v>66</v>
      </c>
      <c r="C74" s="80">
        <v>1</v>
      </c>
      <c r="D74" s="80">
        <v>15.999404928358299</v>
      </c>
      <c r="E74" s="75">
        <f>(3*D74)</f>
        <v>47.998214785074893</v>
      </c>
      <c r="F74" s="190"/>
      <c r="G74" s="190"/>
      <c r="H74" s="209"/>
      <c r="I74" s="200"/>
      <c r="J74" s="190"/>
      <c r="K74" s="200"/>
      <c r="L74" s="200"/>
      <c r="M74" s="190"/>
      <c r="N74" s="190"/>
      <c r="O74" s="200"/>
      <c r="P74" s="190"/>
      <c r="Q74" s="200"/>
      <c r="R74" s="200"/>
      <c r="S74" s="82"/>
    </row>
    <row r="75" spans="1:19" x14ac:dyDescent="0.25">
      <c r="S75" s="82"/>
    </row>
    <row r="76" spans="1:19" ht="15.75" x14ac:dyDescent="0.25">
      <c r="A76" s="201" t="s">
        <v>232</v>
      </c>
      <c r="B76" s="201"/>
      <c r="C76" s="201"/>
      <c r="D76" s="201"/>
      <c r="E76" s="201"/>
      <c r="F76" s="201"/>
      <c r="G76" s="201"/>
      <c r="H76" s="201"/>
      <c r="I76" s="201"/>
      <c r="J76" s="201"/>
      <c r="K76" s="201"/>
      <c r="L76" s="201"/>
      <c r="M76" s="201"/>
      <c r="N76" s="201"/>
      <c r="O76" s="201"/>
      <c r="P76" s="201"/>
      <c r="Q76" s="201"/>
      <c r="R76" s="201"/>
      <c r="S76" s="82"/>
    </row>
    <row r="77" spans="1:19" ht="15.75" x14ac:dyDescent="0.25">
      <c r="A77" s="194" t="s">
        <v>263</v>
      </c>
      <c r="B77" s="195"/>
      <c r="C77" s="195"/>
      <c r="D77" s="195"/>
      <c r="E77" s="195"/>
      <c r="F77" s="195"/>
      <c r="G77" s="195"/>
      <c r="H77" s="195"/>
      <c r="I77" s="195"/>
      <c r="J77" s="195"/>
      <c r="K77" s="195"/>
      <c r="L77" s="195"/>
      <c r="M77" s="195"/>
      <c r="N77" s="195"/>
      <c r="O77" s="195"/>
      <c r="P77" s="195"/>
      <c r="Q77" s="195"/>
      <c r="R77" s="196"/>
      <c r="S77" s="82"/>
    </row>
    <row r="78" spans="1:19" ht="45" x14ac:dyDescent="0.25">
      <c r="A78" s="77" t="s">
        <v>266</v>
      </c>
      <c r="B78" s="77" t="s">
        <v>262</v>
      </c>
      <c r="C78" s="77" t="s">
        <v>261</v>
      </c>
      <c r="D78" s="77" t="s">
        <v>260</v>
      </c>
      <c r="E78" s="77" t="s">
        <v>259</v>
      </c>
      <c r="F78" s="77" t="s">
        <v>258</v>
      </c>
      <c r="G78" s="77" t="s">
        <v>264</v>
      </c>
      <c r="H78" s="77"/>
      <c r="I78" s="77" t="s">
        <v>272</v>
      </c>
      <c r="J78" s="77" t="s">
        <v>257</v>
      </c>
      <c r="K78" s="77" t="s">
        <v>269</v>
      </c>
      <c r="L78" s="77" t="s">
        <v>268</v>
      </c>
      <c r="M78" s="130" t="s">
        <v>352</v>
      </c>
      <c r="N78" s="130" t="s">
        <v>354</v>
      </c>
      <c r="O78" s="77" t="s">
        <v>267</v>
      </c>
      <c r="P78" s="77" t="s">
        <v>270</v>
      </c>
      <c r="Q78" s="77" t="s">
        <v>256</v>
      </c>
      <c r="R78" s="81" t="s">
        <v>271</v>
      </c>
      <c r="S78" s="82"/>
    </row>
    <row r="79" spans="1:19" x14ac:dyDescent="0.25">
      <c r="A79" s="191" t="s">
        <v>265</v>
      </c>
      <c r="B79" s="78" t="s">
        <v>53</v>
      </c>
      <c r="C79" s="80">
        <f>4.6/100</f>
        <v>4.5999999999999999E-2</v>
      </c>
      <c r="D79" s="46">
        <v>238.04955989999999</v>
      </c>
      <c r="E79" s="191">
        <f>(C79*D79)+(C80*D80)+(C81*D81)+(C82*D82)+(C83*D83)</f>
        <v>239.7495783283</v>
      </c>
      <c r="F79" s="191">
        <f>E79+E84</f>
        <v>271.74838818501661</v>
      </c>
      <c r="G79" s="191">
        <v>0.08</v>
      </c>
      <c r="H79" s="191">
        <f>G79</f>
        <v>0.08</v>
      </c>
      <c r="I79" s="191">
        <f>(G79*F79)+(G85*F85)</f>
        <v>270.1655786776526</v>
      </c>
      <c r="J79" s="191">
        <f>11.46</f>
        <v>11.46</v>
      </c>
      <c r="K79" s="191">
        <v>100</v>
      </c>
      <c r="L79" s="191">
        <f>K79*H79</f>
        <v>8</v>
      </c>
      <c r="M79" s="191">
        <f>L79/F79</f>
        <v>2.9438997056914638E-2</v>
      </c>
      <c r="N79" s="191">
        <f>M79/(M79+M85)</f>
        <v>7.9533800634222523E-2</v>
      </c>
      <c r="O79" s="191">
        <f>L79/J79</f>
        <v>0.69808027923211169</v>
      </c>
      <c r="P79" s="188">
        <f>O79+O85</f>
        <v>9.0922408631737177</v>
      </c>
      <c r="Q79" s="188">
        <f>O79/P79</f>
        <v>7.6777583187390544E-2</v>
      </c>
      <c r="R79" s="202">
        <f>(Q79*J79)+(Q85*J85)</f>
        <v>10.998388791593696</v>
      </c>
      <c r="S79" s="82">
        <f t="shared" ref="S79:S129" si="1">R79*0.96</f>
        <v>10.558453239929948</v>
      </c>
    </row>
    <row r="80" spans="1:19" x14ac:dyDescent="0.25">
      <c r="A80" s="192"/>
      <c r="B80" s="78" t="s">
        <v>54</v>
      </c>
      <c r="C80" s="80">
        <f>50.5/100</f>
        <v>0.505</v>
      </c>
      <c r="D80" s="46">
        <v>239.05216340000001</v>
      </c>
      <c r="E80" s="192"/>
      <c r="F80" s="192"/>
      <c r="G80" s="192"/>
      <c r="H80" s="192"/>
      <c r="I80" s="192"/>
      <c r="J80" s="192"/>
      <c r="K80" s="192"/>
      <c r="L80" s="192"/>
      <c r="M80" s="192"/>
      <c r="N80" s="192"/>
      <c r="O80" s="192"/>
      <c r="P80" s="189"/>
      <c r="Q80" s="189"/>
      <c r="R80" s="203"/>
      <c r="S80" s="82"/>
    </row>
    <row r="81" spans="1:19" x14ac:dyDescent="0.25">
      <c r="A81" s="192"/>
      <c r="B81" s="78" t="s">
        <v>55</v>
      </c>
      <c r="C81" s="80">
        <f>24/100</f>
        <v>0.24</v>
      </c>
      <c r="D81" s="46">
        <v>240.05381349999999</v>
      </c>
      <c r="E81" s="192"/>
      <c r="F81" s="192"/>
      <c r="G81" s="192"/>
      <c r="H81" s="192"/>
      <c r="I81" s="192"/>
      <c r="J81" s="192"/>
      <c r="K81" s="192"/>
      <c r="L81" s="192"/>
      <c r="M81" s="192"/>
      <c r="N81" s="192"/>
      <c r="O81" s="192"/>
      <c r="P81" s="189"/>
      <c r="Q81" s="189"/>
      <c r="R81" s="203"/>
      <c r="S81" s="82"/>
    </row>
    <row r="82" spans="1:19" x14ac:dyDescent="0.25">
      <c r="A82" s="192"/>
      <c r="B82" s="78" t="s">
        <v>56</v>
      </c>
      <c r="C82" s="80">
        <f>12.5/100</f>
        <v>0.125</v>
      </c>
      <c r="D82" s="76">
        <v>241.05685149999999</v>
      </c>
      <c r="E82" s="192"/>
      <c r="F82" s="192"/>
      <c r="G82" s="192"/>
      <c r="H82" s="192"/>
      <c r="I82" s="192"/>
      <c r="J82" s="192"/>
      <c r="K82" s="192"/>
      <c r="L82" s="192"/>
      <c r="M82" s="192"/>
      <c r="N82" s="192"/>
      <c r="O82" s="192"/>
      <c r="P82" s="189"/>
      <c r="Q82" s="189"/>
      <c r="R82" s="203"/>
      <c r="S82" s="82"/>
    </row>
    <row r="83" spans="1:19" x14ac:dyDescent="0.25">
      <c r="A83" s="192"/>
      <c r="B83" s="78" t="s">
        <v>57</v>
      </c>
      <c r="C83" s="80">
        <f>8.4/100</f>
        <v>8.4000000000000005E-2</v>
      </c>
      <c r="D83" s="76">
        <v>242.05874259999999</v>
      </c>
      <c r="E83" s="193"/>
      <c r="F83" s="192"/>
      <c r="G83" s="192"/>
      <c r="H83" s="192"/>
      <c r="I83" s="192"/>
      <c r="J83" s="192"/>
      <c r="K83" s="192"/>
      <c r="L83" s="192"/>
      <c r="M83" s="192"/>
      <c r="N83" s="192"/>
      <c r="O83" s="192"/>
      <c r="P83" s="189"/>
      <c r="Q83" s="189"/>
      <c r="R83" s="203"/>
      <c r="S83" s="82"/>
    </row>
    <row r="84" spans="1:19" x14ac:dyDescent="0.25">
      <c r="A84" s="193"/>
      <c r="B84" s="23" t="s">
        <v>66</v>
      </c>
      <c r="C84" s="23">
        <v>1</v>
      </c>
      <c r="D84" s="75">
        <v>15.999404928358301</v>
      </c>
      <c r="E84" s="23">
        <f>2*D84</f>
        <v>31.998809856716601</v>
      </c>
      <c r="F84" s="193"/>
      <c r="G84" s="193"/>
      <c r="H84" s="193"/>
      <c r="I84" s="192"/>
      <c r="J84" s="193"/>
      <c r="K84" s="192"/>
      <c r="L84" s="193"/>
      <c r="M84" s="193"/>
      <c r="N84" s="193"/>
      <c r="O84" s="193"/>
      <c r="P84" s="189"/>
      <c r="Q84" s="190"/>
      <c r="R84" s="203"/>
      <c r="S84" s="82"/>
    </row>
    <row r="85" spans="1:19" x14ac:dyDescent="0.25">
      <c r="A85" s="200" t="s">
        <v>254</v>
      </c>
      <c r="B85" s="80" t="s">
        <v>62</v>
      </c>
      <c r="C85" s="131">
        <v>7.1999999999999998E-3</v>
      </c>
      <c r="D85" s="80">
        <v>235.0439231</v>
      </c>
      <c r="E85" s="200">
        <f>(C85*D85)+(C86*D86)</f>
        <v>238.0291332116</v>
      </c>
      <c r="F85" s="188">
        <f>E85+E87</f>
        <v>270.02794306831657</v>
      </c>
      <c r="G85" s="188">
        <f>1-G79</f>
        <v>0.92</v>
      </c>
      <c r="H85" s="188">
        <f>G85</f>
        <v>0.92</v>
      </c>
      <c r="I85" s="192"/>
      <c r="J85" s="200">
        <v>10.96</v>
      </c>
      <c r="K85" s="192"/>
      <c r="L85" s="188">
        <f>K79*H85</f>
        <v>92</v>
      </c>
      <c r="M85" s="188">
        <f>L85/F85</f>
        <v>0.3407054801610816</v>
      </c>
      <c r="N85" s="188">
        <f>M85/(M85+M79)</f>
        <v>0.92046619936577745</v>
      </c>
      <c r="O85" s="188">
        <f>L85/J85</f>
        <v>8.3941605839416056</v>
      </c>
      <c r="P85" s="189"/>
      <c r="Q85" s="188">
        <f>O85/P79</f>
        <v>0.92322241681260941</v>
      </c>
      <c r="R85" s="203"/>
      <c r="S85" s="82"/>
    </row>
    <row r="86" spans="1:19" x14ac:dyDescent="0.25">
      <c r="A86" s="200"/>
      <c r="B86" s="80" t="s">
        <v>64</v>
      </c>
      <c r="C86" s="131">
        <f>1-C85</f>
        <v>0.99280000000000002</v>
      </c>
      <c r="D86" s="80">
        <v>238.05078259999999</v>
      </c>
      <c r="E86" s="200"/>
      <c r="F86" s="189"/>
      <c r="G86" s="189"/>
      <c r="H86" s="189"/>
      <c r="I86" s="192"/>
      <c r="J86" s="200"/>
      <c r="K86" s="192"/>
      <c r="L86" s="189"/>
      <c r="M86" s="189"/>
      <c r="N86" s="189"/>
      <c r="O86" s="189"/>
      <c r="P86" s="189"/>
      <c r="Q86" s="189"/>
      <c r="R86" s="203"/>
      <c r="S86" s="82"/>
    </row>
    <row r="87" spans="1:19" x14ac:dyDescent="0.25">
      <c r="A87" s="200"/>
      <c r="B87" s="80" t="s">
        <v>66</v>
      </c>
      <c r="C87" s="131">
        <v>1</v>
      </c>
      <c r="D87" s="75">
        <v>15.999404928358301</v>
      </c>
      <c r="E87" s="75">
        <f>(2*D87)</f>
        <v>31.998809856716601</v>
      </c>
      <c r="F87" s="190"/>
      <c r="G87" s="190"/>
      <c r="H87" s="190"/>
      <c r="I87" s="193"/>
      <c r="J87" s="200"/>
      <c r="K87" s="193"/>
      <c r="L87" s="190"/>
      <c r="M87" s="190"/>
      <c r="N87" s="190"/>
      <c r="O87" s="190"/>
      <c r="P87" s="190"/>
      <c r="Q87" s="190"/>
      <c r="R87" s="204"/>
      <c r="S87" s="82"/>
    </row>
    <row r="88" spans="1:19" ht="15.75" x14ac:dyDescent="0.25">
      <c r="A88" s="194" t="s">
        <v>255</v>
      </c>
      <c r="B88" s="195"/>
      <c r="C88" s="195"/>
      <c r="D88" s="195"/>
      <c r="E88" s="195"/>
      <c r="F88" s="195"/>
      <c r="G88" s="195"/>
      <c r="H88" s="195"/>
      <c r="I88" s="195"/>
      <c r="J88" s="195"/>
      <c r="K88" s="195"/>
      <c r="L88" s="195"/>
      <c r="M88" s="195"/>
      <c r="N88" s="195"/>
      <c r="O88" s="195"/>
      <c r="P88" s="195"/>
      <c r="Q88" s="195"/>
      <c r="R88" s="196"/>
      <c r="S88" s="82"/>
    </row>
    <row r="89" spans="1:19" x14ac:dyDescent="0.25">
      <c r="A89" s="191" t="s">
        <v>265</v>
      </c>
      <c r="B89" s="78" t="s">
        <v>53</v>
      </c>
      <c r="C89" s="80">
        <f>4.6/100</f>
        <v>4.5999999999999999E-2</v>
      </c>
      <c r="D89" s="46">
        <v>238.04955989999999</v>
      </c>
      <c r="E89" s="191">
        <f>(C89*D89)+(C90*D90)+(C91*D91)+(C92*D92)+(C93*D93)</f>
        <v>239.7495783283</v>
      </c>
      <c r="F89" s="191">
        <f>E89+E94</f>
        <v>271.74838818501661</v>
      </c>
      <c r="G89" s="191">
        <f>G79</f>
        <v>0.08</v>
      </c>
      <c r="H89" s="197">
        <f>G89*0.9921</f>
        <v>7.9367999999999994E-2</v>
      </c>
      <c r="I89" s="200">
        <f>(H89*F89)+(H95*F95)+(H98*F98)</f>
        <v>270.89503964664652</v>
      </c>
      <c r="J89" s="191">
        <f>11.46</f>
        <v>11.46</v>
      </c>
      <c r="K89" s="200">
        <v>100</v>
      </c>
      <c r="L89" s="200">
        <f>K89*H89</f>
        <v>7.9367999999999999</v>
      </c>
      <c r="M89" s="188">
        <f>L89/F89</f>
        <v>2.9206428980165011E-2</v>
      </c>
      <c r="N89" s="188">
        <f>M89/(M89+M95+M98)</f>
        <v>7.9064586083946425E-2</v>
      </c>
      <c r="O89" s="200">
        <f>L89/J89</f>
        <v>0.69256544502617789</v>
      </c>
      <c r="P89" s="188">
        <f>O89+O95+O98</f>
        <v>9.127024845914697</v>
      </c>
      <c r="Q89" s="200">
        <f>O89/P89</f>
        <v>7.5880745009275802E-2</v>
      </c>
      <c r="R89" s="200">
        <f>(Q89*J89)+(Q95*J95)+(Q98*J98)</f>
        <v>10.956472858158209</v>
      </c>
      <c r="S89" s="82">
        <f t="shared" si="1"/>
        <v>10.51821394383188</v>
      </c>
    </row>
    <row r="90" spans="1:19" x14ac:dyDescent="0.25">
      <c r="A90" s="192"/>
      <c r="B90" s="78" t="s">
        <v>54</v>
      </c>
      <c r="C90" s="80">
        <f>50.5/100</f>
        <v>0.505</v>
      </c>
      <c r="D90" s="46">
        <v>239.05216340000001</v>
      </c>
      <c r="E90" s="192"/>
      <c r="F90" s="192"/>
      <c r="G90" s="192"/>
      <c r="H90" s="198"/>
      <c r="I90" s="200"/>
      <c r="J90" s="192"/>
      <c r="K90" s="200"/>
      <c r="L90" s="200"/>
      <c r="M90" s="189"/>
      <c r="N90" s="189"/>
      <c r="O90" s="200"/>
      <c r="P90" s="189"/>
      <c r="Q90" s="200"/>
      <c r="R90" s="200"/>
      <c r="S90" s="82"/>
    </row>
    <row r="91" spans="1:19" x14ac:dyDescent="0.25">
      <c r="A91" s="192"/>
      <c r="B91" s="78" t="s">
        <v>55</v>
      </c>
      <c r="C91" s="80">
        <f>24/100</f>
        <v>0.24</v>
      </c>
      <c r="D91" s="46">
        <v>240.05381349999999</v>
      </c>
      <c r="E91" s="192"/>
      <c r="F91" s="192"/>
      <c r="G91" s="192"/>
      <c r="H91" s="198"/>
      <c r="I91" s="200"/>
      <c r="J91" s="192"/>
      <c r="K91" s="200"/>
      <c r="L91" s="200"/>
      <c r="M91" s="189"/>
      <c r="N91" s="189"/>
      <c r="O91" s="200"/>
      <c r="P91" s="189"/>
      <c r="Q91" s="200"/>
      <c r="R91" s="200"/>
      <c r="S91" s="82"/>
    </row>
    <row r="92" spans="1:19" x14ac:dyDescent="0.25">
      <c r="A92" s="192"/>
      <c r="B92" s="78" t="s">
        <v>56</v>
      </c>
      <c r="C92" s="80">
        <f>12.5/100</f>
        <v>0.125</v>
      </c>
      <c r="D92" s="76">
        <v>241.05685149999999</v>
      </c>
      <c r="E92" s="192"/>
      <c r="F92" s="192"/>
      <c r="G92" s="192"/>
      <c r="H92" s="198"/>
      <c r="I92" s="200"/>
      <c r="J92" s="192"/>
      <c r="K92" s="200"/>
      <c r="L92" s="200"/>
      <c r="M92" s="189"/>
      <c r="N92" s="189"/>
      <c r="O92" s="200"/>
      <c r="P92" s="189"/>
      <c r="Q92" s="200"/>
      <c r="R92" s="200"/>
      <c r="S92" s="82"/>
    </row>
    <row r="93" spans="1:19" x14ac:dyDescent="0.25">
      <c r="A93" s="192"/>
      <c r="B93" s="78" t="s">
        <v>57</v>
      </c>
      <c r="C93" s="80">
        <f>8.4/100</f>
        <v>8.4000000000000005E-2</v>
      </c>
      <c r="D93" s="76">
        <v>242.05874259999999</v>
      </c>
      <c r="E93" s="193"/>
      <c r="F93" s="192"/>
      <c r="G93" s="192"/>
      <c r="H93" s="198"/>
      <c r="I93" s="200"/>
      <c r="J93" s="192"/>
      <c r="K93" s="200"/>
      <c r="L93" s="200"/>
      <c r="M93" s="189"/>
      <c r="N93" s="189"/>
      <c r="O93" s="200"/>
      <c r="P93" s="189"/>
      <c r="Q93" s="200"/>
      <c r="R93" s="200"/>
      <c r="S93" s="82"/>
    </row>
    <row r="94" spans="1:19" x14ac:dyDescent="0.25">
      <c r="A94" s="193"/>
      <c r="B94" s="23" t="s">
        <v>66</v>
      </c>
      <c r="C94" s="23">
        <v>1</v>
      </c>
      <c r="D94" s="75">
        <v>15.999404928358301</v>
      </c>
      <c r="E94" s="23">
        <f>2*D94</f>
        <v>31.998809856716601</v>
      </c>
      <c r="F94" s="193"/>
      <c r="G94" s="193"/>
      <c r="H94" s="199"/>
      <c r="I94" s="200"/>
      <c r="J94" s="193"/>
      <c r="K94" s="200"/>
      <c r="L94" s="200"/>
      <c r="M94" s="190"/>
      <c r="N94" s="190"/>
      <c r="O94" s="200"/>
      <c r="P94" s="189"/>
      <c r="Q94" s="200"/>
      <c r="R94" s="200"/>
      <c r="S94" s="82"/>
    </row>
    <row r="95" spans="1:19" x14ac:dyDescent="0.25">
      <c r="A95" s="200" t="s">
        <v>254</v>
      </c>
      <c r="B95" s="80" t="s">
        <v>62</v>
      </c>
      <c r="C95" s="131">
        <v>7.1999999999999998E-3</v>
      </c>
      <c r="D95" s="80">
        <v>235.0439231</v>
      </c>
      <c r="E95" s="200">
        <f>(C95*D95)+(C96*D96)</f>
        <v>238.0291332116</v>
      </c>
      <c r="F95" s="188">
        <f>E95+E97</f>
        <v>270.02794306831657</v>
      </c>
      <c r="G95" s="188">
        <f>G85</f>
        <v>0.92</v>
      </c>
      <c r="H95" s="208">
        <f>G95*0.9921</f>
        <v>0.91273199999999999</v>
      </c>
      <c r="I95" s="200"/>
      <c r="J95" s="200">
        <v>10.96</v>
      </c>
      <c r="K95" s="200"/>
      <c r="L95" s="200">
        <f>K89*H95</f>
        <v>91.273200000000003</v>
      </c>
      <c r="M95" s="188">
        <f>L95/F95</f>
        <v>0.33801390686780908</v>
      </c>
      <c r="N95" s="188">
        <f>M95/(M89+M95+M98)</f>
        <v>0.91503585238957708</v>
      </c>
      <c r="O95" s="200">
        <f>L95/J95</f>
        <v>8.3278467153284659</v>
      </c>
      <c r="P95" s="189"/>
      <c r="Q95" s="200">
        <f>O95/P89</f>
        <v>0.9124382650339834</v>
      </c>
      <c r="R95" s="200"/>
      <c r="S95" s="82"/>
    </row>
    <row r="96" spans="1:19" x14ac:dyDescent="0.25">
      <c r="A96" s="200"/>
      <c r="B96" s="80" t="s">
        <v>64</v>
      </c>
      <c r="C96" s="131">
        <f>1-C95</f>
        <v>0.99280000000000002</v>
      </c>
      <c r="D96" s="80">
        <v>238.05078259999999</v>
      </c>
      <c r="E96" s="200"/>
      <c r="F96" s="189"/>
      <c r="G96" s="189"/>
      <c r="H96" s="210"/>
      <c r="I96" s="200"/>
      <c r="J96" s="200"/>
      <c r="K96" s="200"/>
      <c r="L96" s="200"/>
      <c r="M96" s="189"/>
      <c r="N96" s="189"/>
      <c r="O96" s="200"/>
      <c r="P96" s="189"/>
      <c r="Q96" s="200"/>
      <c r="R96" s="200"/>
      <c r="S96" s="82"/>
    </row>
    <row r="97" spans="1:19" x14ac:dyDescent="0.25">
      <c r="A97" s="200"/>
      <c r="B97" s="80" t="s">
        <v>66</v>
      </c>
      <c r="C97" s="131">
        <v>1</v>
      </c>
      <c r="D97" s="75">
        <v>15.999404928358301</v>
      </c>
      <c r="E97" s="75">
        <f>(2*D97)</f>
        <v>31.998809856716601</v>
      </c>
      <c r="F97" s="190"/>
      <c r="G97" s="190"/>
      <c r="H97" s="209"/>
      <c r="I97" s="200"/>
      <c r="J97" s="200"/>
      <c r="K97" s="200"/>
      <c r="L97" s="200"/>
      <c r="M97" s="190"/>
      <c r="N97" s="190"/>
      <c r="O97" s="200"/>
      <c r="P97" s="189"/>
      <c r="Q97" s="200"/>
      <c r="R97" s="200"/>
      <c r="S97" s="82"/>
    </row>
    <row r="98" spans="1:19" x14ac:dyDescent="0.25">
      <c r="A98" s="200" t="s">
        <v>127</v>
      </c>
      <c r="B98" s="80" t="s">
        <v>253</v>
      </c>
      <c r="C98" s="80">
        <v>1</v>
      </c>
      <c r="D98" s="4">
        <v>157.25209770539999</v>
      </c>
      <c r="E98" s="75">
        <f>2*D98</f>
        <v>314.50419541079998</v>
      </c>
      <c r="F98" s="188">
        <f>E98+E99</f>
        <v>362.50241019587486</v>
      </c>
      <c r="G98" s="188">
        <v>7.9000000000000008E-3</v>
      </c>
      <c r="H98" s="208">
        <v>7.9000000000000008E-3</v>
      </c>
      <c r="I98" s="200"/>
      <c r="J98" s="188">
        <v>7.41</v>
      </c>
      <c r="K98" s="200"/>
      <c r="L98" s="200">
        <f>K89*H98</f>
        <v>0.79</v>
      </c>
      <c r="M98" s="188">
        <f>L98/F98</f>
        <v>2.1792958550899862E-3</v>
      </c>
      <c r="N98" s="188">
        <f>M98/(M89+M95+M98)</f>
        <v>5.8995615264765015E-3</v>
      </c>
      <c r="O98" s="200">
        <f>L98/J98</f>
        <v>0.10661268556005399</v>
      </c>
      <c r="P98" s="189"/>
      <c r="Q98" s="200">
        <f>O98/P89</f>
        <v>1.1680989956740873E-2</v>
      </c>
      <c r="R98" s="200"/>
      <c r="S98" s="82"/>
    </row>
    <row r="99" spans="1:19" x14ac:dyDescent="0.25">
      <c r="A99" s="200"/>
      <c r="B99" s="80" t="s">
        <v>66</v>
      </c>
      <c r="C99" s="80">
        <v>1</v>
      </c>
      <c r="D99" s="80">
        <v>15.999404928358299</v>
      </c>
      <c r="E99" s="75">
        <f>(3*D99)</f>
        <v>47.998214785074893</v>
      </c>
      <c r="F99" s="190"/>
      <c r="G99" s="190"/>
      <c r="H99" s="209"/>
      <c r="I99" s="200"/>
      <c r="J99" s="190"/>
      <c r="K99" s="200"/>
      <c r="L99" s="200"/>
      <c r="M99" s="190"/>
      <c r="N99" s="190"/>
      <c r="O99" s="200"/>
      <c r="P99" s="190"/>
      <c r="Q99" s="200"/>
      <c r="R99" s="200"/>
      <c r="S99" s="82"/>
    </row>
    <row r="100" spans="1:19" x14ac:dyDescent="0.25">
      <c r="S100" s="82"/>
    </row>
    <row r="101" spans="1:19" ht="15.75" x14ac:dyDescent="0.25">
      <c r="A101" s="201" t="s">
        <v>233</v>
      </c>
      <c r="B101" s="201"/>
      <c r="C101" s="201"/>
      <c r="D101" s="201"/>
      <c r="E101" s="201"/>
      <c r="F101" s="201"/>
      <c r="G101" s="201"/>
      <c r="H101" s="201"/>
      <c r="I101" s="201"/>
      <c r="J101" s="201"/>
      <c r="K101" s="201"/>
      <c r="L101" s="201"/>
      <c r="M101" s="201"/>
      <c r="N101" s="201"/>
      <c r="O101" s="201"/>
      <c r="P101" s="201"/>
      <c r="Q101" s="201"/>
      <c r="R101" s="201"/>
      <c r="S101" s="82"/>
    </row>
    <row r="102" spans="1:19" ht="15.75" x14ac:dyDescent="0.25">
      <c r="A102" s="194" t="s">
        <v>263</v>
      </c>
      <c r="B102" s="195"/>
      <c r="C102" s="195"/>
      <c r="D102" s="195"/>
      <c r="E102" s="195"/>
      <c r="F102" s="195"/>
      <c r="G102" s="195"/>
      <c r="H102" s="195"/>
      <c r="I102" s="195"/>
      <c r="J102" s="195"/>
      <c r="K102" s="195"/>
      <c r="L102" s="195"/>
      <c r="M102" s="195"/>
      <c r="N102" s="195"/>
      <c r="O102" s="195"/>
      <c r="P102" s="195"/>
      <c r="Q102" s="195"/>
      <c r="R102" s="196"/>
      <c r="S102" s="82"/>
    </row>
    <row r="103" spans="1:19" ht="45" x14ac:dyDescent="0.25">
      <c r="A103" s="77" t="s">
        <v>266</v>
      </c>
      <c r="B103" s="77" t="s">
        <v>262</v>
      </c>
      <c r="C103" s="77" t="s">
        <v>261</v>
      </c>
      <c r="D103" s="77" t="s">
        <v>260</v>
      </c>
      <c r="E103" s="77" t="s">
        <v>259</v>
      </c>
      <c r="F103" s="77" t="s">
        <v>258</v>
      </c>
      <c r="G103" s="77" t="s">
        <v>264</v>
      </c>
      <c r="H103" s="77"/>
      <c r="I103" s="77" t="s">
        <v>272</v>
      </c>
      <c r="J103" s="77" t="s">
        <v>257</v>
      </c>
      <c r="K103" s="77" t="s">
        <v>269</v>
      </c>
      <c r="L103" s="77" t="s">
        <v>268</v>
      </c>
      <c r="M103" s="130" t="s">
        <v>352</v>
      </c>
      <c r="N103" s="130" t="s">
        <v>354</v>
      </c>
      <c r="O103" s="77" t="s">
        <v>267</v>
      </c>
      <c r="P103" s="77" t="s">
        <v>270</v>
      </c>
      <c r="Q103" s="77" t="s">
        <v>256</v>
      </c>
      <c r="R103" s="81" t="s">
        <v>271</v>
      </c>
      <c r="S103" s="82"/>
    </row>
    <row r="104" spans="1:19" x14ac:dyDescent="0.25">
      <c r="A104" s="191" t="s">
        <v>265</v>
      </c>
      <c r="B104" s="78" t="s">
        <v>53</v>
      </c>
      <c r="C104" s="80">
        <f>4.6/100</f>
        <v>4.5999999999999999E-2</v>
      </c>
      <c r="D104" s="46">
        <v>238.04955989999999</v>
      </c>
      <c r="E104" s="191">
        <f>(C104*D104)+(C105*D105)+(C106*D106)+(C107*D107)+(C108*D108)</f>
        <v>239.7495783283</v>
      </c>
      <c r="F104" s="191">
        <f>E104+E109</f>
        <v>271.74838818501661</v>
      </c>
      <c r="G104" s="191">
        <v>0.1</v>
      </c>
      <c r="H104" s="191">
        <f>G104</f>
        <v>0.1</v>
      </c>
      <c r="I104" s="191">
        <f>(G104*F104)+(G110*F110)</f>
        <v>270.19998757998661</v>
      </c>
      <c r="J104" s="191">
        <f>11.46</f>
        <v>11.46</v>
      </c>
      <c r="K104" s="191">
        <v>100</v>
      </c>
      <c r="L104" s="191">
        <f>K104*H104</f>
        <v>10</v>
      </c>
      <c r="M104" s="191">
        <f>L104/F104</f>
        <v>3.6798746321143293E-2</v>
      </c>
      <c r="N104" s="191">
        <f>M104/(M104+M110)</f>
        <v>9.9429847024197202E-2</v>
      </c>
      <c r="O104" s="191">
        <f>L104/J104</f>
        <v>0.8726003490401395</v>
      </c>
      <c r="P104" s="188">
        <f>O104+O110</f>
        <v>9.0842791811569263</v>
      </c>
      <c r="Q104" s="188">
        <f>O104/P104</f>
        <v>9.6056091148115696E-2</v>
      </c>
      <c r="R104" s="202">
        <f>(Q104*J104)+(Q110*J110)</f>
        <v>11.00802804557406</v>
      </c>
      <c r="S104" s="82">
        <f t="shared" si="1"/>
        <v>10.567706923751096</v>
      </c>
    </row>
    <row r="105" spans="1:19" x14ac:dyDescent="0.25">
      <c r="A105" s="192"/>
      <c r="B105" s="78" t="s">
        <v>54</v>
      </c>
      <c r="C105" s="80">
        <f>50.5/100</f>
        <v>0.505</v>
      </c>
      <c r="D105" s="46">
        <v>239.05216340000001</v>
      </c>
      <c r="E105" s="192"/>
      <c r="F105" s="192"/>
      <c r="G105" s="192"/>
      <c r="H105" s="192"/>
      <c r="I105" s="192"/>
      <c r="J105" s="192"/>
      <c r="K105" s="192"/>
      <c r="L105" s="192"/>
      <c r="M105" s="192"/>
      <c r="N105" s="192"/>
      <c r="O105" s="192"/>
      <c r="P105" s="189"/>
      <c r="Q105" s="189"/>
      <c r="R105" s="203"/>
      <c r="S105" s="82"/>
    </row>
    <row r="106" spans="1:19" x14ac:dyDescent="0.25">
      <c r="A106" s="192"/>
      <c r="B106" s="78" t="s">
        <v>55</v>
      </c>
      <c r="C106" s="80">
        <f>24/100</f>
        <v>0.24</v>
      </c>
      <c r="D106" s="46">
        <v>240.05381349999999</v>
      </c>
      <c r="E106" s="192"/>
      <c r="F106" s="192"/>
      <c r="G106" s="192"/>
      <c r="H106" s="192"/>
      <c r="I106" s="192"/>
      <c r="J106" s="192"/>
      <c r="K106" s="192"/>
      <c r="L106" s="192"/>
      <c r="M106" s="192"/>
      <c r="N106" s="192"/>
      <c r="O106" s="192"/>
      <c r="P106" s="189"/>
      <c r="Q106" s="189"/>
      <c r="R106" s="203"/>
      <c r="S106" s="82"/>
    </row>
    <row r="107" spans="1:19" x14ac:dyDescent="0.25">
      <c r="A107" s="192"/>
      <c r="B107" s="78" t="s">
        <v>56</v>
      </c>
      <c r="C107" s="80">
        <f>12.5/100</f>
        <v>0.125</v>
      </c>
      <c r="D107" s="76">
        <v>241.05685149999999</v>
      </c>
      <c r="E107" s="192"/>
      <c r="F107" s="192"/>
      <c r="G107" s="192"/>
      <c r="H107" s="192"/>
      <c r="I107" s="192"/>
      <c r="J107" s="192"/>
      <c r="K107" s="192"/>
      <c r="L107" s="192"/>
      <c r="M107" s="192"/>
      <c r="N107" s="192"/>
      <c r="O107" s="192"/>
      <c r="P107" s="189"/>
      <c r="Q107" s="189"/>
      <c r="R107" s="203"/>
      <c r="S107" s="82"/>
    </row>
    <row r="108" spans="1:19" x14ac:dyDescent="0.25">
      <c r="A108" s="192"/>
      <c r="B108" s="78" t="s">
        <v>57</v>
      </c>
      <c r="C108" s="80">
        <f>8.4/100</f>
        <v>8.4000000000000005E-2</v>
      </c>
      <c r="D108" s="76">
        <v>242.05874259999999</v>
      </c>
      <c r="E108" s="193"/>
      <c r="F108" s="192"/>
      <c r="G108" s="192"/>
      <c r="H108" s="192"/>
      <c r="I108" s="192"/>
      <c r="J108" s="192"/>
      <c r="K108" s="192"/>
      <c r="L108" s="192"/>
      <c r="M108" s="192"/>
      <c r="N108" s="192"/>
      <c r="O108" s="192"/>
      <c r="P108" s="189"/>
      <c r="Q108" s="189"/>
      <c r="R108" s="203"/>
      <c r="S108" s="82"/>
    </row>
    <row r="109" spans="1:19" x14ac:dyDescent="0.25">
      <c r="A109" s="193"/>
      <c r="B109" s="23" t="s">
        <v>66</v>
      </c>
      <c r="C109" s="23">
        <v>1</v>
      </c>
      <c r="D109" s="75">
        <v>15.999404928358301</v>
      </c>
      <c r="E109" s="23">
        <f>2*D109</f>
        <v>31.998809856716601</v>
      </c>
      <c r="F109" s="193"/>
      <c r="G109" s="193"/>
      <c r="H109" s="193"/>
      <c r="I109" s="192"/>
      <c r="J109" s="193"/>
      <c r="K109" s="192"/>
      <c r="L109" s="193"/>
      <c r="M109" s="193"/>
      <c r="N109" s="193"/>
      <c r="O109" s="193"/>
      <c r="P109" s="189"/>
      <c r="Q109" s="190"/>
      <c r="R109" s="203"/>
      <c r="S109" s="82"/>
    </row>
    <row r="110" spans="1:19" x14ac:dyDescent="0.25">
      <c r="A110" s="200" t="s">
        <v>254</v>
      </c>
      <c r="B110" s="80" t="s">
        <v>62</v>
      </c>
      <c r="C110" s="131">
        <v>7.1999999999999998E-3</v>
      </c>
      <c r="D110" s="80">
        <v>235.0439231</v>
      </c>
      <c r="E110" s="200">
        <f>(C110*D110)+(C111*D111)</f>
        <v>238.0291332116</v>
      </c>
      <c r="F110" s="188">
        <f>E110+E112</f>
        <v>270.02794306831657</v>
      </c>
      <c r="G110" s="188">
        <f>1-G104</f>
        <v>0.9</v>
      </c>
      <c r="H110" s="188">
        <f>G110</f>
        <v>0.9</v>
      </c>
      <c r="I110" s="192"/>
      <c r="J110" s="200">
        <v>10.96</v>
      </c>
      <c r="K110" s="192"/>
      <c r="L110" s="188">
        <f>K104*H110</f>
        <v>90</v>
      </c>
      <c r="M110" s="188">
        <f>L110/F110</f>
        <v>0.33329883928801457</v>
      </c>
      <c r="N110" s="188">
        <f>M110/(M110+M104)</f>
        <v>0.9005701529758029</v>
      </c>
      <c r="O110" s="188">
        <f>L110/J110</f>
        <v>8.2116788321167871</v>
      </c>
      <c r="P110" s="189"/>
      <c r="Q110" s="188">
        <f>O110/P104</f>
        <v>0.90394390885188436</v>
      </c>
      <c r="R110" s="203"/>
      <c r="S110" s="82"/>
    </row>
    <row r="111" spans="1:19" x14ac:dyDescent="0.25">
      <c r="A111" s="200"/>
      <c r="B111" s="80" t="s">
        <v>64</v>
      </c>
      <c r="C111" s="131">
        <f>1-C110</f>
        <v>0.99280000000000002</v>
      </c>
      <c r="D111" s="80">
        <v>238.05078259999999</v>
      </c>
      <c r="E111" s="200"/>
      <c r="F111" s="189"/>
      <c r="G111" s="189"/>
      <c r="H111" s="189"/>
      <c r="I111" s="192"/>
      <c r="J111" s="200"/>
      <c r="K111" s="192"/>
      <c r="L111" s="189"/>
      <c r="M111" s="189"/>
      <c r="N111" s="189"/>
      <c r="O111" s="189"/>
      <c r="P111" s="189"/>
      <c r="Q111" s="189"/>
      <c r="R111" s="203"/>
      <c r="S111" s="82"/>
    </row>
    <row r="112" spans="1:19" x14ac:dyDescent="0.25">
      <c r="A112" s="200"/>
      <c r="B112" s="80" t="s">
        <v>66</v>
      </c>
      <c r="C112" s="131">
        <v>1</v>
      </c>
      <c r="D112" s="75">
        <v>15.999404928358301</v>
      </c>
      <c r="E112" s="75">
        <f>(2*D112)</f>
        <v>31.998809856716601</v>
      </c>
      <c r="F112" s="190"/>
      <c r="G112" s="190"/>
      <c r="H112" s="190"/>
      <c r="I112" s="193"/>
      <c r="J112" s="200"/>
      <c r="K112" s="193"/>
      <c r="L112" s="190"/>
      <c r="M112" s="190"/>
      <c r="N112" s="190"/>
      <c r="O112" s="190"/>
      <c r="P112" s="190"/>
      <c r="Q112" s="190"/>
      <c r="R112" s="204"/>
      <c r="S112" s="82"/>
    </row>
    <row r="113" spans="1:19" ht="15.75" x14ac:dyDescent="0.25">
      <c r="A113" s="194" t="s">
        <v>255</v>
      </c>
      <c r="B113" s="195"/>
      <c r="C113" s="195"/>
      <c r="D113" s="195"/>
      <c r="E113" s="195"/>
      <c r="F113" s="195"/>
      <c r="G113" s="195"/>
      <c r="H113" s="195"/>
      <c r="I113" s="195"/>
      <c r="J113" s="195"/>
      <c r="K113" s="195"/>
      <c r="L113" s="195"/>
      <c r="M113" s="195"/>
      <c r="N113" s="195"/>
      <c r="O113" s="195"/>
      <c r="P113" s="195"/>
      <c r="Q113" s="195"/>
      <c r="R113" s="196"/>
      <c r="S113" s="82"/>
    </row>
    <row r="114" spans="1:19" x14ac:dyDescent="0.25">
      <c r="A114" s="191" t="s">
        <v>265</v>
      </c>
      <c r="B114" s="78" t="s">
        <v>53</v>
      </c>
      <c r="C114" s="80">
        <f>4.6/100</f>
        <v>4.5999999999999999E-2</v>
      </c>
      <c r="D114" s="46">
        <v>238.04955989999999</v>
      </c>
      <c r="E114" s="191">
        <f>(C114*D114)+(C115*D115)+(C116*D116)+(C117*D117)+(C118*D118)</f>
        <v>239.7495783283</v>
      </c>
      <c r="F114" s="191">
        <f>E114+E119</f>
        <v>271.74838818501661</v>
      </c>
      <c r="G114" s="191">
        <f>G104</f>
        <v>0.1</v>
      </c>
      <c r="H114" s="197">
        <f>G114*0.9921</f>
        <v>9.9210000000000007E-2</v>
      </c>
      <c r="I114" s="200">
        <f>(H114*F114)+(H120*F120)+(H123*F123)</f>
        <v>270.92917671865212</v>
      </c>
      <c r="J114" s="191">
        <f>11.46</f>
        <v>11.46</v>
      </c>
      <c r="K114" s="200">
        <v>100</v>
      </c>
      <c r="L114" s="200">
        <f>K114*H114</f>
        <v>9.9210000000000012</v>
      </c>
      <c r="M114" s="188">
        <f>L114/F114</f>
        <v>3.6508036225206264E-2</v>
      </c>
      <c r="N114" s="188">
        <f>M114/(M114+M120+M123)</f>
        <v>9.8843180640972556E-2</v>
      </c>
      <c r="O114" s="200">
        <f>L114/J114</f>
        <v>0.86570680628272256</v>
      </c>
      <c r="P114" s="188">
        <f>O114+O120+O123</f>
        <v>9.11912606118584</v>
      </c>
      <c r="Q114" s="200">
        <f>O114/P114</f>
        <v>9.493308903442739E-2</v>
      </c>
      <c r="R114" s="200">
        <f>(Q114*J114)+(Q120*J120)+(Q123*J123)</f>
        <v>10.965963111929623</v>
      </c>
      <c r="S114" s="82">
        <f t="shared" si="1"/>
        <v>10.527324587452439</v>
      </c>
    </row>
    <row r="115" spans="1:19" x14ac:dyDescent="0.25">
      <c r="A115" s="192"/>
      <c r="B115" s="78" t="s">
        <v>54</v>
      </c>
      <c r="C115" s="80">
        <f>50.5/100</f>
        <v>0.505</v>
      </c>
      <c r="D115" s="46">
        <v>239.05216340000001</v>
      </c>
      <c r="E115" s="192"/>
      <c r="F115" s="192"/>
      <c r="G115" s="192"/>
      <c r="H115" s="198"/>
      <c r="I115" s="200"/>
      <c r="J115" s="192"/>
      <c r="K115" s="200"/>
      <c r="L115" s="200"/>
      <c r="M115" s="189"/>
      <c r="N115" s="189"/>
      <c r="O115" s="200"/>
      <c r="P115" s="189"/>
      <c r="Q115" s="200"/>
      <c r="R115" s="200"/>
      <c r="S115" s="82"/>
    </row>
    <row r="116" spans="1:19" x14ac:dyDescent="0.25">
      <c r="A116" s="192"/>
      <c r="B116" s="78" t="s">
        <v>55</v>
      </c>
      <c r="C116" s="80">
        <f>24/100</f>
        <v>0.24</v>
      </c>
      <c r="D116" s="46">
        <v>240.05381349999999</v>
      </c>
      <c r="E116" s="192"/>
      <c r="F116" s="192"/>
      <c r="G116" s="192"/>
      <c r="H116" s="198"/>
      <c r="I116" s="200"/>
      <c r="J116" s="192"/>
      <c r="K116" s="200"/>
      <c r="L116" s="200"/>
      <c r="M116" s="189"/>
      <c r="N116" s="189"/>
      <c r="O116" s="200"/>
      <c r="P116" s="189"/>
      <c r="Q116" s="200"/>
      <c r="R116" s="200"/>
      <c r="S116" s="82"/>
    </row>
    <row r="117" spans="1:19" x14ac:dyDescent="0.25">
      <c r="A117" s="192"/>
      <c r="B117" s="78" t="s">
        <v>56</v>
      </c>
      <c r="C117" s="80">
        <f>12.5/100</f>
        <v>0.125</v>
      </c>
      <c r="D117" s="76">
        <v>241.05685149999999</v>
      </c>
      <c r="E117" s="192"/>
      <c r="F117" s="192"/>
      <c r="G117" s="192"/>
      <c r="H117" s="198"/>
      <c r="I117" s="200"/>
      <c r="J117" s="192"/>
      <c r="K117" s="200"/>
      <c r="L117" s="200"/>
      <c r="M117" s="189"/>
      <c r="N117" s="189"/>
      <c r="O117" s="200"/>
      <c r="P117" s="189"/>
      <c r="Q117" s="200"/>
      <c r="R117" s="200"/>
      <c r="S117" s="82"/>
    </row>
    <row r="118" spans="1:19" x14ac:dyDescent="0.25">
      <c r="A118" s="192"/>
      <c r="B118" s="78" t="s">
        <v>57</v>
      </c>
      <c r="C118" s="80">
        <f>8.4/100</f>
        <v>8.4000000000000005E-2</v>
      </c>
      <c r="D118" s="76">
        <v>242.05874259999999</v>
      </c>
      <c r="E118" s="193"/>
      <c r="F118" s="192"/>
      <c r="G118" s="192"/>
      <c r="H118" s="198"/>
      <c r="I118" s="200"/>
      <c r="J118" s="192"/>
      <c r="K118" s="200"/>
      <c r="L118" s="200"/>
      <c r="M118" s="189"/>
      <c r="N118" s="189"/>
      <c r="O118" s="200"/>
      <c r="P118" s="189"/>
      <c r="Q118" s="200"/>
      <c r="R118" s="200"/>
      <c r="S118" s="82"/>
    </row>
    <row r="119" spans="1:19" x14ac:dyDescent="0.25">
      <c r="A119" s="193"/>
      <c r="B119" s="23" t="s">
        <v>66</v>
      </c>
      <c r="C119" s="23">
        <v>1</v>
      </c>
      <c r="D119" s="75">
        <v>15.999404928358301</v>
      </c>
      <c r="E119" s="23">
        <f>2*D119</f>
        <v>31.998809856716601</v>
      </c>
      <c r="F119" s="193"/>
      <c r="G119" s="193"/>
      <c r="H119" s="199"/>
      <c r="I119" s="200"/>
      <c r="J119" s="193"/>
      <c r="K119" s="200"/>
      <c r="L119" s="200"/>
      <c r="M119" s="190"/>
      <c r="N119" s="190"/>
      <c r="O119" s="200"/>
      <c r="P119" s="189"/>
      <c r="Q119" s="200"/>
      <c r="R119" s="200"/>
      <c r="S119" s="82"/>
    </row>
    <row r="120" spans="1:19" x14ac:dyDescent="0.25">
      <c r="A120" s="200" t="s">
        <v>254</v>
      </c>
      <c r="B120" s="80" t="s">
        <v>62</v>
      </c>
      <c r="C120" s="131">
        <v>7.1999999999999998E-3</v>
      </c>
      <c r="D120" s="80">
        <v>235.0439231</v>
      </c>
      <c r="E120" s="200">
        <f>(C120*D120)+(C121*D121)</f>
        <v>238.0291332116</v>
      </c>
      <c r="F120" s="188">
        <f>E120+E122</f>
        <v>270.02794306831657</v>
      </c>
      <c r="G120" s="188">
        <f>G110</f>
        <v>0.9</v>
      </c>
      <c r="H120" s="208">
        <f>G120*0.9921</f>
        <v>0.89288999999999996</v>
      </c>
      <c r="I120" s="200"/>
      <c r="J120" s="200">
        <v>10.96</v>
      </c>
      <c r="K120" s="200"/>
      <c r="L120" s="200">
        <f>K114*H120</f>
        <v>89.289000000000001</v>
      </c>
      <c r="M120" s="188">
        <f>L120/F120</f>
        <v>0.33066577845763928</v>
      </c>
      <c r="N120" s="188">
        <f>M120/(M114+M120+M123)</f>
        <v>0.89525651476455415</v>
      </c>
      <c r="O120" s="200">
        <f>L120/J120</f>
        <v>8.1468065693430649</v>
      </c>
      <c r="P120" s="189"/>
      <c r="Q120" s="200">
        <f>O120/P114</f>
        <v>0.89337580319441967</v>
      </c>
      <c r="R120" s="200"/>
      <c r="S120" s="82"/>
    </row>
    <row r="121" spans="1:19" x14ac:dyDescent="0.25">
      <c r="A121" s="200"/>
      <c r="B121" s="80" t="s">
        <v>64</v>
      </c>
      <c r="C121" s="131">
        <f>1-C120</f>
        <v>0.99280000000000002</v>
      </c>
      <c r="D121" s="80">
        <v>238.05078259999999</v>
      </c>
      <c r="E121" s="200"/>
      <c r="F121" s="189"/>
      <c r="G121" s="189"/>
      <c r="H121" s="210"/>
      <c r="I121" s="200"/>
      <c r="J121" s="200"/>
      <c r="K121" s="200"/>
      <c r="L121" s="200"/>
      <c r="M121" s="189"/>
      <c r="N121" s="189"/>
      <c r="O121" s="200"/>
      <c r="P121" s="189"/>
      <c r="Q121" s="200"/>
      <c r="R121" s="200"/>
      <c r="S121" s="82"/>
    </row>
    <row r="122" spans="1:19" x14ac:dyDescent="0.25">
      <c r="A122" s="200"/>
      <c r="B122" s="80" t="s">
        <v>66</v>
      </c>
      <c r="C122" s="131">
        <v>1</v>
      </c>
      <c r="D122" s="75">
        <v>15.999404928358301</v>
      </c>
      <c r="E122" s="75">
        <f>(2*D122)</f>
        <v>31.998809856716601</v>
      </c>
      <c r="F122" s="190"/>
      <c r="G122" s="190"/>
      <c r="H122" s="209"/>
      <c r="I122" s="200"/>
      <c r="J122" s="200"/>
      <c r="K122" s="200"/>
      <c r="L122" s="200"/>
      <c r="M122" s="190"/>
      <c r="N122" s="190"/>
      <c r="O122" s="200"/>
      <c r="P122" s="189"/>
      <c r="Q122" s="200"/>
      <c r="R122" s="200"/>
      <c r="S122" s="82"/>
    </row>
    <row r="123" spans="1:19" x14ac:dyDescent="0.25">
      <c r="A123" s="200" t="s">
        <v>127</v>
      </c>
      <c r="B123" s="80" t="s">
        <v>253</v>
      </c>
      <c r="C123" s="80">
        <v>1</v>
      </c>
      <c r="D123" s="4">
        <v>157.25209770539999</v>
      </c>
      <c r="E123" s="75">
        <f>2*D123</f>
        <v>314.50419541079998</v>
      </c>
      <c r="F123" s="188">
        <f>E123+E124</f>
        <v>362.50241019587486</v>
      </c>
      <c r="G123" s="188">
        <v>7.9000000000000008E-3</v>
      </c>
      <c r="H123" s="208">
        <v>7.9000000000000008E-3</v>
      </c>
      <c r="I123" s="200"/>
      <c r="J123" s="188">
        <v>7.41</v>
      </c>
      <c r="K123" s="200"/>
      <c r="L123" s="200">
        <f>K114*H123</f>
        <v>0.79</v>
      </c>
      <c r="M123" s="188">
        <f>L123/F123</f>
        <v>2.1792958550899862E-3</v>
      </c>
      <c r="N123" s="188">
        <f>M123/(M114+M120+M123)</f>
        <v>5.9003045944733016E-3</v>
      </c>
      <c r="O123" s="200">
        <f>L123/J123</f>
        <v>0.10661268556005399</v>
      </c>
      <c r="P123" s="189"/>
      <c r="Q123" s="200">
        <f>O123/P114</f>
        <v>1.169110777115304E-2</v>
      </c>
      <c r="R123" s="200"/>
      <c r="S123" s="82"/>
    </row>
    <row r="124" spans="1:19" x14ac:dyDescent="0.25">
      <c r="A124" s="200"/>
      <c r="B124" s="80" t="s">
        <v>66</v>
      </c>
      <c r="C124" s="80">
        <v>1</v>
      </c>
      <c r="D124" s="80">
        <v>15.999404928358299</v>
      </c>
      <c r="E124" s="75">
        <f>(3*D124)</f>
        <v>47.998214785074893</v>
      </c>
      <c r="F124" s="190"/>
      <c r="G124" s="190"/>
      <c r="H124" s="209"/>
      <c r="I124" s="200"/>
      <c r="J124" s="190"/>
      <c r="K124" s="200"/>
      <c r="L124" s="200"/>
      <c r="M124" s="190"/>
      <c r="N124" s="190"/>
      <c r="O124" s="200"/>
      <c r="P124" s="190"/>
      <c r="Q124" s="200"/>
      <c r="R124" s="200"/>
      <c r="S124" s="82"/>
    </row>
    <row r="125" spans="1:19" x14ac:dyDescent="0.25">
      <c r="S125" s="82"/>
    </row>
    <row r="126" spans="1:19" ht="15.75" x14ac:dyDescent="0.25">
      <c r="A126" s="201" t="s">
        <v>234</v>
      </c>
      <c r="B126" s="201"/>
      <c r="C126" s="201"/>
      <c r="D126" s="201"/>
      <c r="E126" s="201"/>
      <c r="F126" s="201"/>
      <c r="G126" s="201"/>
      <c r="H126" s="201"/>
      <c r="I126" s="201"/>
      <c r="J126" s="201"/>
      <c r="K126" s="201"/>
      <c r="L126" s="201"/>
      <c r="M126" s="201"/>
      <c r="N126" s="201"/>
      <c r="O126" s="201"/>
      <c r="P126" s="201"/>
      <c r="Q126" s="201"/>
      <c r="R126" s="201"/>
      <c r="S126" s="82"/>
    </row>
    <row r="127" spans="1:19" ht="15.75" x14ac:dyDescent="0.25">
      <c r="A127" s="194" t="s">
        <v>263</v>
      </c>
      <c r="B127" s="195"/>
      <c r="C127" s="195"/>
      <c r="D127" s="195"/>
      <c r="E127" s="195"/>
      <c r="F127" s="195"/>
      <c r="G127" s="195"/>
      <c r="H127" s="195"/>
      <c r="I127" s="195"/>
      <c r="J127" s="195"/>
      <c r="K127" s="195"/>
      <c r="L127" s="195"/>
      <c r="M127" s="195"/>
      <c r="N127" s="195"/>
      <c r="O127" s="195"/>
      <c r="P127" s="195"/>
      <c r="Q127" s="195"/>
      <c r="R127" s="196"/>
      <c r="S127" s="82"/>
    </row>
    <row r="128" spans="1:19" ht="45" x14ac:dyDescent="0.25">
      <c r="A128" s="77" t="s">
        <v>266</v>
      </c>
      <c r="B128" s="77" t="s">
        <v>262</v>
      </c>
      <c r="C128" s="77" t="s">
        <v>261</v>
      </c>
      <c r="D128" s="77" t="s">
        <v>260</v>
      </c>
      <c r="E128" s="77" t="s">
        <v>259</v>
      </c>
      <c r="F128" s="77" t="s">
        <v>258</v>
      </c>
      <c r="G128" s="77" t="s">
        <v>264</v>
      </c>
      <c r="H128" s="77"/>
      <c r="I128" s="77" t="s">
        <v>272</v>
      </c>
      <c r="J128" s="77" t="s">
        <v>257</v>
      </c>
      <c r="K128" s="77" t="s">
        <v>269</v>
      </c>
      <c r="L128" s="77" t="s">
        <v>268</v>
      </c>
      <c r="M128" s="130" t="s">
        <v>352</v>
      </c>
      <c r="N128" s="130" t="s">
        <v>354</v>
      </c>
      <c r="O128" s="77" t="s">
        <v>267</v>
      </c>
      <c r="P128" s="77" t="s">
        <v>270</v>
      </c>
      <c r="Q128" s="77" t="s">
        <v>256</v>
      </c>
      <c r="R128" s="81" t="s">
        <v>271</v>
      </c>
      <c r="S128" s="82"/>
    </row>
    <row r="129" spans="1:19" x14ac:dyDescent="0.25">
      <c r="A129" s="191" t="s">
        <v>265</v>
      </c>
      <c r="B129" s="78" t="s">
        <v>53</v>
      </c>
      <c r="C129" s="80">
        <f>4.6/100</f>
        <v>4.5999999999999999E-2</v>
      </c>
      <c r="D129" s="46">
        <v>238.04955989999999</v>
      </c>
      <c r="E129" s="191">
        <f>(C129*D129)+(C130*D130)+(C131*D131)+(C132*D132)+(C133*D133)</f>
        <v>239.7495783283</v>
      </c>
      <c r="F129" s="191">
        <f>E129+E134</f>
        <v>271.74838818501661</v>
      </c>
      <c r="G129" s="191">
        <v>0.12</v>
      </c>
      <c r="H129" s="191">
        <f>G129</f>
        <v>0.12</v>
      </c>
      <c r="I129" s="191">
        <f>(G129*F129)+(G135*F135)</f>
        <v>270.23439648232056</v>
      </c>
      <c r="J129" s="191">
        <f>11.46</f>
        <v>11.46</v>
      </c>
      <c r="K129" s="191">
        <v>100</v>
      </c>
      <c r="L129" s="191">
        <f>K129*H129</f>
        <v>12</v>
      </c>
      <c r="M129" s="191">
        <f>L129/F129</f>
        <v>4.4158495585371951E-2</v>
      </c>
      <c r="N129" s="191">
        <f>M129/(M129+M135)</f>
        <v>0.11933093573750687</v>
      </c>
      <c r="O129" s="191">
        <f>L129/J129</f>
        <v>1.0471204188481675</v>
      </c>
      <c r="P129" s="188">
        <f>O129+O135</f>
        <v>9.0763174991401385</v>
      </c>
      <c r="Q129" s="188">
        <f>O129/P129</f>
        <v>0.11536842105263158</v>
      </c>
      <c r="R129" s="202">
        <f>(Q129*J129)+(Q135*J135)</f>
        <v>11.017684210526316</v>
      </c>
      <c r="S129" s="82">
        <f t="shared" si="1"/>
        <v>10.576976842105262</v>
      </c>
    </row>
    <row r="130" spans="1:19" x14ac:dyDescent="0.25">
      <c r="A130" s="192"/>
      <c r="B130" s="78" t="s">
        <v>54</v>
      </c>
      <c r="C130" s="80">
        <f>50.5/100</f>
        <v>0.505</v>
      </c>
      <c r="D130" s="46">
        <v>239.05216340000001</v>
      </c>
      <c r="E130" s="192"/>
      <c r="F130" s="192"/>
      <c r="G130" s="192"/>
      <c r="H130" s="192"/>
      <c r="I130" s="192"/>
      <c r="J130" s="192"/>
      <c r="K130" s="192"/>
      <c r="L130" s="192"/>
      <c r="M130" s="192"/>
      <c r="N130" s="192"/>
      <c r="O130" s="192"/>
      <c r="P130" s="189"/>
      <c r="Q130" s="189"/>
      <c r="R130" s="203"/>
      <c r="S130" s="82"/>
    </row>
    <row r="131" spans="1:19" x14ac:dyDescent="0.25">
      <c r="A131" s="192"/>
      <c r="B131" s="78" t="s">
        <v>55</v>
      </c>
      <c r="C131" s="80">
        <f>24/100</f>
        <v>0.24</v>
      </c>
      <c r="D131" s="46">
        <v>240.05381349999999</v>
      </c>
      <c r="E131" s="192"/>
      <c r="F131" s="192"/>
      <c r="G131" s="192"/>
      <c r="H131" s="192"/>
      <c r="I131" s="192"/>
      <c r="J131" s="192"/>
      <c r="K131" s="192"/>
      <c r="L131" s="192"/>
      <c r="M131" s="192"/>
      <c r="N131" s="192"/>
      <c r="O131" s="192"/>
      <c r="P131" s="189"/>
      <c r="Q131" s="189"/>
      <c r="R131" s="203"/>
      <c r="S131" s="82"/>
    </row>
    <row r="132" spans="1:19" x14ac:dyDescent="0.25">
      <c r="A132" s="192"/>
      <c r="B132" s="78" t="s">
        <v>56</v>
      </c>
      <c r="C132" s="80">
        <f>12.5/100</f>
        <v>0.125</v>
      </c>
      <c r="D132" s="76">
        <v>241.05685149999999</v>
      </c>
      <c r="E132" s="192"/>
      <c r="F132" s="192"/>
      <c r="G132" s="192"/>
      <c r="H132" s="192"/>
      <c r="I132" s="192"/>
      <c r="J132" s="192"/>
      <c r="K132" s="192"/>
      <c r="L132" s="192"/>
      <c r="M132" s="192"/>
      <c r="N132" s="192"/>
      <c r="O132" s="192"/>
      <c r="P132" s="189"/>
      <c r="Q132" s="189"/>
      <c r="R132" s="203"/>
      <c r="S132" s="82"/>
    </row>
    <row r="133" spans="1:19" x14ac:dyDescent="0.25">
      <c r="A133" s="192"/>
      <c r="B133" s="78" t="s">
        <v>57</v>
      </c>
      <c r="C133" s="80">
        <f>8.4/100</f>
        <v>8.4000000000000005E-2</v>
      </c>
      <c r="D133" s="76">
        <v>242.05874259999999</v>
      </c>
      <c r="E133" s="193"/>
      <c r="F133" s="192"/>
      <c r="G133" s="192"/>
      <c r="H133" s="192"/>
      <c r="I133" s="192"/>
      <c r="J133" s="192"/>
      <c r="K133" s="192"/>
      <c r="L133" s="192"/>
      <c r="M133" s="192"/>
      <c r="N133" s="192"/>
      <c r="O133" s="192"/>
      <c r="P133" s="189"/>
      <c r="Q133" s="189"/>
      <c r="R133" s="203"/>
      <c r="S133" s="82"/>
    </row>
    <row r="134" spans="1:19" x14ac:dyDescent="0.25">
      <c r="A134" s="193"/>
      <c r="B134" s="23" t="s">
        <v>66</v>
      </c>
      <c r="C134" s="23">
        <v>1</v>
      </c>
      <c r="D134" s="75">
        <v>15.999404928358301</v>
      </c>
      <c r="E134" s="23">
        <f>2*D134</f>
        <v>31.998809856716601</v>
      </c>
      <c r="F134" s="193"/>
      <c r="G134" s="193"/>
      <c r="H134" s="193"/>
      <c r="I134" s="192"/>
      <c r="J134" s="193"/>
      <c r="K134" s="192"/>
      <c r="L134" s="193"/>
      <c r="M134" s="193"/>
      <c r="N134" s="193"/>
      <c r="O134" s="193"/>
      <c r="P134" s="189"/>
      <c r="Q134" s="190"/>
      <c r="R134" s="203"/>
      <c r="S134" s="82"/>
    </row>
    <row r="135" spans="1:19" x14ac:dyDescent="0.25">
      <c r="A135" s="200" t="s">
        <v>254</v>
      </c>
      <c r="B135" s="80" t="s">
        <v>62</v>
      </c>
      <c r="C135" s="131">
        <v>7.1999999999999998E-3</v>
      </c>
      <c r="D135" s="80">
        <v>235.0439231</v>
      </c>
      <c r="E135" s="200">
        <f>(C135*D135)+(C136*D136)</f>
        <v>238.0291332116</v>
      </c>
      <c r="F135" s="188">
        <f>E135+E137</f>
        <v>270.02794306831657</v>
      </c>
      <c r="G135" s="188">
        <f>1-G129</f>
        <v>0.88</v>
      </c>
      <c r="H135" s="188">
        <f>G135</f>
        <v>0.88</v>
      </c>
      <c r="I135" s="192"/>
      <c r="J135" s="200">
        <v>10.96</v>
      </c>
      <c r="K135" s="192"/>
      <c r="L135" s="188">
        <f>K129*H135</f>
        <v>88</v>
      </c>
      <c r="M135" s="188">
        <f>L135/F135</f>
        <v>0.3258921984149476</v>
      </c>
      <c r="N135" s="188">
        <f>M135/(M135+M129)</f>
        <v>0.88066906426249314</v>
      </c>
      <c r="O135" s="188">
        <f>L135/J135</f>
        <v>8.0291970802919703</v>
      </c>
      <c r="P135" s="189"/>
      <c r="Q135" s="188">
        <f>O135/P129</f>
        <v>0.88463157894736832</v>
      </c>
      <c r="R135" s="203"/>
      <c r="S135" s="82"/>
    </row>
    <row r="136" spans="1:19" x14ac:dyDescent="0.25">
      <c r="A136" s="200"/>
      <c r="B136" s="80" t="s">
        <v>64</v>
      </c>
      <c r="C136" s="131">
        <f>1-C135</f>
        <v>0.99280000000000002</v>
      </c>
      <c r="D136" s="80">
        <v>238.05078259999999</v>
      </c>
      <c r="E136" s="200"/>
      <c r="F136" s="189"/>
      <c r="G136" s="189"/>
      <c r="H136" s="189"/>
      <c r="I136" s="192"/>
      <c r="J136" s="200"/>
      <c r="K136" s="192"/>
      <c r="L136" s="189"/>
      <c r="M136" s="189"/>
      <c r="N136" s="189"/>
      <c r="O136" s="189"/>
      <c r="P136" s="189"/>
      <c r="Q136" s="189"/>
      <c r="R136" s="203"/>
      <c r="S136" s="82"/>
    </row>
    <row r="137" spans="1:19" x14ac:dyDescent="0.25">
      <c r="A137" s="200"/>
      <c r="B137" s="80" t="s">
        <v>66</v>
      </c>
      <c r="C137" s="131">
        <v>1</v>
      </c>
      <c r="D137" s="75">
        <v>15.999404928358301</v>
      </c>
      <c r="E137" s="75">
        <f>(2*D137)</f>
        <v>31.998809856716601</v>
      </c>
      <c r="F137" s="190"/>
      <c r="G137" s="190"/>
      <c r="H137" s="190"/>
      <c r="I137" s="193"/>
      <c r="J137" s="200"/>
      <c r="K137" s="193"/>
      <c r="L137" s="190"/>
      <c r="M137" s="190"/>
      <c r="N137" s="190"/>
      <c r="O137" s="190"/>
      <c r="P137" s="190"/>
      <c r="Q137" s="190"/>
      <c r="R137" s="204"/>
      <c r="S137" s="82"/>
    </row>
    <row r="138" spans="1:19" ht="15.75" x14ac:dyDescent="0.25">
      <c r="A138" s="194" t="s">
        <v>255</v>
      </c>
      <c r="B138" s="195"/>
      <c r="C138" s="195"/>
      <c r="D138" s="195"/>
      <c r="E138" s="195"/>
      <c r="F138" s="195"/>
      <c r="G138" s="195"/>
      <c r="H138" s="195"/>
      <c r="I138" s="195"/>
      <c r="J138" s="195"/>
      <c r="K138" s="195"/>
      <c r="L138" s="195"/>
      <c r="M138" s="195"/>
      <c r="N138" s="195"/>
      <c r="O138" s="195"/>
      <c r="P138" s="195"/>
      <c r="Q138" s="195"/>
      <c r="R138" s="196"/>
      <c r="S138" s="82"/>
    </row>
    <row r="139" spans="1:19" x14ac:dyDescent="0.25">
      <c r="A139" s="191" t="s">
        <v>265</v>
      </c>
      <c r="B139" s="78" t="s">
        <v>53</v>
      </c>
      <c r="C139" s="80">
        <f>4.6/100</f>
        <v>4.5999999999999999E-2</v>
      </c>
      <c r="D139" s="46">
        <v>238.04955989999999</v>
      </c>
      <c r="E139" s="191">
        <f>(C139*D139)+(C140*D140)+(C141*D141)+(C142*D142)+(C143*D143)</f>
        <v>239.7495783283</v>
      </c>
      <c r="F139" s="191">
        <f>E139+E144</f>
        <v>271.74838818501661</v>
      </c>
      <c r="G139" s="191">
        <f>G129</f>
        <v>0.12</v>
      </c>
      <c r="H139" s="197">
        <f>G139*0.9921</f>
        <v>0.11905199999999999</v>
      </c>
      <c r="I139" s="200">
        <f>(H139*F139)+(H145*F145)+(H148*F148)</f>
        <v>270.96331379065765</v>
      </c>
      <c r="J139" s="191">
        <f>11.46</f>
        <v>11.46</v>
      </c>
      <c r="K139" s="200">
        <v>100</v>
      </c>
      <c r="L139" s="200">
        <f>K139*H139</f>
        <v>11.905199999999999</v>
      </c>
      <c r="M139" s="188">
        <f>L139/F139</f>
        <v>4.380964347024751E-2</v>
      </c>
      <c r="N139" s="188">
        <f>M139/(M139+M145+M148)</f>
        <v>0.11862675817577309</v>
      </c>
      <c r="O139" s="200">
        <f>L139/J139</f>
        <v>1.0388481675392669</v>
      </c>
      <c r="P139" s="188">
        <f>O139+O145+O148</f>
        <v>9.1112272764569848</v>
      </c>
      <c r="Q139" s="200">
        <f>O139/P139</f>
        <v>0.11401846710855358</v>
      </c>
      <c r="R139" s="200">
        <f>(Q139*J139)+(Q145*J145)+(Q148*J148)</f>
        <v>10.975469820448412</v>
      </c>
      <c r="S139" s="82">
        <f t="shared" ref="S139:S189" si="2">R139*0.96</f>
        <v>10.536451027630475</v>
      </c>
    </row>
    <row r="140" spans="1:19" x14ac:dyDescent="0.25">
      <c r="A140" s="192"/>
      <c r="B140" s="78" t="s">
        <v>54</v>
      </c>
      <c r="C140" s="80">
        <f>50.5/100</f>
        <v>0.505</v>
      </c>
      <c r="D140" s="46">
        <v>239.05216340000001</v>
      </c>
      <c r="E140" s="192"/>
      <c r="F140" s="192"/>
      <c r="G140" s="192"/>
      <c r="H140" s="198"/>
      <c r="I140" s="200"/>
      <c r="J140" s="192"/>
      <c r="K140" s="200"/>
      <c r="L140" s="200"/>
      <c r="M140" s="189"/>
      <c r="N140" s="189"/>
      <c r="O140" s="200"/>
      <c r="P140" s="189"/>
      <c r="Q140" s="200"/>
      <c r="R140" s="200"/>
      <c r="S140" s="82"/>
    </row>
    <row r="141" spans="1:19" x14ac:dyDescent="0.25">
      <c r="A141" s="192"/>
      <c r="B141" s="78" t="s">
        <v>55</v>
      </c>
      <c r="C141" s="80">
        <f>24/100</f>
        <v>0.24</v>
      </c>
      <c r="D141" s="46">
        <v>240.05381349999999</v>
      </c>
      <c r="E141" s="192"/>
      <c r="F141" s="192"/>
      <c r="G141" s="192"/>
      <c r="H141" s="198"/>
      <c r="I141" s="200"/>
      <c r="J141" s="192"/>
      <c r="K141" s="200"/>
      <c r="L141" s="200"/>
      <c r="M141" s="189"/>
      <c r="N141" s="189"/>
      <c r="O141" s="200"/>
      <c r="P141" s="189"/>
      <c r="Q141" s="200"/>
      <c r="R141" s="200"/>
      <c r="S141" s="82"/>
    </row>
    <row r="142" spans="1:19" x14ac:dyDescent="0.25">
      <c r="A142" s="192"/>
      <c r="B142" s="78" t="s">
        <v>56</v>
      </c>
      <c r="C142" s="80">
        <f>12.5/100</f>
        <v>0.125</v>
      </c>
      <c r="D142" s="76">
        <v>241.05685149999999</v>
      </c>
      <c r="E142" s="192"/>
      <c r="F142" s="192"/>
      <c r="G142" s="192"/>
      <c r="H142" s="198"/>
      <c r="I142" s="200"/>
      <c r="J142" s="192"/>
      <c r="K142" s="200"/>
      <c r="L142" s="200"/>
      <c r="M142" s="189"/>
      <c r="N142" s="189"/>
      <c r="O142" s="200"/>
      <c r="P142" s="189"/>
      <c r="Q142" s="200"/>
      <c r="R142" s="200"/>
      <c r="S142" s="82"/>
    </row>
    <row r="143" spans="1:19" x14ac:dyDescent="0.25">
      <c r="A143" s="192"/>
      <c r="B143" s="78" t="s">
        <v>57</v>
      </c>
      <c r="C143" s="80">
        <f>8.4/100</f>
        <v>8.4000000000000005E-2</v>
      </c>
      <c r="D143" s="76">
        <v>242.05874259999999</v>
      </c>
      <c r="E143" s="193"/>
      <c r="F143" s="192"/>
      <c r="G143" s="192"/>
      <c r="H143" s="198"/>
      <c r="I143" s="200"/>
      <c r="J143" s="192"/>
      <c r="K143" s="200"/>
      <c r="L143" s="200"/>
      <c r="M143" s="189"/>
      <c r="N143" s="189"/>
      <c r="O143" s="200"/>
      <c r="P143" s="189"/>
      <c r="Q143" s="200"/>
      <c r="R143" s="200"/>
      <c r="S143" s="82"/>
    </row>
    <row r="144" spans="1:19" x14ac:dyDescent="0.25">
      <c r="A144" s="193"/>
      <c r="B144" s="23" t="s">
        <v>66</v>
      </c>
      <c r="C144" s="23">
        <v>1</v>
      </c>
      <c r="D144" s="75">
        <v>15.999404928358301</v>
      </c>
      <c r="E144" s="23">
        <f>2*D144</f>
        <v>31.998809856716601</v>
      </c>
      <c r="F144" s="193"/>
      <c r="G144" s="193"/>
      <c r="H144" s="199"/>
      <c r="I144" s="200"/>
      <c r="J144" s="193"/>
      <c r="K144" s="200"/>
      <c r="L144" s="200"/>
      <c r="M144" s="190"/>
      <c r="N144" s="190"/>
      <c r="O144" s="200"/>
      <c r="P144" s="189"/>
      <c r="Q144" s="200"/>
      <c r="R144" s="200"/>
      <c r="S144" s="82"/>
    </row>
    <row r="145" spans="1:19" x14ac:dyDescent="0.25">
      <c r="A145" s="200" t="s">
        <v>254</v>
      </c>
      <c r="B145" s="80" t="s">
        <v>62</v>
      </c>
      <c r="C145" s="131">
        <v>7.1999999999999998E-3</v>
      </c>
      <c r="D145" s="80">
        <v>235.0439231</v>
      </c>
      <c r="E145" s="200">
        <f>(C145*D145)+(C146*D146)</f>
        <v>238.0291332116</v>
      </c>
      <c r="F145" s="188">
        <f>E145+E147</f>
        <v>270.02794306831657</v>
      </c>
      <c r="G145" s="188">
        <f>G135</f>
        <v>0.88</v>
      </c>
      <c r="H145" s="208">
        <f>G145*0.9921</f>
        <v>0.87304799999999994</v>
      </c>
      <c r="I145" s="200"/>
      <c r="J145" s="200">
        <v>10.96</v>
      </c>
      <c r="K145" s="200"/>
      <c r="L145" s="200">
        <f>K139*H145</f>
        <v>87.3048</v>
      </c>
      <c r="M145" s="188">
        <f>L145/F145</f>
        <v>0.32331765004746954</v>
      </c>
      <c r="N145" s="188">
        <f>M145/(M139+M145+M148)</f>
        <v>0.87547219397454989</v>
      </c>
      <c r="O145" s="200">
        <f>L145/J145</f>
        <v>7.9657664233576639</v>
      </c>
      <c r="P145" s="189"/>
      <c r="Q145" s="200">
        <f>O145/P139</f>
        <v>0.87428028976303318</v>
      </c>
      <c r="R145" s="200"/>
      <c r="S145" s="82"/>
    </row>
    <row r="146" spans="1:19" x14ac:dyDescent="0.25">
      <c r="A146" s="200"/>
      <c r="B146" s="80" t="s">
        <v>64</v>
      </c>
      <c r="C146" s="131">
        <f>1-C145</f>
        <v>0.99280000000000002</v>
      </c>
      <c r="D146" s="80">
        <v>238.05078259999999</v>
      </c>
      <c r="E146" s="200"/>
      <c r="F146" s="189"/>
      <c r="G146" s="189"/>
      <c r="H146" s="210"/>
      <c r="I146" s="200"/>
      <c r="J146" s="200"/>
      <c r="K146" s="200"/>
      <c r="L146" s="200"/>
      <c r="M146" s="189"/>
      <c r="N146" s="189"/>
      <c r="O146" s="200"/>
      <c r="P146" s="189"/>
      <c r="Q146" s="200"/>
      <c r="R146" s="200"/>
      <c r="S146" s="82"/>
    </row>
    <row r="147" spans="1:19" x14ac:dyDescent="0.25">
      <c r="A147" s="200"/>
      <c r="B147" s="80" t="s">
        <v>66</v>
      </c>
      <c r="C147" s="131">
        <v>1</v>
      </c>
      <c r="D147" s="75">
        <v>15.999404928358301</v>
      </c>
      <c r="E147" s="75">
        <f>(2*D147)</f>
        <v>31.998809856716601</v>
      </c>
      <c r="F147" s="190"/>
      <c r="G147" s="190"/>
      <c r="H147" s="209"/>
      <c r="I147" s="200"/>
      <c r="J147" s="200"/>
      <c r="K147" s="200"/>
      <c r="L147" s="200"/>
      <c r="M147" s="190"/>
      <c r="N147" s="190"/>
      <c r="O147" s="200"/>
      <c r="P147" s="189"/>
      <c r="Q147" s="200"/>
      <c r="R147" s="200"/>
      <c r="S147" s="82"/>
    </row>
    <row r="148" spans="1:19" x14ac:dyDescent="0.25">
      <c r="A148" s="200" t="s">
        <v>127</v>
      </c>
      <c r="B148" s="80" t="s">
        <v>253</v>
      </c>
      <c r="C148" s="80">
        <v>1</v>
      </c>
      <c r="D148" s="4">
        <v>157.25209770539999</v>
      </c>
      <c r="E148" s="75">
        <f>2*D148</f>
        <v>314.50419541079998</v>
      </c>
      <c r="F148" s="188">
        <f>E148+E149</f>
        <v>362.50241019587486</v>
      </c>
      <c r="G148" s="188">
        <v>7.9000000000000008E-3</v>
      </c>
      <c r="H148" s="208">
        <v>7.9000000000000008E-3</v>
      </c>
      <c r="I148" s="200"/>
      <c r="J148" s="188">
        <v>7.41</v>
      </c>
      <c r="K148" s="200"/>
      <c r="L148" s="200">
        <f>K139*H148</f>
        <v>0.79</v>
      </c>
      <c r="M148" s="188">
        <f>L148/F148</f>
        <v>2.1792958550899862E-3</v>
      </c>
      <c r="N148" s="188">
        <f>M148/(M139+M145+M148)</f>
        <v>5.9010478496770991E-3</v>
      </c>
      <c r="O148" s="200">
        <f>L148/J148</f>
        <v>0.10661268556005399</v>
      </c>
      <c r="P148" s="189"/>
      <c r="Q148" s="200">
        <f>O148/P139</f>
        <v>1.1701243128413285E-2</v>
      </c>
      <c r="R148" s="200"/>
      <c r="S148" s="82"/>
    </row>
    <row r="149" spans="1:19" x14ac:dyDescent="0.25">
      <c r="A149" s="200"/>
      <c r="B149" s="80" t="s">
        <v>66</v>
      </c>
      <c r="C149" s="80">
        <v>1</v>
      </c>
      <c r="D149" s="80">
        <v>15.999404928358299</v>
      </c>
      <c r="E149" s="75">
        <f>(3*D149)</f>
        <v>47.998214785074893</v>
      </c>
      <c r="F149" s="190"/>
      <c r="G149" s="190"/>
      <c r="H149" s="209"/>
      <c r="I149" s="200"/>
      <c r="J149" s="190"/>
      <c r="K149" s="200"/>
      <c r="L149" s="200"/>
      <c r="M149" s="190"/>
      <c r="N149" s="190"/>
      <c r="O149" s="200"/>
      <c r="P149" s="190"/>
      <c r="Q149" s="200"/>
      <c r="R149" s="200"/>
      <c r="S149" s="82"/>
    </row>
    <row r="150" spans="1:19" x14ac:dyDescent="0.25">
      <c r="S150" s="82"/>
    </row>
    <row r="151" spans="1:19" ht="15.75" x14ac:dyDescent="0.25">
      <c r="A151" s="201" t="s">
        <v>235</v>
      </c>
      <c r="B151" s="201"/>
      <c r="C151" s="201"/>
      <c r="D151" s="201"/>
      <c r="E151" s="201"/>
      <c r="F151" s="201"/>
      <c r="G151" s="201"/>
      <c r="H151" s="201"/>
      <c r="I151" s="201"/>
      <c r="J151" s="201"/>
      <c r="K151" s="201"/>
      <c r="L151" s="201"/>
      <c r="M151" s="201"/>
      <c r="N151" s="201"/>
      <c r="O151" s="201"/>
      <c r="P151" s="201"/>
      <c r="Q151" s="201"/>
      <c r="R151" s="201"/>
      <c r="S151" s="82"/>
    </row>
    <row r="152" spans="1:19" ht="15.75" x14ac:dyDescent="0.25">
      <c r="A152" s="194" t="s">
        <v>263</v>
      </c>
      <c r="B152" s="195"/>
      <c r="C152" s="195"/>
      <c r="D152" s="195"/>
      <c r="E152" s="195"/>
      <c r="F152" s="195"/>
      <c r="G152" s="195"/>
      <c r="H152" s="195"/>
      <c r="I152" s="195"/>
      <c r="J152" s="195"/>
      <c r="K152" s="195"/>
      <c r="L152" s="195"/>
      <c r="M152" s="195"/>
      <c r="N152" s="195"/>
      <c r="O152" s="195"/>
      <c r="P152" s="195"/>
      <c r="Q152" s="195"/>
      <c r="R152" s="196"/>
      <c r="S152" s="82"/>
    </row>
    <row r="153" spans="1:19" ht="45" x14ac:dyDescent="0.25">
      <c r="A153" s="77" t="s">
        <v>266</v>
      </c>
      <c r="B153" s="77" t="s">
        <v>262</v>
      </c>
      <c r="C153" s="77" t="s">
        <v>261</v>
      </c>
      <c r="D153" s="77" t="s">
        <v>260</v>
      </c>
      <c r="E153" s="77" t="s">
        <v>259</v>
      </c>
      <c r="F153" s="77" t="s">
        <v>258</v>
      </c>
      <c r="G153" s="77" t="s">
        <v>264</v>
      </c>
      <c r="H153" s="77"/>
      <c r="I153" s="77" t="s">
        <v>272</v>
      </c>
      <c r="J153" s="77" t="s">
        <v>257</v>
      </c>
      <c r="K153" s="77" t="s">
        <v>269</v>
      </c>
      <c r="L153" s="77" t="s">
        <v>268</v>
      </c>
      <c r="M153" s="130" t="s">
        <v>352</v>
      </c>
      <c r="N153" s="130" t="s">
        <v>354</v>
      </c>
      <c r="O153" s="77" t="s">
        <v>267</v>
      </c>
      <c r="P153" s="77" t="s">
        <v>270</v>
      </c>
      <c r="Q153" s="77" t="s">
        <v>256</v>
      </c>
      <c r="R153" s="81" t="s">
        <v>271</v>
      </c>
      <c r="S153" s="82"/>
    </row>
    <row r="154" spans="1:19" x14ac:dyDescent="0.25">
      <c r="A154" s="191" t="s">
        <v>265</v>
      </c>
      <c r="B154" s="78" t="s">
        <v>53</v>
      </c>
      <c r="C154" s="80">
        <f>4.6/100</f>
        <v>4.5999999999999999E-2</v>
      </c>
      <c r="D154" s="46">
        <v>238.04955989999999</v>
      </c>
      <c r="E154" s="191">
        <f>(C154*D154)+(C155*D155)+(C156*D156)+(C157*D157)+(C158*D158)</f>
        <v>239.7495783283</v>
      </c>
      <c r="F154" s="191">
        <f>E154+E159</f>
        <v>271.74838818501661</v>
      </c>
      <c r="G154" s="191">
        <v>0.14000000000000001</v>
      </c>
      <c r="H154" s="191">
        <f>G154</f>
        <v>0.14000000000000001</v>
      </c>
      <c r="I154" s="191">
        <f>(G154*F154)+(G160*F160)</f>
        <v>270.26880538465457</v>
      </c>
      <c r="J154" s="191">
        <f>11.46</f>
        <v>11.46</v>
      </c>
      <c r="K154" s="191">
        <v>100</v>
      </c>
      <c r="L154" s="191">
        <f>K154*H154</f>
        <v>14.000000000000002</v>
      </c>
      <c r="M154" s="191">
        <f>L154/F154</f>
        <v>5.1518244849600617E-2</v>
      </c>
      <c r="N154" s="191">
        <f>M154/(M154+M160)</f>
        <v>0.13923706869123448</v>
      </c>
      <c r="O154" s="191">
        <f>L154/J154</f>
        <v>1.2216404886561956</v>
      </c>
      <c r="P154" s="188">
        <f>O154+O160</f>
        <v>9.0683558171233489</v>
      </c>
      <c r="Q154" s="188">
        <f>O154/P154</f>
        <v>0.13471466198419668</v>
      </c>
      <c r="R154" s="202">
        <f>(Q154*J154)+(Q160*J160)</f>
        <v>11.027357330992098</v>
      </c>
      <c r="S154" s="82">
        <f t="shared" si="2"/>
        <v>10.586263037752413</v>
      </c>
    </row>
    <row r="155" spans="1:19" x14ac:dyDescent="0.25">
      <c r="A155" s="192"/>
      <c r="B155" s="78" t="s">
        <v>54</v>
      </c>
      <c r="C155" s="80">
        <f>50.5/100</f>
        <v>0.505</v>
      </c>
      <c r="D155" s="46">
        <v>239.05216340000001</v>
      </c>
      <c r="E155" s="192"/>
      <c r="F155" s="192"/>
      <c r="G155" s="192"/>
      <c r="H155" s="192"/>
      <c r="I155" s="192"/>
      <c r="J155" s="192"/>
      <c r="K155" s="192"/>
      <c r="L155" s="192"/>
      <c r="M155" s="192"/>
      <c r="N155" s="192"/>
      <c r="O155" s="192"/>
      <c r="P155" s="189"/>
      <c r="Q155" s="189"/>
      <c r="R155" s="203"/>
      <c r="S155" s="82"/>
    </row>
    <row r="156" spans="1:19" x14ac:dyDescent="0.25">
      <c r="A156" s="192"/>
      <c r="B156" s="78" t="s">
        <v>55</v>
      </c>
      <c r="C156" s="80">
        <f>24/100</f>
        <v>0.24</v>
      </c>
      <c r="D156" s="46">
        <v>240.05381349999999</v>
      </c>
      <c r="E156" s="192"/>
      <c r="F156" s="192"/>
      <c r="G156" s="192"/>
      <c r="H156" s="192"/>
      <c r="I156" s="192"/>
      <c r="J156" s="192"/>
      <c r="K156" s="192"/>
      <c r="L156" s="192"/>
      <c r="M156" s="192"/>
      <c r="N156" s="192"/>
      <c r="O156" s="192"/>
      <c r="P156" s="189"/>
      <c r="Q156" s="189"/>
      <c r="R156" s="203"/>
      <c r="S156" s="82"/>
    </row>
    <row r="157" spans="1:19" x14ac:dyDescent="0.25">
      <c r="A157" s="192"/>
      <c r="B157" s="78" t="s">
        <v>56</v>
      </c>
      <c r="C157" s="80">
        <f>12.5/100</f>
        <v>0.125</v>
      </c>
      <c r="D157" s="76">
        <v>241.05685149999999</v>
      </c>
      <c r="E157" s="192"/>
      <c r="F157" s="192"/>
      <c r="G157" s="192"/>
      <c r="H157" s="192"/>
      <c r="I157" s="192"/>
      <c r="J157" s="192"/>
      <c r="K157" s="192"/>
      <c r="L157" s="192"/>
      <c r="M157" s="192"/>
      <c r="N157" s="192"/>
      <c r="O157" s="192"/>
      <c r="P157" s="189"/>
      <c r="Q157" s="189"/>
      <c r="R157" s="203"/>
      <c r="S157" s="82"/>
    </row>
    <row r="158" spans="1:19" x14ac:dyDescent="0.25">
      <c r="A158" s="192"/>
      <c r="B158" s="78" t="s">
        <v>57</v>
      </c>
      <c r="C158" s="80">
        <f>8.4/100</f>
        <v>8.4000000000000005E-2</v>
      </c>
      <c r="D158" s="76">
        <v>242.05874259999999</v>
      </c>
      <c r="E158" s="193"/>
      <c r="F158" s="192"/>
      <c r="G158" s="192"/>
      <c r="H158" s="192"/>
      <c r="I158" s="192"/>
      <c r="J158" s="192"/>
      <c r="K158" s="192"/>
      <c r="L158" s="192"/>
      <c r="M158" s="192"/>
      <c r="N158" s="192"/>
      <c r="O158" s="192"/>
      <c r="P158" s="189"/>
      <c r="Q158" s="189"/>
      <c r="R158" s="203"/>
      <c r="S158" s="82"/>
    </row>
    <row r="159" spans="1:19" x14ac:dyDescent="0.25">
      <c r="A159" s="193"/>
      <c r="B159" s="23" t="s">
        <v>66</v>
      </c>
      <c r="C159" s="23">
        <v>1</v>
      </c>
      <c r="D159" s="75">
        <v>15.999404928358301</v>
      </c>
      <c r="E159" s="23">
        <f>2*D159</f>
        <v>31.998809856716601</v>
      </c>
      <c r="F159" s="193"/>
      <c r="G159" s="193"/>
      <c r="H159" s="193"/>
      <c r="I159" s="192"/>
      <c r="J159" s="193"/>
      <c r="K159" s="192"/>
      <c r="L159" s="193"/>
      <c r="M159" s="193"/>
      <c r="N159" s="193"/>
      <c r="O159" s="193"/>
      <c r="P159" s="189"/>
      <c r="Q159" s="190"/>
      <c r="R159" s="203"/>
      <c r="S159" s="82"/>
    </row>
    <row r="160" spans="1:19" x14ac:dyDescent="0.25">
      <c r="A160" s="200" t="s">
        <v>254</v>
      </c>
      <c r="B160" s="80" t="s">
        <v>62</v>
      </c>
      <c r="C160" s="131">
        <v>7.1999999999999998E-3</v>
      </c>
      <c r="D160" s="80">
        <v>235.0439231</v>
      </c>
      <c r="E160" s="200">
        <f>(C160*D160)+(C161*D161)</f>
        <v>238.0291332116</v>
      </c>
      <c r="F160" s="188">
        <f>E160+E162</f>
        <v>270.02794306831657</v>
      </c>
      <c r="G160" s="188">
        <f>1-G154</f>
        <v>0.86</v>
      </c>
      <c r="H160" s="188">
        <f>G160</f>
        <v>0.86</v>
      </c>
      <c r="I160" s="192"/>
      <c r="J160" s="200">
        <v>10.96</v>
      </c>
      <c r="K160" s="192"/>
      <c r="L160" s="188">
        <f>K154*H160</f>
        <v>86</v>
      </c>
      <c r="M160" s="188">
        <f>L160/F160</f>
        <v>0.31848555754188063</v>
      </c>
      <c r="N160" s="188">
        <f>M160/(M160+M154)</f>
        <v>0.86076293130876558</v>
      </c>
      <c r="O160" s="188">
        <f>L160/J160</f>
        <v>7.8467153284671527</v>
      </c>
      <c r="P160" s="189"/>
      <c r="Q160" s="188">
        <f>O160/P154</f>
        <v>0.86528533801580321</v>
      </c>
      <c r="R160" s="203"/>
      <c r="S160" s="82"/>
    </row>
    <row r="161" spans="1:19" x14ac:dyDescent="0.25">
      <c r="A161" s="200"/>
      <c r="B161" s="80" t="s">
        <v>64</v>
      </c>
      <c r="C161" s="131">
        <f>1-C160</f>
        <v>0.99280000000000002</v>
      </c>
      <c r="D161" s="80">
        <v>238.05078259999999</v>
      </c>
      <c r="E161" s="200"/>
      <c r="F161" s="189"/>
      <c r="G161" s="189"/>
      <c r="H161" s="189"/>
      <c r="I161" s="192"/>
      <c r="J161" s="200"/>
      <c r="K161" s="192"/>
      <c r="L161" s="189"/>
      <c r="M161" s="189"/>
      <c r="N161" s="189"/>
      <c r="O161" s="189"/>
      <c r="P161" s="189"/>
      <c r="Q161" s="189"/>
      <c r="R161" s="203"/>
      <c r="S161" s="82"/>
    </row>
    <row r="162" spans="1:19" x14ac:dyDescent="0.25">
      <c r="A162" s="200"/>
      <c r="B162" s="80" t="s">
        <v>66</v>
      </c>
      <c r="C162" s="131">
        <v>1</v>
      </c>
      <c r="D162" s="75">
        <v>15.999404928358301</v>
      </c>
      <c r="E162" s="75">
        <f>(2*D162)</f>
        <v>31.998809856716601</v>
      </c>
      <c r="F162" s="190"/>
      <c r="G162" s="190"/>
      <c r="H162" s="190"/>
      <c r="I162" s="193"/>
      <c r="J162" s="200"/>
      <c r="K162" s="193"/>
      <c r="L162" s="190"/>
      <c r="M162" s="190"/>
      <c r="N162" s="190"/>
      <c r="O162" s="190"/>
      <c r="P162" s="190"/>
      <c r="Q162" s="190"/>
      <c r="R162" s="204"/>
      <c r="S162" s="82"/>
    </row>
    <row r="163" spans="1:19" ht="15.75" x14ac:dyDescent="0.25">
      <c r="A163" s="194" t="s">
        <v>255</v>
      </c>
      <c r="B163" s="195"/>
      <c r="C163" s="195"/>
      <c r="D163" s="195"/>
      <c r="E163" s="195"/>
      <c r="F163" s="195"/>
      <c r="G163" s="195"/>
      <c r="H163" s="195"/>
      <c r="I163" s="195"/>
      <c r="J163" s="195"/>
      <c r="K163" s="195"/>
      <c r="L163" s="195"/>
      <c r="M163" s="195"/>
      <c r="N163" s="195"/>
      <c r="O163" s="195"/>
      <c r="P163" s="195"/>
      <c r="Q163" s="195"/>
      <c r="R163" s="196"/>
      <c r="S163" s="82"/>
    </row>
    <row r="164" spans="1:19" x14ac:dyDescent="0.25">
      <c r="A164" s="191" t="s">
        <v>265</v>
      </c>
      <c r="B164" s="78" t="s">
        <v>53</v>
      </c>
      <c r="C164" s="80">
        <f>4.6/100</f>
        <v>4.5999999999999999E-2</v>
      </c>
      <c r="D164" s="46">
        <v>238.04955989999999</v>
      </c>
      <c r="E164" s="191">
        <f>(C164*D164)+(C165*D165)+(C166*D166)+(C167*D167)+(C168*D168)</f>
        <v>239.7495783283</v>
      </c>
      <c r="F164" s="191">
        <f>E164+E169</f>
        <v>271.74838818501661</v>
      </c>
      <c r="G164" s="191">
        <f>G154</f>
        <v>0.14000000000000001</v>
      </c>
      <c r="H164" s="197">
        <f>G164*0.9921</f>
        <v>0.13889400000000002</v>
      </c>
      <c r="I164" s="200">
        <f>(H164*F164)+(H170*F170)+(H173*F173)</f>
        <v>270.99745086266324</v>
      </c>
      <c r="J164" s="191">
        <f>11.46</f>
        <v>11.46</v>
      </c>
      <c r="K164" s="200">
        <v>100</v>
      </c>
      <c r="L164" s="200">
        <f>K164*H164</f>
        <v>13.889400000000002</v>
      </c>
      <c r="M164" s="188">
        <f>L164/F164</f>
        <v>5.1111250715288777E-2</v>
      </c>
      <c r="N164" s="188">
        <f>M164/(M164+M170+M173)</f>
        <v>0.13841532057168687</v>
      </c>
      <c r="O164" s="200">
        <f>L164/J164</f>
        <v>1.2119895287958116</v>
      </c>
      <c r="P164" s="188">
        <f>O164+O170+O173</f>
        <v>9.1033284917281261</v>
      </c>
      <c r="Q164" s="200">
        <f>O164/P164</f>
        <v>0.13313696522069962</v>
      </c>
      <c r="R164" s="200">
        <f>(Q164*J164)+(Q170*J170)+(Q173*J173)</f>
        <v>10.984993026546992</v>
      </c>
      <c r="S164" s="82">
        <f t="shared" si="2"/>
        <v>10.545593305485111</v>
      </c>
    </row>
    <row r="165" spans="1:19" x14ac:dyDescent="0.25">
      <c r="A165" s="192"/>
      <c r="B165" s="78" t="s">
        <v>54</v>
      </c>
      <c r="C165" s="80">
        <f>50.5/100</f>
        <v>0.505</v>
      </c>
      <c r="D165" s="46">
        <v>239.05216340000001</v>
      </c>
      <c r="E165" s="192"/>
      <c r="F165" s="192"/>
      <c r="G165" s="192"/>
      <c r="H165" s="198"/>
      <c r="I165" s="200"/>
      <c r="J165" s="192"/>
      <c r="K165" s="200"/>
      <c r="L165" s="200"/>
      <c r="M165" s="189"/>
      <c r="N165" s="189"/>
      <c r="O165" s="200"/>
      <c r="P165" s="189"/>
      <c r="Q165" s="200"/>
      <c r="R165" s="200"/>
      <c r="S165" s="82"/>
    </row>
    <row r="166" spans="1:19" x14ac:dyDescent="0.25">
      <c r="A166" s="192"/>
      <c r="B166" s="78" t="s">
        <v>55</v>
      </c>
      <c r="C166" s="80">
        <f>24/100</f>
        <v>0.24</v>
      </c>
      <c r="D166" s="46">
        <v>240.05381349999999</v>
      </c>
      <c r="E166" s="192"/>
      <c r="F166" s="192"/>
      <c r="G166" s="192"/>
      <c r="H166" s="198"/>
      <c r="I166" s="200"/>
      <c r="J166" s="192"/>
      <c r="K166" s="200"/>
      <c r="L166" s="200"/>
      <c r="M166" s="189"/>
      <c r="N166" s="189"/>
      <c r="O166" s="200"/>
      <c r="P166" s="189"/>
      <c r="Q166" s="200"/>
      <c r="R166" s="200"/>
      <c r="S166" s="82"/>
    </row>
    <row r="167" spans="1:19" x14ac:dyDescent="0.25">
      <c r="A167" s="192"/>
      <c r="B167" s="78" t="s">
        <v>56</v>
      </c>
      <c r="C167" s="80">
        <f>12.5/100</f>
        <v>0.125</v>
      </c>
      <c r="D167" s="76">
        <v>241.05685149999999</v>
      </c>
      <c r="E167" s="192"/>
      <c r="F167" s="192"/>
      <c r="G167" s="192"/>
      <c r="H167" s="198"/>
      <c r="I167" s="200"/>
      <c r="J167" s="192"/>
      <c r="K167" s="200"/>
      <c r="L167" s="200"/>
      <c r="M167" s="189"/>
      <c r="N167" s="189"/>
      <c r="O167" s="200"/>
      <c r="P167" s="189"/>
      <c r="Q167" s="200"/>
      <c r="R167" s="200"/>
      <c r="S167" s="82"/>
    </row>
    <row r="168" spans="1:19" x14ac:dyDescent="0.25">
      <c r="A168" s="192"/>
      <c r="B168" s="78" t="s">
        <v>57</v>
      </c>
      <c r="C168" s="80">
        <f>8.4/100</f>
        <v>8.4000000000000005E-2</v>
      </c>
      <c r="D168" s="76">
        <v>242.05874259999999</v>
      </c>
      <c r="E168" s="193"/>
      <c r="F168" s="192"/>
      <c r="G168" s="192"/>
      <c r="H168" s="198"/>
      <c r="I168" s="200"/>
      <c r="J168" s="192"/>
      <c r="K168" s="200"/>
      <c r="L168" s="200"/>
      <c r="M168" s="189"/>
      <c r="N168" s="189"/>
      <c r="O168" s="200"/>
      <c r="P168" s="189"/>
      <c r="Q168" s="200"/>
      <c r="R168" s="200"/>
      <c r="S168" s="82"/>
    </row>
    <row r="169" spans="1:19" x14ac:dyDescent="0.25">
      <c r="A169" s="193"/>
      <c r="B169" s="23" t="s">
        <v>66</v>
      </c>
      <c r="C169" s="23">
        <v>1</v>
      </c>
      <c r="D169" s="75">
        <v>15.999404928358301</v>
      </c>
      <c r="E169" s="23">
        <f>2*D169</f>
        <v>31.998809856716601</v>
      </c>
      <c r="F169" s="193"/>
      <c r="G169" s="193"/>
      <c r="H169" s="199"/>
      <c r="I169" s="200"/>
      <c r="J169" s="193"/>
      <c r="K169" s="200"/>
      <c r="L169" s="200"/>
      <c r="M169" s="190"/>
      <c r="N169" s="190"/>
      <c r="O169" s="200"/>
      <c r="P169" s="189"/>
      <c r="Q169" s="200"/>
      <c r="R169" s="200"/>
      <c r="S169" s="82"/>
    </row>
    <row r="170" spans="1:19" x14ac:dyDescent="0.25">
      <c r="A170" s="200" t="s">
        <v>254</v>
      </c>
      <c r="B170" s="80" t="s">
        <v>62</v>
      </c>
      <c r="C170" s="131">
        <v>7.1999999999999998E-3</v>
      </c>
      <c r="D170" s="80">
        <v>235.0439231</v>
      </c>
      <c r="E170" s="200">
        <f>(C170*D170)+(C171*D171)</f>
        <v>238.0291332116</v>
      </c>
      <c r="F170" s="188">
        <f>E170+E172</f>
        <v>270.02794306831657</v>
      </c>
      <c r="G170" s="188">
        <f>G160</f>
        <v>0.86</v>
      </c>
      <c r="H170" s="208">
        <f>G170*0.9921</f>
        <v>0.85320600000000002</v>
      </c>
      <c r="I170" s="200"/>
      <c r="J170" s="200">
        <v>10.96</v>
      </c>
      <c r="K170" s="200"/>
      <c r="L170" s="200">
        <f>K164*H170</f>
        <v>85.320599999999999</v>
      </c>
      <c r="M170" s="188">
        <f>L170/F170</f>
        <v>0.31596952163729974</v>
      </c>
      <c r="N170" s="188">
        <f>M170/(M164+M170+M173)</f>
        <v>0.85568288813615456</v>
      </c>
      <c r="O170" s="200">
        <f>L170/J170</f>
        <v>7.7847262773722621</v>
      </c>
      <c r="P170" s="189"/>
      <c r="Q170" s="200">
        <f>O170/P164</f>
        <v>0.85515163870511413</v>
      </c>
      <c r="R170" s="200"/>
      <c r="S170" s="82"/>
    </row>
    <row r="171" spans="1:19" x14ac:dyDescent="0.25">
      <c r="A171" s="200"/>
      <c r="B171" s="80" t="s">
        <v>64</v>
      </c>
      <c r="C171" s="131">
        <f>1-C170</f>
        <v>0.99280000000000002</v>
      </c>
      <c r="D171" s="80">
        <v>238.05078259999999</v>
      </c>
      <c r="E171" s="200"/>
      <c r="F171" s="189"/>
      <c r="G171" s="189"/>
      <c r="H171" s="210"/>
      <c r="I171" s="200"/>
      <c r="J171" s="200"/>
      <c r="K171" s="200"/>
      <c r="L171" s="200"/>
      <c r="M171" s="189"/>
      <c r="N171" s="189"/>
      <c r="O171" s="200"/>
      <c r="P171" s="189"/>
      <c r="Q171" s="200"/>
      <c r="R171" s="200"/>
      <c r="S171" s="82"/>
    </row>
    <row r="172" spans="1:19" x14ac:dyDescent="0.25">
      <c r="A172" s="200"/>
      <c r="B172" s="80" t="s">
        <v>66</v>
      </c>
      <c r="C172" s="131">
        <v>1</v>
      </c>
      <c r="D172" s="75">
        <v>15.999404928358301</v>
      </c>
      <c r="E172" s="75">
        <f>(2*D172)</f>
        <v>31.998809856716601</v>
      </c>
      <c r="F172" s="190"/>
      <c r="G172" s="190"/>
      <c r="H172" s="209"/>
      <c r="I172" s="200"/>
      <c r="J172" s="200"/>
      <c r="K172" s="200"/>
      <c r="L172" s="200"/>
      <c r="M172" s="190"/>
      <c r="N172" s="190"/>
      <c r="O172" s="200"/>
      <c r="P172" s="189"/>
      <c r="Q172" s="200"/>
      <c r="R172" s="200"/>
      <c r="S172" s="82"/>
    </row>
    <row r="173" spans="1:19" x14ac:dyDescent="0.25">
      <c r="A173" s="200" t="s">
        <v>127</v>
      </c>
      <c r="B173" s="80" t="s">
        <v>253</v>
      </c>
      <c r="C173" s="80">
        <v>1</v>
      </c>
      <c r="D173" s="4">
        <v>157.25209770539999</v>
      </c>
      <c r="E173" s="75">
        <f>2*D173</f>
        <v>314.50419541079998</v>
      </c>
      <c r="F173" s="188">
        <f>E173+E174</f>
        <v>362.50241019587486</v>
      </c>
      <c r="G173" s="188">
        <v>7.9000000000000008E-3</v>
      </c>
      <c r="H173" s="208">
        <v>7.9000000000000008E-3</v>
      </c>
      <c r="I173" s="200"/>
      <c r="J173" s="188">
        <v>7.41</v>
      </c>
      <c r="K173" s="200"/>
      <c r="L173" s="200">
        <f>K164*H173</f>
        <v>0.79</v>
      </c>
      <c r="M173" s="188">
        <f>L173/F173</f>
        <v>2.1792958550899862E-3</v>
      </c>
      <c r="N173" s="188">
        <f>M173/(M164+M170+M173)</f>
        <v>5.9017912921586506E-3</v>
      </c>
      <c r="O173" s="200">
        <f>L173/J173</f>
        <v>0.10661268556005399</v>
      </c>
      <c r="P173" s="189"/>
      <c r="Q173" s="200">
        <f>O173/P164</f>
        <v>1.1711396074186401E-2</v>
      </c>
      <c r="R173" s="200"/>
      <c r="S173" s="82"/>
    </row>
    <row r="174" spans="1:19" x14ac:dyDescent="0.25">
      <c r="A174" s="200"/>
      <c r="B174" s="80" t="s">
        <v>66</v>
      </c>
      <c r="C174" s="80">
        <v>1</v>
      </c>
      <c r="D174" s="80">
        <v>15.999404928358299</v>
      </c>
      <c r="E174" s="75">
        <f>(3*D174)</f>
        <v>47.998214785074893</v>
      </c>
      <c r="F174" s="190"/>
      <c r="G174" s="190"/>
      <c r="H174" s="209"/>
      <c r="I174" s="200"/>
      <c r="J174" s="190"/>
      <c r="K174" s="200"/>
      <c r="L174" s="200"/>
      <c r="M174" s="190"/>
      <c r="N174" s="190"/>
      <c r="O174" s="200"/>
      <c r="P174" s="190"/>
      <c r="Q174" s="200"/>
      <c r="R174" s="200"/>
      <c r="S174" s="82"/>
    </row>
    <row r="175" spans="1:19" x14ac:dyDescent="0.25">
      <c r="S175" s="82"/>
    </row>
    <row r="176" spans="1:19" ht="15.75" x14ac:dyDescent="0.25">
      <c r="A176" s="201" t="s">
        <v>236</v>
      </c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  <c r="R176" s="201"/>
      <c r="S176" s="82"/>
    </row>
    <row r="177" spans="1:19" ht="15.75" x14ac:dyDescent="0.25">
      <c r="A177" s="194" t="s">
        <v>263</v>
      </c>
      <c r="B177" s="195"/>
      <c r="C177" s="195"/>
      <c r="D177" s="195"/>
      <c r="E177" s="195"/>
      <c r="F177" s="195"/>
      <c r="G177" s="195"/>
      <c r="H177" s="195"/>
      <c r="I177" s="195"/>
      <c r="J177" s="195"/>
      <c r="K177" s="195"/>
      <c r="L177" s="195"/>
      <c r="M177" s="195"/>
      <c r="N177" s="195"/>
      <c r="O177" s="195"/>
      <c r="P177" s="195"/>
      <c r="Q177" s="195"/>
      <c r="R177" s="196"/>
      <c r="S177" s="82"/>
    </row>
    <row r="178" spans="1:19" ht="45" x14ac:dyDescent="0.25">
      <c r="A178" s="77" t="s">
        <v>266</v>
      </c>
      <c r="B178" s="77" t="s">
        <v>262</v>
      </c>
      <c r="C178" s="77" t="s">
        <v>261</v>
      </c>
      <c r="D178" s="77" t="s">
        <v>260</v>
      </c>
      <c r="E178" s="77" t="s">
        <v>259</v>
      </c>
      <c r="F178" s="77" t="s">
        <v>258</v>
      </c>
      <c r="G178" s="77" t="s">
        <v>264</v>
      </c>
      <c r="H178" s="77"/>
      <c r="I178" s="77" t="s">
        <v>272</v>
      </c>
      <c r="J178" s="77" t="s">
        <v>257</v>
      </c>
      <c r="K178" s="77" t="s">
        <v>269</v>
      </c>
      <c r="L178" s="77" t="s">
        <v>268</v>
      </c>
      <c r="M178" s="130" t="s">
        <v>352</v>
      </c>
      <c r="N178" s="130" t="s">
        <v>354</v>
      </c>
      <c r="O178" s="77" t="s">
        <v>267</v>
      </c>
      <c r="P178" s="77" t="s">
        <v>270</v>
      </c>
      <c r="Q178" s="77" t="s">
        <v>256</v>
      </c>
      <c r="R178" s="81" t="s">
        <v>271</v>
      </c>
      <c r="S178" s="82"/>
    </row>
    <row r="179" spans="1:19" x14ac:dyDescent="0.25">
      <c r="A179" s="191" t="s">
        <v>265</v>
      </c>
      <c r="B179" s="78" t="s">
        <v>53</v>
      </c>
      <c r="C179" s="80">
        <f>4.6/100</f>
        <v>4.5999999999999999E-2</v>
      </c>
      <c r="D179" s="46">
        <v>238.04955989999999</v>
      </c>
      <c r="E179" s="191">
        <f>(C179*D179)+(C180*D180)+(C181*D181)+(C182*D182)+(C183*D183)</f>
        <v>239.7495783283</v>
      </c>
      <c r="F179" s="191">
        <f>E179+E184</f>
        <v>271.74838818501661</v>
      </c>
      <c r="G179" s="191">
        <v>0.16</v>
      </c>
      <c r="H179" s="191">
        <f>G179</f>
        <v>0.16</v>
      </c>
      <c r="I179" s="191">
        <f>(G179*F179)+(G185*F185)</f>
        <v>270.30321428698858</v>
      </c>
      <c r="J179" s="191">
        <f>11.46</f>
        <v>11.46</v>
      </c>
      <c r="K179" s="191">
        <v>100</v>
      </c>
      <c r="L179" s="191">
        <f>K179*H179</f>
        <v>16</v>
      </c>
      <c r="M179" s="191">
        <f>L179/F179</f>
        <v>5.8877994113829275E-2</v>
      </c>
      <c r="N179" s="191">
        <f>M179/(M179+M185)</f>
        <v>0.15914824780343481</v>
      </c>
      <c r="O179" s="191">
        <f>L179/J179</f>
        <v>1.3961605584642234</v>
      </c>
      <c r="P179" s="188">
        <f>O179+O185</f>
        <v>9.0603941351065593</v>
      </c>
      <c r="Q179" s="188">
        <f>O179/P179</f>
        <v>0.15409490333919157</v>
      </c>
      <c r="R179" s="202">
        <f>(Q179*J179)+(Q185*J185)</f>
        <v>11.037047451669597</v>
      </c>
      <c r="S179" s="82">
        <f t="shared" si="2"/>
        <v>10.595565553602812</v>
      </c>
    </row>
    <row r="180" spans="1:19" x14ac:dyDescent="0.25">
      <c r="A180" s="192"/>
      <c r="B180" s="78" t="s">
        <v>54</v>
      </c>
      <c r="C180" s="80">
        <f>50.5/100</f>
        <v>0.505</v>
      </c>
      <c r="D180" s="46">
        <v>239.05216340000001</v>
      </c>
      <c r="E180" s="192"/>
      <c r="F180" s="192"/>
      <c r="G180" s="192"/>
      <c r="H180" s="192"/>
      <c r="I180" s="192"/>
      <c r="J180" s="192"/>
      <c r="K180" s="192"/>
      <c r="L180" s="192"/>
      <c r="M180" s="192"/>
      <c r="N180" s="192"/>
      <c r="O180" s="192"/>
      <c r="P180" s="189"/>
      <c r="Q180" s="189"/>
      <c r="R180" s="203"/>
      <c r="S180" s="82"/>
    </row>
    <row r="181" spans="1:19" x14ac:dyDescent="0.25">
      <c r="A181" s="192"/>
      <c r="B181" s="78" t="s">
        <v>55</v>
      </c>
      <c r="C181" s="80">
        <f>24/100</f>
        <v>0.24</v>
      </c>
      <c r="D181" s="46">
        <v>240.05381349999999</v>
      </c>
      <c r="E181" s="192"/>
      <c r="F181" s="192"/>
      <c r="G181" s="192"/>
      <c r="H181" s="192"/>
      <c r="I181" s="192"/>
      <c r="J181" s="192"/>
      <c r="K181" s="192"/>
      <c r="L181" s="192"/>
      <c r="M181" s="192"/>
      <c r="N181" s="192"/>
      <c r="O181" s="192"/>
      <c r="P181" s="189"/>
      <c r="Q181" s="189"/>
      <c r="R181" s="203"/>
      <c r="S181" s="82"/>
    </row>
    <row r="182" spans="1:19" x14ac:dyDescent="0.25">
      <c r="A182" s="192"/>
      <c r="B182" s="78" t="s">
        <v>56</v>
      </c>
      <c r="C182" s="80">
        <f>12.5/100</f>
        <v>0.125</v>
      </c>
      <c r="D182" s="76">
        <v>241.05685149999999</v>
      </c>
      <c r="E182" s="192"/>
      <c r="F182" s="192"/>
      <c r="G182" s="192"/>
      <c r="H182" s="192"/>
      <c r="I182" s="192"/>
      <c r="J182" s="192"/>
      <c r="K182" s="192"/>
      <c r="L182" s="192"/>
      <c r="M182" s="192"/>
      <c r="N182" s="192"/>
      <c r="O182" s="192"/>
      <c r="P182" s="189"/>
      <c r="Q182" s="189"/>
      <c r="R182" s="203"/>
      <c r="S182" s="82"/>
    </row>
    <row r="183" spans="1:19" x14ac:dyDescent="0.25">
      <c r="A183" s="192"/>
      <c r="B183" s="78" t="s">
        <v>57</v>
      </c>
      <c r="C183" s="80">
        <f>8.4/100</f>
        <v>8.4000000000000005E-2</v>
      </c>
      <c r="D183" s="76">
        <v>242.05874259999999</v>
      </c>
      <c r="E183" s="193"/>
      <c r="F183" s="192"/>
      <c r="G183" s="192"/>
      <c r="H183" s="192"/>
      <c r="I183" s="192"/>
      <c r="J183" s="192"/>
      <c r="K183" s="192"/>
      <c r="L183" s="192"/>
      <c r="M183" s="192"/>
      <c r="N183" s="192"/>
      <c r="O183" s="192"/>
      <c r="P183" s="189"/>
      <c r="Q183" s="189"/>
      <c r="R183" s="203"/>
      <c r="S183" s="82"/>
    </row>
    <row r="184" spans="1:19" x14ac:dyDescent="0.25">
      <c r="A184" s="193"/>
      <c r="B184" s="23" t="s">
        <v>66</v>
      </c>
      <c r="C184" s="23">
        <v>1</v>
      </c>
      <c r="D184" s="75">
        <v>15.999404928358301</v>
      </c>
      <c r="E184" s="23">
        <f>2*D184</f>
        <v>31.998809856716601</v>
      </c>
      <c r="F184" s="193"/>
      <c r="G184" s="193"/>
      <c r="H184" s="193"/>
      <c r="I184" s="192"/>
      <c r="J184" s="193"/>
      <c r="K184" s="192"/>
      <c r="L184" s="193"/>
      <c r="M184" s="193"/>
      <c r="N184" s="193"/>
      <c r="O184" s="193"/>
      <c r="P184" s="189"/>
      <c r="Q184" s="190"/>
      <c r="R184" s="203"/>
      <c r="S184" s="82"/>
    </row>
    <row r="185" spans="1:19" x14ac:dyDescent="0.25">
      <c r="A185" s="200" t="s">
        <v>254</v>
      </c>
      <c r="B185" s="80" t="s">
        <v>62</v>
      </c>
      <c r="C185" s="131">
        <v>7.1999999999999998E-3</v>
      </c>
      <c r="D185" s="80">
        <v>235.0439231</v>
      </c>
      <c r="E185" s="200">
        <f>(C185*D185)+(C186*D186)</f>
        <v>238.0291332116</v>
      </c>
      <c r="F185" s="188">
        <f>E185+E187</f>
        <v>270.02794306831657</v>
      </c>
      <c r="G185" s="188">
        <f>1-G179</f>
        <v>0.84</v>
      </c>
      <c r="H185" s="188">
        <f>G185</f>
        <v>0.84</v>
      </c>
      <c r="I185" s="192"/>
      <c r="J185" s="200">
        <v>10.96</v>
      </c>
      <c r="K185" s="192"/>
      <c r="L185" s="188">
        <f>K179*H185</f>
        <v>84</v>
      </c>
      <c r="M185" s="188">
        <f>L185/F185</f>
        <v>0.3110789166688136</v>
      </c>
      <c r="N185" s="188">
        <f>M185/(M185+M179)</f>
        <v>0.84085175219656516</v>
      </c>
      <c r="O185" s="188">
        <f>L185/J185</f>
        <v>7.6642335766423351</v>
      </c>
      <c r="P185" s="189"/>
      <c r="Q185" s="188">
        <f>O185/P179</f>
        <v>0.84590509666080838</v>
      </c>
      <c r="R185" s="203"/>
      <c r="S185" s="82"/>
    </row>
    <row r="186" spans="1:19" x14ac:dyDescent="0.25">
      <c r="A186" s="200"/>
      <c r="B186" s="80" t="s">
        <v>64</v>
      </c>
      <c r="C186" s="131">
        <f>1-C185</f>
        <v>0.99280000000000002</v>
      </c>
      <c r="D186" s="80">
        <v>238.05078259999999</v>
      </c>
      <c r="E186" s="200"/>
      <c r="F186" s="189"/>
      <c r="G186" s="189"/>
      <c r="H186" s="189"/>
      <c r="I186" s="192"/>
      <c r="J186" s="200"/>
      <c r="K186" s="192"/>
      <c r="L186" s="189"/>
      <c r="M186" s="189"/>
      <c r="N186" s="189"/>
      <c r="O186" s="189"/>
      <c r="P186" s="189"/>
      <c r="Q186" s="189"/>
      <c r="R186" s="203"/>
      <c r="S186" s="82"/>
    </row>
    <row r="187" spans="1:19" x14ac:dyDescent="0.25">
      <c r="A187" s="200"/>
      <c r="B187" s="80" t="s">
        <v>66</v>
      </c>
      <c r="C187" s="131">
        <v>1</v>
      </c>
      <c r="D187" s="75">
        <v>15.999404928358301</v>
      </c>
      <c r="E187" s="75">
        <f>(2*D187)</f>
        <v>31.998809856716601</v>
      </c>
      <c r="F187" s="190"/>
      <c r="G187" s="190"/>
      <c r="H187" s="190"/>
      <c r="I187" s="193"/>
      <c r="J187" s="200"/>
      <c r="K187" s="193"/>
      <c r="L187" s="190"/>
      <c r="M187" s="190"/>
      <c r="N187" s="190"/>
      <c r="O187" s="190"/>
      <c r="P187" s="190"/>
      <c r="Q187" s="190"/>
      <c r="R187" s="204"/>
      <c r="S187" s="82"/>
    </row>
    <row r="188" spans="1:19" ht="15.75" x14ac:dyDescent="0.25">
      <c r="A188" s="194" t="s">
        <v>255</v>
      </c>
      <c r="B188" s="195"/>
      <c r="C188" s="195"/>
      <c r="D188" s="195"/>
      <c r="E188" s="195"/>
      <c r="F188" s="195"/>
      <c r="G188" s="195"/>
      <c r="H188" s="195"/>
      <c r="I188" s="195"/>
      <c r="J188" s="195"/>
      <c r="K188" s="195"/>
      <c r="L188" s="195"/>
      <c r="M188" s="195"/>
      <c r="N188" s="195"/>
      <c r="O188" s="195"/>
      <c r="P188" s="195"/>
      <c r="Q188" s="195"/>
      <c r="R188" s="196"/>
      <c r="S188" s="82"/>
    </row>
    <row r="189" spans="1:19" x14ac:dyDescent="0.25">
      <c r="A189" s="191" t="s">
        <v>265</v>
      </c>
      <c r="B189" s="78" t="s">
        <v>53</v>
      </c>
      <c r="C189" s="80">
        <f>4.6/100</f>
        <v>4.5999999999999999E-2</v>
      </c>
      <c r="D189" s="46">
        <v>238.04955989999999</v>
      </c>
      <c r="E189" s="191">
        <f>(C189*D189)+(C190*D190)+(C191*D191)+(C192*D192)+(C193*D193)</f>
        <v>239.7495783283</v>
      </c>
      <c r="F189" s="191">
        <f>E189+E194</f>
        <v>271.74838818501661</v>
      </c>
      <c r="G189" s="191">
        <f>G179</f>
        <v>0.16</v>
      </c>
      <c r="H189" s="197">
        <f>G189*0.9921</f>
        <v>0.15873599999999999</v>
      </c>
      <c r="I189" s="200">
        <f>(H189*F189)+(H195*F195)+(H198*F198)</f>
        <v>271.03158793466878</v>
      </c>
      <c r="J189" s="191">
        <f>11.46</f>
        <v>11.46</v>
      </c>
      <c r="K189" s="200">
        <v>100</v>
      </c>
      <c r="L189" s="200">
        <f>K189*H189</f>
        <v>15.8736</v>
      </c>
      <c r="M189" s="188">
        <f>L189/F189</f>
        <v>5.8412857960330022E-2</v>
      </c>
      <c r="N189" s="188">
        <f>M189/(M189+M195+M198)</f>
        <v>0.15820886971300172</v>
      </c>
      <c r="O189" s="200">
        <f>L189/J189</f>
        <v>1.3851308900523558</v>
      </c>
      <c r="P189" s="188">
        <f>O189+O195+O198</f>
        <v>9.0954297069992691</v>
      </c>
      <c r="Q189" s="200">
        <f>O189/P189</f>
        <v>0.15228866965861398</v>
      </c>
      <c r="R189" s="200">
        <f>(Q189*J189)+(Q195*J195)+(Q198*J198)</f>
        <v>10.994532773206558</v>
      </c>
      <c r="S189" s="82">
        <f t="shared" si="2"/>
        <v>10.554751462278295</v>
      </c>
    </row>
    <row r="190" spans="1:19" x14ac:dyDescent="0.25">
      <c r="A190" s="192"/>
      <c r="B190" s="78" t="s">
        <v>54</v>
      </c>
      <c r="C190" s="80">
        <f>50.5/100</f>
        <v>0.505</v>
      </c>
      <c r="D190" s="46">
        <v>239.05216340000001</v>
      </c>
      <c r="E190" s="192"/>
      <c r="F190" s="192"/>
      <c r="G190" s="192"/>
      <c r="H190" s="198"/>
      <c r="I190" s="200"/>
      <c r="J190" s="192"/>
      <c r="K190" s="200"/>
      <c r="L190" s="200"/>
      <c r="M190" s="189"/>
      <c r="N190" s="189"/>
      <c r="O190" s="200"/>
      <c r="P190" s="189"/>
      <c r="Q190" s="200"/>
      <c r="R190" s="200"/>
      <c r="S190" s="82"/>
    </row>
    <row r="191" spans="1:19" x14ac:dyDescent="0.25">
      <c r="A191" s="192"/>
      <c r="B191" s="78" t="s">
        <v>55</v>
      </c>
      <c r="C191" s="80">
        <f>24/100</f>
        <v>0.24</v>
      </c>
      <c r="D191" s="46">
        <v>240.05381349999999</v>
      </c>
      <c r="E191" s="192"/>
      <c r="F191" s="192"/>
      <c r="G191" s="192"/>
      <c r="H191" s="198"/>
      <c r="I191" s="200"/>
      <c r="J191" s="192"/>
      <c r="K191" s="200"/>
      <c r="L191" s="200"/>
      <c r="M191" s="189"/>
      <c r="N191" s="189"/>
      <c r="O191" s="200"/>
      <c r="P191" s="189"/>
      <c r="Q191" s="200"/>
      <c r="R191" s="200"/>
      <c r="S191" s="82"/>
    </row>
    <row r="192" spans="1:19" x14ac:dyDescent="0.25">
      <c r="A192" s="192"/>
      <c r="B192" s="78" t="s">
        <v>56</v>
      </c>
      <c r="C192" s="80">
        <f>12.5/100</f>
        <v>0.125</v>
      </c>
      <c r="D192" s="76">
        <v>241.05685149999999</v>
      </c>
      <c r="E192" s="192"/>
      <c r="F192" s="192"/>
      <c r="G192" s="192"/>
      <c r="H192" s="198"/>
      <c r="I192" s="200"/>
      <c r="J192" s="192"/>
      <c r="K192" s="200"/>
      <c r="L192" s="200"/>
      <c r="M192" s="189"/>
      <c r="N192" s="189"/>
      <c r="O192" s="200"/>
      <c r="P192" s="189"/>
      <c r="Q192" s="200"/>
      <c r="R192" s="200"/>
      <c r="S192" s="82"/>
    </row>
    <row r="193" spans="1:19" x14ac:dyDescent="0.25">
      <c r="A193" s="192"/>
      <c r="B193" s="78" t="s">
        <v>57</v>
      </c>
      <c r="C193" s="80">
        <f>8.4/100</f>
        <v>8.4000000000000005E-2</v>
      </c>
      <c r="D193" s="76">
        <v>242.05874259999999</v>
      </c>
      <c r="E193" s="193"/>
      <c r="F193" s="192"/>
      <c r="G193" s="192"/>
      <c r="H193" s="198"/>
      <c r="I193" s="200"/>
      <c r="J193" s="192"/>
      <c r="K193" s="200"/>
      <c r="L193" s="200"/>
      <c r="M193" s="189"/>
      <c r="N193" s="189"/>
      <c r="O193" s="200"/>
      <c r="P193" s="189"/>
      <c r="Q193" s="200"/>
      <c r="R193" s="200"/>
      <c r="S193" s="82"/>
    </row>
    <row r="194" spans="1:19" x14ac:dyDescent="0.25">
      <c r="A194" s="193"/>
      <c r="B194" s="23" t="s">
        <v>66</v>
      </c>
      <c r="C194" s="23">
        <v>1</v>
      </c>
      <c r="D194" s="75">
        <v>15.999404928358301</v>
      </c>
      <c r="E194" s="23">
        <f>2*D194</f>
        <v>31.998809856716601</v>
      </c>
      <c r="F194" s="193"/>
      <c r="G194" s="193"/>
      <c r="H194" s="199"/>
      <c r="I194" s="200"/>
      <c r="J194" s="193"/>
      <c r="K194" s="200"/>
      <c r="L194" s="200"/>
      <c r="M194" s="190"/>
      <c r="N194" s="190"/>
      <c r="O194" s="200"/>
      <c r="P194" s="189"/>
      <c r="Q194" s="200"/>
      <c r="R194" s="200"/>
      <c r="S194" s="82"/>
    </row>
    <row r="195" spans="1:19" x14ac:dyDescent="0.25">
      <c r="A195" s="200" t="s">
        <v>254</v>
      </c>
      <c r="B195" s="80" t="s">
        <v>62</v>
      </c>
      <c r="C195" s="131">
        <v>7.1999999999999998E-3</v>
      </c>
      <c r="D195" s="80">
        <v>235.0439231</v>
      </c>
      <c r="E195" s="200">
        <f>(C195*D195)+(C196*D196)</f>
        <v>238.0291332116</v>
      </c>
      <c r="F195" s="188">
        <f>E195+E197</f>
        <v>270.02794306831657</v>
      </c>
      <c r="G195" s="188">
        <f>G185</f>
        <v>0.84</v>
      </c>
      <c r="H195" s="208">
        <f>G195*0.9921</f>
        <v>0.83336399999999999</v>
      </c>
      <c r="I195" s="200"/>
      <c r="J195" s="200">
        <v>10.96</v>
      </c>
      <c r="K195" s="200"/>
      <c r="L195" s="200">
        <f>K189*H195</f>
        <v>83.336399999999998</v>
      </c>
      <c r="M195" s="188">
        <f>L195/F195</f>
        <v>0.30862139322713</v>
      </c>
      <c r="N195" s="188">
        <f>M195/(M189+M195+M198)</f>
        <v>0.83588859536500959</v>
      </c>
      <c r="O195" s="200">
        <f>L195/J195</f>
        <v>7.6036861313868602</v>
      </c>
      <c r="P195" s="189"/>
      <c r="Q195" s="200">
        <f>O195/P189</f>
        <v>0.83598976368709033</v>
      </c>
      <c r="R195" s="200"/>
      <c r="S195" s="82"/>
    </row>
    <row r="196" spans="1:19" x14ac:dyDescent="0.25">
      <c r="A196" s="200"/>
      <c r="B196" s="80" t="s">
        <v>64</v>
      </c>
      <c r="C196" s="131">
        <f>1-C195</f>
        <v>0.99280000000000002</v>
      </c>
      <c r="D196" s="80">
        <v>238.05078259999999</v>
      </c>
      <c r="E196" s="200"/>
      <c r="F196" s="189"/>
      <c r="G196" s="189"/>
      <c r="H196" s="210"/>
      <c r="I196" s="200"/>
      <c r="J196" s="200"/>
      <c r="K196" s="200"/>
      <c r="L196" s="200"/>
      <c r="M196" s="189"/>
      <c r="N196" s="189"/>
      <c r="O196" s="200"/>
      <c r="P196" s="189"/>
      <c r="Q196" s="200"/>
      <c r="R196" s="200"/>
      <c r="S196" s="82"/>
    </row>
    <row r="197" spans="1:19" x14ac:dyDescent="0.25">
      <c r="A197" s="200"/>
      <c r="B197" s="80" t="s">
        <v>66</v>
      </c>
      <c r="C197" s="131">
        <v>1</v>
      </c>
      <c r="D197" s="75">
        <v>15.999404928358301</v>
      </c>
      <c r="E197" s="75">
        <f>(2*D197)</f>
        <v>31.998809856716601</v>
      </c>
      <c r="F197" s="190"/>
      <c r="G197" s="190"/>
      <c r="H197" s="209"/>
      <c r="I197" s="200"/>
      <c r="J197" s="200"/>
      <c r="K197" s="200"/>
      <c r="L197" s="200"/>
      <c r="M197" s="190"/>
      <c r="N197" s="190"/>
      <c r="O197" s="200"/>
      <c r="P197" s="189"/>
      <c r="Q197" s="200"/>
      <c r="R197" s="200"/>
      <c r="S197" s="82"/>
    </row>
    <row r="198" spans="1:19" x14ac:dyDescent="0.25">
      <c r="A198" s="200" t="s">
        <v>127</v>
      </c>
      <c r="B198" s="80" t="s">
        <v>253</v>
      </c>
      <c r="C198" s="80">
        <v>1</v>
      </c>
      <c r="D198" s="4">
        <v>157.25209770539999</v>
      </c>
      <c r="E198" s="75">
        <f>2*D198</f>
        <v>314.50419541079998</v>
      </c>
      <c r="F198" s="188">
        <f>E198+E199</f>
        <v>362.50241019587486</v>
      </c>
      <c r="G198" s="188">
        <v>7.9000000000000008E-3</v>
      </c>
      <c r="H198" s="208">
        <v>7.9000000000000008E-3</v>
      </c>
      <c r="I198" s="200"/>
      <c r="J198" s="188">
        <v>7.41</v>
      </c>
      <c r="K198" s="200"/>
      <c r="L198" s="200">
        <f>K189*H198</f>
        <v>0.79</v>
      </c>
      <c r="M198" s="188">
        <f>L198/F198</f>
        <v>2.1792958550899862E-3</v>
      </c>
      <c r="N198" s="188">
        <f>M198/(M189+M195+M198)</f>
        <v>5.9025349219887467E-3</v>
      </c>
      <c r="O198" s="200">
        <f>L198/J198</f>
        <v>0.10661268556005399</v>
      </c>
      <c r="P198" s="189"/>
      <c r="Q198" s="200">
        <f>O198/P189</f>
        <v>1.1721566654295794E-2</v>
      </c>
      <c r="R198" s="200"/>
      <c r="S198" s="82"/>
    </row>
    <row r="199" spans="1:19" x14ac:dyDescent="0.25">
      <c r="A199" s="200"/>
      <c r="B199" s="80" t="s">
        <v>66</v>
      </c>
      <c r="C199" s="80">
        <v>1</v>
      </c>
      <c r="D199" s="80">
        <v>15.999404928358299</v>
      </c>
      <c r="E199" s="75">
        <f>(3*D199)</f>
        <v>47.998214785074893</v>
      </c>
      <c r="F199" s="190"/>
      <c r="G199" s="190"/>
      <c r="H199" s="209"/>
      <c r="I199" s="200"/>
      <c r="J199" s="190"/>
      <c r="K199" s="200"/>
      <c r="L199" s="200"/>
      <c r="M199" s="190"/>
      <c r="N199" s="190"/>
      <c r="O199" s="200"/>
      <c r="P199" s="190"/>
      <c r="Q199" s="200"/>
      <c r="R199" s="200"/>
      <c r="S199" s="82"/>
    </row>
    <row r="200" spans="1:19" x14ac:dyDescent="0.25">
      <c r="S200" s="82"/>
    </row>
    <row r="201" spans="1:19" ht="15.75" x14ac:dyDescent="0.25">
      <c r="A201" s="201" t="s">
        <v>237</v>
      </c>
      <c r="B201" s="201"/>
      <c r="C201" s="201"/>
      <c r="D201" s="201"/>
      <c r="E201" s="201"/>
      <c r="F201" s="201"/>
      <c r="G201" s="201"/>
      <c r="H201" s="201"/>
      <c r="I201" s="201"/>
      <c r="J201" s="201"/>
      <c r="K201" s="201"/>
      <c r="L201" s="201"/>
      <c r="M201" s="201"/>
      <c r="N201" s="201"/>
      <c r="O201" s="201"/>
      <c r="P201" s="201"/>
      <c r="Q201" s="201"/>
      <c r="R201" s="201"/>
      <c r="S201" s="82"/>
    </row>
    <row r="202" spans="1:19" ht="15.75" x14ac:dyDescent="0.25">
      <c r="A202" s="194" t="s">
        <v>263</v>
      </c>
      <c r="B202" s="195"/>
      <c r="C202" s="195"/>
      <c r="D202" s="195"/>
      <c r="E202" s="195"/>
      <c r="F202" s="195"/>
      <c r="G202" s="195"/>
      <c r="H202" s="195"/>
      <c r="I202" s="195"/>
      <c r="J202" s="195"/>
      <c r="K202" s="195"/>
      <c r="L202" s="195"/>
      <c r="M202" s="195"/>
      <c r="N202" s="195"/>
      <c r="O202" s="195"/>
      <c r="P202" s="195"/>
      <c r="Q202" s="195"/>
      <c r="R202" s="196"/>
      <c r="S202" s="82"/>
    </row>
    <row r="203" spans="1:19" ht="45" x14ac:dyDescent="0.25">
      <c r="A203" s="77" t="s">
        <v>266</v>
      </c>
      <c r="B203" s="77" t="s">
        <v>262</v>
      </c>
      <c r="C203" s="77" t="s">
        <v>261</v>
      </c>
      <c r="D203" s="77" t="s">
        <v>260</v>
      </c>
      <c r="E203" s="77" t="s">
        <v>259</v>
      </c>
      <c r="F203" s="77" t="s">
        <v>258</v>
      </c>
      <c r="G203" s="77" t="s">
        <v>264</v>
      </c>
      <c r="H203" s="77"/>
      <c r="I203" s="77" t="s">
        <v>272</v>
      </c>
      <c r="J203" s="77" t="s">
        <v>257</v>
      </c>
      <c r="K203" s="77" t="s">
        <v>269</v>
      </c>
      <c r="L203" s="77" t="s">
        <v>268</v>
      </c>
      <c r="M203" s="130" t="s">
        <v>352</v>
      </c>
      <c r="N203" s="130" t="s">
        <v>354</v>
      </c>
      <c r="O203" s="77" t="s">
        <v>267</v>
      </c>
      <c r="P203" s="77" t="s">
        <v>270</v>
      </c>
      <c r="Q203" s="77" t="s">
        <v>256</v>
      </c>
      <c r="R203" s="81" t="s">
        <v>271</v>
      </c>
      <c r="S203" s="82"/>
    </row>
    <row r="204" spans="1:19" x14ac:dyDescent="0.25">
      <c r="A204" s="191" t="s">
        <v>265</v>
      </c>
      <c r="B204" s="78" t="s">
        <v>53</v>
      </c>
      <c r="C204" s="80">
        <f>4.6/100</f>
        <v>4.5999999999999999E-2</v>
      </c>
      <c r="D204" s="46">
        <v>238.04955989999999</v>
      </c>
      <c r="E204" s="191">
        <f>(C204*D204)+(C205*D205)+(C206*D206)+(C207*D207)+(C208*D208)</f>
        <v>239.7495783283</v>
      </c>
      <c r="F204" s="191">
        <f>E204+E209</f>
        <v>271.74838818501661</v>
      </c>
      <c r="G204" s="191">
        <v>0.18</v>
      </c>
      <c r="H204" s="191">
        <f>G204</f>
        <v>0.18</v>
      </c>
      <c r="I204" s="191">
        <f>(G204*F204)+(G210*F210)</f>
        <v>270.33762318932258</v>
      </c>
      <c r="J204" s="191">
        <f>11.46</f>
        <v>11.46</v>
      </c>
      <c r="K204" s="191">
        <v>100</v>
      </c>
      <c r="L204" s="191">
        <f>K204*H204</f>
        <v>18</v>
      </c>
      <c r="M204" s="191">
        <f>L204/F204</f>
        <v>6.6237743378057934E-2</v>
      </c>
      <c r="N204" s="191">
        <f>M204/(M204+M210)</f>
        <v>0.17906447499313533</v>
      </c>
      <c r="O204" s="191">
        <f>L204/J204</f>
        <v>1.5706806282722512</v>
      </c>
      <c r="P204" s="188">
        <f>O204+O210</f>
        <v>9.052432453089768</v>
      </c>
      <c r="Q204" s="188">
        <f>O204/P204</f>
        <v>0.17350923482849606</v>
      </c>
      <c r="R204" s="202">
        <f>(Q204*J204)+(Q210*J210)</f>
        <v>11.046754617414249</v>
      </c>
      <c r="S204" s="82">
        <f t="shared" ref="S204:S239" si="3">R204*0.96</f>
        <v>10.604884432717679</v>
      </c>
    </row>
    <row r="205" spans="1:19" x14ac:dyDescent="0.25">
      <c r="A205" s="192"/>
      <c r="B205" s="78" t="s">
        <v>54</v>
      </c>
      <c r="C205" s="80">
        <f>50.5/100</f>
        <v>0.505</v>
      </c>
      <c r="D205" s="46">
        <v>239.05216340000001</v>
      </c>
      <c r="E205" s="192"/>
      <c r="F205" s="192"/>
      <c r="G205" s="192"/>
      <c r="H205" s="192"/>
      <c r="I205" s="192"/>
      <c r="J205" s="192"/>
      <c r="K205" s="192"/>
      <c r="L205" s="192"/>
      <c r="M205" s="192"/>
      <c r="N205" s="192"/>
      <c r="O205" s="192"/>
      <c r="P205" s="189"/>
      <c r="Q205" s="189"/>
      <c r="R205" s="203"/>
      <c r="S205" s="82"/>
    </row>
    <row r="206" spans="1:19" x14ac:dyDescent="0.25">
      <c r="A206" s="192"/>
      <c r="B206" s="78" t="s">
        <v>55</v>
      </c>
      <c r="C206" s="80">
        <f>24/100</f>
        <v>0.24</v>
      </c>
      <c r="D206" s="46">
        <v>240.05381349999999</v>
      </c>
      <c r="E206" s="192"/>
      <c r="F206" s="192"/>
      <c r="G206" s="192"/>
      <c r="H206" s="192"/>
      <c r="I206" s="192"/>
      <c r="J206" s="192"/>
      <c r="K206" s="192"/>
      <c r="L206" s="192"/>
      <c r="M206" s="192"/>
      <c r="N206" s="192"/>
      <c r="O206" s="192"/>
      <c r="P206" s="189"/>
      <c r="Q206" s="189"/>
      <c r="R206" s="203"/>
      <c r="S206" s="82"/>
    </row>
    <row r="207" spans="1:19" x14ac:dyDescent="0.25">
      <c r="A207" s="192"/>
      <c r="B207" s="78" t="s">
        <v>56</v>
      </c>
      <c r="C207" s="80">
        <f>12.5/100</f>
        <v>0.125</v>
      </c>
      <c r="D207" s="76">
        <v>241.05685149999999</v>
      </c>
      <c r="E207" s="192"/>
      <c r="F207" s="192"/>
      <c r="G207" s="192"/>
      <c r="H207" s="192"/>
      <c r="I207" s="192"/>
      <c r="J207" s="192"/>
      <c r="K207" s="192"/>
      <c r="L207" s="192"/>
      <c r="M207" s="192"/>
      <c r="N207" s="192"/>
      <c r="O207" s="192"/>
      <c r="P207" s="189"/>
      <c r="Q207" s="189"/>
      <c r="R207" s="203"/>
      <c r="S207" s="82"/>
    </row>
    <row r="208" spans="1:19" x14ac:dyDescent="0.25">
      <c r="A208" s="192"/>
      <c r="B208" s="78" t="s">
        <v>57</v>
      </c>
      <c r="C208" s="80">
        <f>8.4/100</f>
        <v>8.4000000000000005E-2</v>
      </c>
      <c r="D208" s="76">
        <v>242.05874259999999</v>
      </c>
      <c r="E208" s="193"/>
      <c r="F208" s="192"/>
      <c r="G208" s="192"/>
      <c r="H208" s="192"/>
      <c r="I208" s="192"/>
      <c r="J208" s="192"/>
      <c r="K208" s="192"/>
      <c r="L208" s="192"/>
      <c r="M208" s="192"/>
      <c r="N208" s="192"/>
      <c r="O208" s="192"/>
      <c r="P208" s="189"/>
      <c r="Q208" s="189"/>
      <c r="R208" s="203"/>
      <c r="S208" s="82"/>
    </row>
    <row r="209" spans="1:19" x14ac:dyDescent="0.25">
      <c r="A209" s="193"/>
      <c r="B209" s="23" t="s">
        <v>66</v>
      </c>
      <c r="C209" s="23">
        <v>1</v>
      </c>
      <c r="D209" s="75">
        <v>15.999404928358301</v>
      </c>
      <c r="E209" s="23">
        <f>2*D209</f>
        <v>31.998809856716601</v>
      </c>
      <c r="F209" s="193"/>
      <c r="G209" s="193"/>
      <c r="H209" s="193"/>
      <c r="I209" s="192"/>
      <c r="J209" s="193"/>
      <c r="K209" s="192"/>
      <c r="L209" s="193"/>
      <c r="M209" s="193"/>
      <c r="N209" s="193"/>
      <c r="O209" s="193"/>
      <c r="P209" s="189"/>
      <c r="Q209" s="190"/>
      <c r="R209" s="203"/>
      <c r="S209" s="82"/>
    </row>
    <row r="210" spans="1:19" x14ac:dyDescent="0.25">
      <c r="A210" s="200" t="s">
        <v>254</v>
      </c>
      <c r="B210" s="80" t="s">
        <v>62</v>
      </c>
      <c r="C210" s="131">
        <v>7.1999999999999998E-3</v>
      </c>
      <c r="D210" s="80">
        <v>235.0439231</v>
      </c>
      <c r="E210" s="200">
        <f>(C210*D210)+(C211*D211)</f>
        <v>238.0291332116</v>
      </c>
      <c r="F210" s="188">
        <f>E210+E212</f>
        <v>270.02794306831657</v>
      </c>
      <c r="G210" s="188">
        <f>1-G204</f>
        <v>0.82000000000000006</v>
      </c>
      <c r="H210" s="188">
        <f>G210</f>
        <v>0.82000000000000006</v>
      </c>
      <c r="I210" s="192"/>
      <c r="J210" s="200">
        <v>10.96</v>
      </c>
      <c r="K210" s="192"/>
      <c r="L210" s="188">
        <f>K204*H210</f>
        <v>82</v>
      </c>
      <c r="M210" s="188">
        <f>L210/F210</f>
        <v>0.30367227579574663</v>
      </c>
      <c r="N210" s="188">
        <f>M210/(M210+M204)</f>
        <v>0.82093552500686473</v>
      </c>
      <c r="O210" s="188">
        <f>L210/J210</f>
        <v>7.4817518248175174</v>
      </c>
      <c r="P210" s="189"/>
      <c r="Q210" s="188">
        <f>O210/P204</f>
        <v>0.82649076517150399</v>
      </c>
      <c r="R210" s="203"/>
      <c r="S210" s="82"/>
    </row>
    <row r="211" spans="1:19" x14ac:dyDescent="0.25">
      <c r="A211" s="200"/>
      <c r="B211" s="80" t="s">
        <v>64</v>
      </c>
      <c r="C211" s="131">
        <f>1-C210</f>
        <v>0.99280000000000002</v>
      </c>
      <c r="D211" s="80">
        <v>238.05078259999999</v>
      </c>
      <c r="E211" s="200"/>
      <c r="F211" s="189"/>
      <c r="G211" s="189"/>
      <c r="H211" s="189"/>
      <c r="I211" s="192"/>
      <c r="J211" s="200"/>
      <c r="K211" s="192"/>
      <c r="L211" s="189"/>
      <c r="M211" s="189"/>
      <c r="N211" s="189"/>
      <c r="O211" s="189"/>
      <c r="P211" s="189"/>
      <c r="Q211" s="189"/>
      <c r="R211" s="203"/>
      <c r="S211" s="82"/>
    </row>
    <row r="212" spans="1:19" x14ac:dyDescent="0.25">
      <c r="A212" s="200"/>
      <c r="B212" s="80" t="s">
        <v>66</v>
      </c>
      <c r="C212" s="131">
        <v>1</v>
      </c>
      <c r="D212" s="75">
        <v>15.999404928358301</v>
      </c>
      <c r="E212" s="75">
        <f>(2*D212)</f>
        <v>31.998809856716601</v>
      </c>
      <c r="F212" s="190"/>
      <c r="G212" s="190"/>
      <c r="H212" s="190"/>
      <c r="I212" s="193"/>
      <c r="J212" s="200"/>
      <c r="K212" s="193"/>
      <c r="L212" s="190"/>
      <c r="M212" s="190"/>
      <c r="N212" s="190"/>
      <c r="O212" s="190"/>
      <c r="P212" s="190"/>
      <c r="Q212" s="190"/>
      <c r="R212" s="204"/>
      <c r="S212" s="82"/>
    </row>
    <row r="213" spans="1:19" ht="15.75" x14ac:dyDescent="0.25">
      <c r="A213" s="194" t="s">
        <v>255</v>
      </c>
      <c r="B213" s="195"/>
      <c r="C213" s="195"/>
      <c r="D213" s="195"/>
      <c r="E213" s="195"/>
      <c r="F213" s="195"/>
      <c r="G213" s="195"/>
      <c r="H213" s="195"/>
      <c r="I213" s="195"/>
      <c r="J213" s="195"/>
      <c r="K213" s="195"/>
      <c r="L213" s="195"/>
      <c r="M213" s="195"/>
      <c r="N213" s="195"/>
      <c r="O213" s="195"/>
      <c r="P213" s="195"/>
      <c r="Q213" s="195"/>
      <c r="R213" s="196"/>
      <c r="S213" s="82"/>
    </row>
    <row r="214" spans="1:19" x14ac:dyDescent="0.25">
      <c r="A214" s="191" t="s">
        <v>265</v>
      </c>
      <c r="B214" s="78" t="s">
        <v>53</v>
      </c>
      <c r="C214" s="80">
        <f>4.6/100</f>
        <v>4.5999999999999999E-2</v>
      </c>
      <c r="D214" s="46">
        <v>238.04955989999999</v>
      </c>
      <c r="E214" s="191">
        <f>(C214*D214)+(C215*D215)+(C216*D216)+(C217*D217)+(C218*D218)</f>
        <v>239.7495783283</v>
      </c>
      <c r="F214" s="191">
        <f>E214+E219</f>
        <v>271.74838818501661</v>
      </c>
      <c r="G214" s="191">
        <f>G204</f>
        <v>0.18</v>
      </c>
      <c r="H214" s="197">
        <f>G214*0.9921</f>
        <v>0.17857799999999999</v>
      </c>
      <c r="I214" s="200">
        <f>(H214*F214)+(H220*F220)+(H223*F223)</f>
        <v>271.06572500667437</v>
      </c>
      <c r="J214" s="191">
        <f>11.46</f>
        <v>11.46</v>
      </c>
      <c r="K214" s="200">
        <v>100</v>
      </c>
      <c r="L214" s="200">
        <f>K214*H214</f>
        <v>17.857799999999997</v>
      </c>
      <c r="M214" s="188">
        <f>L214/F214</f>
        <v>6.5714465205371261E-2</v>
      </c>
      <c r="N214" s="188">
        <f>M214/(M214+M220+M223)</f>
        <v>0.17800740748495544</v>
      </c>
      <c r="O214" s="200">
        <f>L214/J214</f>
        <v>1.5582722513089002</v>
      </c>
      <c r="P214" s="188">
        <f>O214+O220+O223</f>
        <v>9.0875309222704139</v>
      </c>
      <c r="Q214" s="200">
        <f>O214/P214</f>
        <v>0.17147366701004677</v>
      </c>
      <c r="R214" s="200">
        <f>(Q214*J214)+(Q220*J220)+(Q223*J223)</f>
        <v>11.004089103557753</v>
      </c>
      <c r="S214" s="82">
        <f t="shared" si="3"/>
        <v>10.563925539415443</v>
      </c>
    </row>
    <row r="215" spans="1:19" x14ac:dyDescent="0.25">
      <c r="A215" s="192"/>
      <c r="B215" s="78" t="s">
        <v>54</v>
      </c>
      <c r="C215" s="80">
        <f>50.5/100</f>
        <v>0.505</v>
      </c>
      <c r="D215" s="46">
        <v>239.05216340000001</v>
      </c>
      <c r="E215" s="192"/>
      <c r="F215" s="192"/>
      <c r="G215" s="192"/>
      <c r="H215" s="198"/>
      <c r="I215" s="200"/>
      <c r="J215" s="192"/>
      <c r="K215" s="200"/>
      <c r="L215" s="200"/>
      <c r="M215" s="189"/>
      <c r="N215" s="189"/>
      <c r="O215" s="200"/>
      <c r="P215" s="189"/>
      <c r="Q215" s="200"/>
      <c r="R215" s="200"/>
      <c r="S215" s="82"/>
    </row>
    <row r="216" spans="1:19" x14ac:dyDescent="0.25">
      <c r="A216" s="192"/>
      <c r="B216" s="78" t="s">
        <v>55</v>
      </c>
      <c r="C216" s="80">
        <f>24/100</f>
        <v>0.24</v>
      </c>
      <c r="D216" s="46">
        <v>240.05381349999999</v>
      </c>
      <c r="E216" s="192"/>
      <c r="F216" s="192"/>
      <c r="G216" s="192"/>
      <c r="H216" s="198"/>
      <c r="I216" s="200"/>
      <c r="J216" s="192"/>
      <c r="K216" s="200"/>
      <c r="L216" s="200"/>
      <c r="M216" s="189"/>
      <c r="N216" s="189"/>
      <c r="O216" s="200"/>
      <c r="P216" s="189"/>
      <c r="Q216" s="200"/>
      <c r="R216" s="200"/>
      <c r="S216" s="82"/>
    </row>
    <row r="217" spans="1:19" x14ac:dyDescent="0.25">
      <c r="A217" s="192"/>
      <c r="B217" s="78" t="s">
        <v>56</v>
      </c>
      <c r="C217" s="80">
        <f>12.5/100</f>
        <v>0.125</v>
      </c>
      <c r="D217" s="76">
        <v>241.05685149999999</v>
      </c>
      <c r="E217" s="192"/>
      <c r="F217" s="192"/>
      <c r="G217" s="192"/>
      <c r="H217" s="198"/>
      <c r="I217" s="200"/>
      <c r="J217" s="192"/>
      <c r="K217" s="200"/>
      <c r="L217" s="200"/>
      <c r="M217" s="189"/>
      <c r="N217" s="189"/>
      <c r="O217" s="200"/>
      <c r="P217" s="189"/>
      <c r="Q217" s="200"/>
      <c r="R217" s="200"/>
      <c r="S217" s="82"/>
    </row>
    <row r="218" spans="1:19" x14ac:dyDescent="0.25">
      <c r="A218" s="192"/>
      <c r="B218" s="78" t="s">
        <v>57</v>
      </c>
      <c r="C218" s="80">
        <f>8.4/100</f>
        <v>8.4000000000000005E-2</v>
      </c>
      <c r="D218" s="76">
        <v>242.05874259999999</v>
      </c>
      <c r="E218" s="193"/>
      <c r="F218" s="192"/>
      <c r="G218" s="192"/>
      <c r="H218" s="198"/>
      <c r="I218" s="200"/>
      <c r="J218" s="192"/>
      <c r="K218" s="200"/>
      <c r="L218" s="200"/>
      <c r="M218" s="189"/>
      <c r="N218" s="189"/>
      <c r="O218" s="200"/>
      <c r="P218" s="189"/>
      <c r="Q218" s="200"/>
      <c r="R218" s="200"/>
      <c r="S218" s="82"/>
    </row>
    <row r="219" spans="1:19" x14ac:dyDescent="0.25">
      <c r="A219" s="193"/>
      <c r="B219" s="23" t="s">
        <v>66</v>
      </c>
      <c r="C219" s="23">
        <v>1</v>
      </c>
      <c r="D219" s="75">
        <v>15.999404928358301</v>
      </c>
      <c r="E219" s="23">
        <f>2*D219</f>
        <v>31.998809856716601</v>
      </c>
      <c r="F219" s="193"/>
      <c r="G219" s="193"/>
      <c r="H219" s="199"/>
      <c r="I219" s="200"/>
      <c r="J219" s="193"/>
      <c r="K219" s="200"/>
      <c r="L219" s="200"/>
      <c r="M219" s="190"/>
      <c r="N219" s="190"/>
      <c r="O219" s="200"/>
      <c r="P219" s="189"/>
      <c r="Q219" s="200"/>
      <c r="R219" s="200"/>
      <c r="S219" s="82"/>
    </row>
    <row r="220" spans="1:19" x14ac:dyDescent="0.25">
      <c r="A220" s="200" t="s">
        <v>254</v>
      </c>
      <c r="B220" s="80" t="s">
        <v>62</v>
      </c>
      <c r="C220" s="131">
        <v>7.1999999999999998E-3</v>
      </c>
      <c r="D220" s="80">
        <v>235.0439231</v>
      </c>
      <c r="E220" s="200">
        <f>(C220*D220)+(C221*D221)</f>
        <v>238.0291332116</v>
      </c>
      <c r="F220" s="188">
        <f>E220+E222</f>
        <v>270.02794306831657</v>
      </c>
      <c r="G220" s="188">
        <f>G210</f>
        <v>0.82000000000000006</v>
      </c>
      <c r="H220" s="208">
        <f>G220*0.9921</f>
        <v>0.81352200000000008</v>
      </c>
      <c r="I220" s="200"/>
      <c r="J220" s="200">
        <v>10.96</v>
      </c>
      <c r="K220" s="200"/>
      <c r="L220" s="200">
        <f>K214*H220</f>
        <v>81.352200000000011</v>
      </c>
      <c r="M220" s="188">
        <f>L220/F220</f>
        <v>0.30127326481696026</v>
      </c>
      <c r="N220" s="188">
        <f>M220/(M214+M220+M223)</f>
        <v>0.8160893137758064</v>
      </c>
      <c r="O220" s="200">
        <f>L220/J220</f>
        <v>7.4226459854014601</v>
      </c>
      <c r="P220" s="189"/>
      <c r="Q220" s="200">
        <f>O220/P214</f>
        <v>0.81679457807522904</v>
      </c>
      <c r="R220" s="200"/>
      <c r="S220" s="82"/>
    </row>
    <row r="221" spans="1:19" x14ac:dyDescent="0.25">
      <c r="A221" s="200"/>
      <c r="B221" s="80" t="s">
        <v>64</v>
      </c>
      <c r="C221" s="131">
        <f>1-C220</f>
        <v>0.99280000000000002</v>
      </c>
      <c r="D221" s="80">
        <v>238.05078259999999</v>
      </c>
      <c r="E221" s="200"/>
      <c r="F221" s="189"/>
      <c r="G221" s="189"/>
      <c r="H221" s="210"/>
      <c r="I221" s="200"/>
      <c r="J221" s="200"/>
      <c r="K221" s="200"/>
      <c r="L221" s="200"/>
      <c r="M221" s="189"/>
      <c r="N221" s="189"/>
      <c r="O221" s="200"/>
      <c r="P221" s="189"/>
      <c r="Q221" s="200"/>
      <c r="R221" s="200"/>
      <c r="S221" s="82"/>
    </row>
    <row r="222" spans="1:19" x14ac:dyDescent="0.25">
      <c r="A222" s="200"/>
      <c r="B222" s="80" t="s">
        <v>66</v>
      </c>
      <c r="C222" s="131">
        <v>1</v>
      </c>
      <c r="D222" s="75">
        <v>15.999404928358301</v>
      </c>
      <c r="E222" s="75">
        <f>(2*D222)</f>
        <v>31.998809856716601</v>
      </c>
      <c r="F222" s="190"/>
      <c r="G222" s="190"/>
      <c r="H222" s="209"/>
      <c r="I222" s="200"/>
      <c r="J222" s="200"/>
      <c r="K222" s="200"/>
      <c r="L222" s="200"/>
      <c r="M222" s="190"/>
      <c r="N222" s="190"/>
      <c r="O222" s="200"/>
      <c r="P222" s="189"/>
      <c r="Q222" s="200"/>
      <c r="R222" s="200"/>
      <c r="S222" s="82"/>
    </row>
    <row r="223" spans="1:19" x14ac:dyDescent="0.25">
      <c r="A223" s="200" t="s">
        <v>127</v>
      </c>
      <c r="B223" s="80" t="s">
        <v>253</v>
      </c>
      <c r="C223" s="80">
        <v>1</v>
      </c>
      <c r="D223" s="4">
        <v>157.25209770539999</v>
      </c>
      <c r="E223" s="75">
        <f>2*D223</f>
        <v>314.50419541079998</v>
      </c>
      <c r="F223" s="188">
        <f>E223+E224</f>
        <v>362.50241019587486</v>
      </c>
      <c r="G223" s="188">
        <v>7.9000000000000008E-3</v>
      </c>
      <c r="H223" s="208">
        <v>7.9000000000000008E-3</v>
      </c>
      <c r="I223" s="200"/>
      <c r="J223" s="188">
        <v>7.41</v>
      </c>
      <c r="K223" s="200"/>
      <c r="L223" s="200">
        <f>K214*H223</f>
        <v>0.79</v>
      </c>
      <c r="M223" s="188">
        <f>L223/F223</f>
        <v>2.1792958550899862E-3</v>
      </c>
      <c r="N223" s="188">
        <f>M223/(M214+M220+M223)</f>
        <v>5.9032787392382146E-3</v>
      </c>
      <c r="O223" s="200">
        <f>L223/J223</f>
        <v>0.10661268556005399</v>
      </c>
      <c r="P223" s="189"/>
      <c r="Q223" s="200">
        <f>O223/P214</f>
        <v>1.1731754914724191E-2</v>
      </c>
      <c r="R223" s="200"/>
      <c r="S223" s="82"/>
    </row>
    <row r="224" spans="1:19" x14ac:dyDescent="0.25">
      <c r="A224" s="200"/>
      <c r="B224" s="80" t="s">
        <v>66</v>
      </c>
      <c r="C224" s="80">
        <v>1</v>
      </c>
      <c r="D224" s="80">
        <v>15.999404928358299</v>
      </c>
      <c r="E224" s="75">
        <f>(3*D224)</f>
        <v>47.998214785074893</v>
      </c>
      <c r="F224" s="190"/>
      <c r="G224" s="190"/>
      <c r="H224" s="209"/>
      <c r="I224" s="200"/>
      <c r="J224" s="190"/>
      <c r="K224" s="200"/>
      <c r="L224" s="200"/>
      <c r="M224" s="190"/>
      <c r="N224" s="190"/>
      <c r="O224" s="200"/>
      <c r="P224" s="190"/>
      <c r="Q224" s="200"/>
      <c r="R224" s="200"/>
      <c r="S224" s="82"/>
    </row>
    <row r="225" spans="1:19" x14ac:dyDescent="0.25">
      <c r="S225" s="82"/>
    </row>
    <row r="226" spans="1:19" ht="15.75" x14ac:dyDescent="0.25">
      <c r="A226" s="201" t="s">
        <v>238</v>
      </c>
      <c r="B226" s="201"/>
      <c r="C226" s="201"/>
      <c r="D226" s="201"/>
      <c r="E226" s="201"/>
      <c r="F226" s="201"/>
      <c r="G226" s="201"/>
      <c r="H226" s="201"/>
      <c r="I226" s="201"/>
      <c r="J226" s="201"/>
      <c r="K226" s="201"/>
      <c r="L226" s="201"/>
      <c r="M226" s="201"/>
      <c r="N226" s="201"/>
      <c r="O226" s="201"/>
      <c r="P226" s="201"/>
      <c r="Q226" s="201"/>
      <c r="R226" s="201"/>
      <c r="S226" s="82"/>
    </row>
    <row r="227" spans="1:19" ht="15.75" x14ac:dyDescent="0.25">
      <c r="A227" s="194" t="s">
        <v>263</v>
      </c>
      <c r="B227" s="195"/>
      <c r="C227" s="195"/>
      <c r="D227" s="195"/>
      <c r="E227" s="195"/>
      <c r="F227" s="195"/>
      <c r="G227" s="195"/>
      <c r="H227" s="195"/>
      <c r="I227" s="195"/>
      <c r="J227" s="195"/>
      <c r="K227" s="195"/>
      <c r="L227" s="195"/>
      <c r="M227" s="195"/>
      <c r="N227" s="195"/>
      <c r="O227" s="195"/>
      <c r="P227" s="195"/>
      <c r="Q227" s="195"/>
      <c r="R227" s="196"/>
      <c r="S227" s="82"/>
    </row>
    <row r="228" spans="1:19" ht="45" x14ac:dyDescent="0.25">
      <c r="A228" s="77" t="s">
        <v>266</v>
      </c>
      <c r="B228" s="77" t="s">
        <v>262</v>
      </c>
      <c r="C228" s="77" t="s">
        <v>261</v>
      </c>
      <c r="D228" s="77" t="s">
        <v>260</v>
      </c>
      <c r="E228" s="77" t="s">
        <v>259</v>
      </c>
      <c r="F228" s="77" t="s">
        <v>258</v>
      </c>
      <c r="G228" s="77" t="s">
        <v>264</v>
      </c>
      <c r="H228" s="77"/>
      <c r="I228" s="77" t="s">
        <v>272</v>
      </c>
      <c r="J228" s="77" t="s">
        <v>257</v>
      </c>
      <c r="K228" s="77" t="s">
        <v>269</v>
      </c>
      <c r="L228" s="77" t="s">
        <v>268</v>
      </c>
      <c r="M228" s="130" t="s">
        <v>352</v>
      </c>
      <c r="N228" s="130" t="s">
        <v>354</v>
      </c>
      <c r="O228" s="77" t="s">
        <v>267</v>
      </c>
      <c r="P228" s="77" t="s">
        <v>270</v>
      </c>
      <c r="Q228" s="77" t="s">
        <v>256</v>
      </c>
      <c r="R228" s="81" t="s">
        <v>271</v>
      </c>
      <c r="S228" s="82"/>
    </row>
    <row r="229" spans="1:19" x14ac:dyDescent="0.25">
      <c r="A229" s="191" t="s">
        <v>265</v>
      </c>
      <c r="B229" s="78" t="s">
        <v>53</v>
      </c>
      <c r="C229" s="80">
        <f>4.6/100</f>
        <v>4.5999999999999999E-2</v>
      </c>
      <c r="D229" s="46">
        <v>238.04955989999999</v>
      </c>
      <c r="E229" s="191">
        <f>(C229*D229)+(C230*D230)+(C231*D231)+(C232*D232)+(C233*D233)</f>
        <v>239.7495783283</v>
      </c>
      <c r="F229" s="191">
        <f>E229+E234</f>
        <v>271.74838818501661</v>
      </c>
      <c r="G229" s="191">
        <v>0.2</v>
      </c>
      <c r="H229" s="191">
        <f>G229</f>
        <v>0.2</v>
      </c>
      <c r="I229" s="191">
        <f>(G229*F229)+(G235*F235)</f>
        <v>270.37203209165659</v>
      </c>
      <c r="J229" s="191">
        <f>11.46</f>
        <v>11.46</v>
      </c>
      <c r="K229" s="191">
        <v>100</v>
      </c>
      <c r="L229" s="191">
        <f>K229*H229</f>
        <v>20</v>
      </c>
      <c r="M229" s="191">
        <f>L229/F229</f>
        <v>7.3597492642286585E-2</v>
      </c>
      <c r="N229" s="191">
        <f>M229/(M229+M235)</f>
        <v>0.19898575218033657</v>
      </c>
      <c r="O229" s="191">
        <f>L229/J229</f>
        <v>1.745200698080279</v>
      </c>
      <c r="P229" s="188">
        <f>O229+O235</f>
        <v>9.0444707710729784</v>
      </c>
      <c r="Q229" s="188">
        <f>O229/P229</f>
        <v>0.19295774647887326</v>
      </c>
      <c r="R229" s="202">
        <f>(Q229*J229)+(Q235*J235)</f>
        <v>11.056478873239438</v>
      </c>
      <c r="S229" s="82">
        <f t="shared" si="3"/>
        <v>10.61421971830986</v>
      </c>
    </row>
    <row r="230" spans="1:19" x14ac:dyDescent="0.25">
      <c r="A230" s="192"/>
      <c r="B230" s="78" t="s">
        <v>54</v>
      </c>
      <c r="C230" s="80">
        <f>50.5/100</f>
        <v>0.505</v>
      </c>
      <c r="D230" s="46">
        <v>239.05216340000001</v>
      </c>
      <c r="E230" s="192"/>
      <c r="F230" s="192"/>
      <c r="G230" s="192"/>
      <c r="H230" s="192"/>
      <c r="I230" s="192"/>
      <c r="J230" s="192"/>
      <c r="K230" s="192"/>
      <c r="L230" s="192"/>
      <c r="M230" s="192"/>
      <c r="N230" s="192"/>
      <c r="O230" s="192"/>
      <c r="P230" s="189"/>
      <c r="Q230" s="189"/>
      <c r="R230" s="203"/>
      <c r="S230" s="82"/>
    </row>
    <row r="231" spans="1:19" x14ac:dyDescent="0.25">
      <c r="A231" s="192"/>
      <c r="B231" s="78" t="s">
        <v>55</v>
      </c>
      <c r="C231" s="80">
        <f>24/100</f>
        <v>0.24</v>
      </c>
      <c r="D231" s="46">
        <v>240.05381349999999</v>
      </c>
      <c r="E231" s="192"/>
      <c r="F231" s="192"/>
      <c r="G231" s="192"/>
      <c r="H231" s="192"/>
      <c r="I231" s="192"/>
      <c r="J231" s="192"/>
      <c r="K231" s="192"/>
      <c r="L231" s="192"/>
      <c r="M231" s="192"/>
      <c r="N231" s="192"/>
      <c r="O231" s="192"/>
      <c r="P231" s="189"/>
      <c r="Q231" s="189"/>
      <c r="R231" s="203"/>
      <c r="S231" s="82"/>
    </row>
    <row r="232" spans="1:19" x14ac:dyDescent="0.25">
      <c r="A232" s="192"/>
      <c r="B232" s="78" t="s">
        <v>56</v>
      </c>
      <c r="C232" s="80">
        <f>12.5/100</f>
        <v>0.125</v>
      </c>
      <c r="D232" s="76">
        <v>241.05685149999999</v>
      </c>
      <c r="E232" s="192"/>
      <c r="F232" s="192"/>
      <c r="G232" s="192"/>
      <c r="H232" s="192"/>
      <c r="I232" s="192"/>
      <c r="J232" s="192"/>
      <c r="K232" s="192"/>
      <c r="L232" s="192"/>
      <c r="M232" s="192"/>
      <c r="N232" s="192"/>
      <c r="O232" s="192"/>
      <c r="P232" s="189"/>
      <c r="Q232" s="189"/>
      <c r="R232" s="203"/>
      <c r="S232" s="82"/>
    </row>
    <row r="233" spans="1:19" x14ac:dyDescent="0.25">
      <c r="A233" s="192"/>
      <c r="B233" s="78" t="s">
        <v>57</v>
      </c>
      <c r="C233" s="80">
        <f>8.4/100</f>
        <v>8.4000000000000005E-2</v>
      </c>
      <c r="D233" s="76">
        <v>242.05874259999999</v>
      </c>
      <c r="E233" s="193"/>
      <c r="F233" s="192"/>
      <c r="G233" s="192"/>
      <c r="H233" s="192"/>
      <c r="I233" s="192"/>
      <c r="J233" s="192"/>
      <c r="K233" s="192"/>
      <c r="L233" s="192"/>
      <c r="M233" s="192"/>
      <c r="N233" s="192"/>
      <c r="O233" s="192"/>
      <c r="P233" s="189"/>
      <c r="Q233" s="189"/>
      <c r="R233" s="203"/>
      <c r="S233" s="82"/>
    </row>
    <row r="234" spans="1:19" x14ac:dyDescent="0.25">
      <c r="A234" s="193"/>
      <c r="B234" s="23" t="s">
        <v>66</v>
      </c>
      <c r="C234" s="23">
        <v>1</v>
      </c>
      <c r="D234" s="75">
        <v>15.999404928358301</v>
      </c>
      <c r="E234" s="23">
        <f>2*D234</f>
        <v>31.998809856716601</v>
      </c>
      <c r="F234" s="193"/>
      <c r="G234" s="193"/>
      <c r="H234" s="193"/>
      <c r="I234" s="192"/>
      <c r="J234" s="193"/>
      <c r="K234" s="192"/>
      <c r="L234" s="193"/>
      <c r="M234" s="193"/>
      <c r="N234" s="193"/>
      <c r="O234" s="193"/>
      <c r="P234" s="189"/>
      <c r="Q234" s="190"/>
      <c r="R234" s="203"/>
      <c r="S234" s="82"/>
    </row>
    <row r="235" spans="1:19" x14ac:dyDescent="0.25">
      <c r="A235" s="200" t="s">
        <v>254</v>
      </c>
      <c r="B235" s="80" t="s">
        <v>62</v>
      </c>
      <c r="C235" s="131">
        <v>7.1999999999999998E-3</v>
      </c>
      <c r="D235" s="80">
        <v>235.0439231</v>
      </c>
      <c r="E235" s="200">
        <f>(C235*D235)+(C236*D236)</f>
        <v>238.0291332116</v>
      </c>
      <c r="F235" s="188">
        <f>E235+E237</f>
        <v>270.02794306831657</v>
      </c>
      <c r="G235" s="188">
        <f>1-G229</f>
        <v>0.8</v>
      </c>
      <c r="H235" s="188">
        <f>G235</f>
        <v>0.8</v>
      </c>
      <c r="I235" s="192"/>
      <c r="J235" s="200">
        <v>10.96</v>
      </c>
      <c r="K235" s="192"/>
      <c r="L235" s="188">
        <f>K229*H235</f>
        <v>80</v>
      </c>
      <c r="M235" s="188">
        <f>L235/F235</f>
        <v>0.29626563492267965</v>
      </c>
      <c r="N235" s="188">
        <f>M235/(M235+M229)</f>
        <v>0.80101424781966335</v>
      </c>
      <c r="O235" s="188">
        <f>L235/J235</f>
        <v>7.2992700729926998</v>
      </c>
      <c r="P235" s="189"/>
      <c r="Q235" s="188">
        <f>O235/P229</f>
        <v>0.8070422535211268</v>
      </c>
      <c r="R235" s="203"/>
      <c r="S235" s="82"/>
    </row>
    <row r="236" spans="1:19" x14ac:dyDescent="0.25">
      <c r="A236" s="200"/>
      <c r="B236" s="80" t="s">
        <v>64</v>
      </c>
      <c r="C236" s="131">
        <f>1-C235</f>
        <v>0.99280000000000002</v>
      </c>
      <c r="D236" s="80">
        <v>238.05078259999999</v>
      </c>
      <c r="E236" s="200"/>
      <c r="F236" s="189"/>
      <c r="G236" s="189"/>
      <c r="H236" s="189"/>
      <c r="I236" s="192"/>
      <c r="J236" s="200"/>
      <c r="K236" s="192"/>
      <c r="L236" s="189"/>
      <c r="M236" s="189"/>
      <c r="N236" s="189"/>
      <c r="O236" s="189"/>
      <c r="P236" s="189"/>
      <c r="Q236" s="189"/>
      <c r="R236" s="203"/>
      <c r="S236" s="82"/>
    </row>
    <row r="237" spans="1:19" x14ac:dyDescent="0.25">
      <c r="A237" s="200"/>
      <c r="B237" s="80" t="s">
        <v>66</v>
      </c>
      <c r="C237" s="131">
        <v>1</v>
      </c>
      <c r="D237" s="75">
        <v>15.999404928358301</v>
      </c>
      <c r="E237" s="75">
        <f>(2*D237)</f>
        <v>31.998809856716601</v>
      </c>
      <c r="F237" s="190"/>
      <c r="G237" s="190"/>
      <c r="H237" s="190"/>
      <c r="I237" s="193"/>
      <c r="J237" s="200"/>
      <c r="K237" s="193"/>
      <c r="L237" s="190"/>
      <c r="M237" s="190"/>
      <c r="N237" s="190"/>
      <c r="O237" s="190"/>
      <c r="P237" s="190"/>
      <c r="Q237" s="190"/>
      <c r="R237" s="204"/>
      <c r="S237" s="82"/>
    </row>
    <row r="238" spans="1:19" ht="15.75" x14ac:dyDescent="0.25">
      <c r="A238" s="194" t="s">
        <v>255</v>
      </c>
      <c r="B238" s="195"/>
      <c r="C238" s="195"/>
      <c r="D238" s="195"/>
      <c r="E238" s="195"/>
      <c r="F238" s="195"/>
      <c r="G238" s="195"/>
      <c r="H238" s="195"/>
      <c r="I238" s="195"/>
      <c r="J238" s="195"/>
      <c r="K238" s="195"/>
      <c r="L238" s="195"/>
      <c r="M238" s="195"/>
      <c r="N238" s="195"/>
      <c r="O238" s="195"/>
      <c r="P238" s="195"/>
      <c r="Q238" s="195"/>
      <c r="R238" s="196"/>
      <c r="S238" s="82"/>
    </row>
    <row r="239" spans="1:19" x14ac:dyDescent="0.25">
      <c r="A239" s="191" t="s">
        <v>265</v>
      </c>
      <c r="B239" s="78" t="s">
        <v>53</v>
      </c>
      <c r="C239" s="80">
        <f>4.6/100</f>
        <v>4.5999999999999999E-2</v>
      </c>
      <c r="D239" s="46">
        <v>238.04955989999999</v>
      </c>
      <c r="E239" s="191">
        <f>(C239*D239)+(C240*D240)+(C241*D241)+(C242*D242)+(C243*D243)</f>
        <v>239.7495783283</v>
      </c>
      <c r="F239" s="191">
        <f>E239+E244</f>
        <v>271.74838818501661</v>
      </c>
      <c r="G239" s="191">
        <f>G229</f>
        <v>0.2</v>
      </c>
      <c r="H239" s="197">
        <f>G239*0.9921</f>
        <v>0.19842000000000001</v>
      </c>
      <c r="I239" s="200">
        <f>(H239*F239)+(H245*F245)+(H248*F248)</f>
        <v>271.09986207867996</v>
      </c>
      <c r="J239" s="191">
        <f>11.46</f>
        <v>11.46</v>
      </c>
      <c r="K239" s="200">
        <v>100</v>
      </c>
      <c r="L239" s="200">
        <f>K239*H239</f>
        <v>19.842000000000002</v>
      </c>
      <c r="M239" s="188">
        <f>L239/F239</f>
        <v>7.3016072450412528E-2</v>
      </c>
      <c r="N239" s="188">
        <f>M239/(M239+M245+M248)</f>
        <v>0.19781093577373632</v>
      </c>
      <c r="O239" s="200">
        <f>L239/J239</f>
        <v>1.7314136125654451</v>
      </c>
      <c r="P239" s="188">
        <f>O239+O245+O248</f>
        <v>9.079632137541557</v>
      </c>
      <c r="Q239" s="200">
        <f>O239/P239</f>
        <v>0.19069204416405472</v>
      </c>
      <c r="R239" s="200">
        <f>(Q239*J239)+(Q245*J245)+(Q248*J248)</f>
        <v>11.013662060881297</v>
      </c>
      <c r="S239" s="82">
        <f t="shared" si="3"/>
        <v>10.573115578446044</v>
      </c>
    </row>
    <row r="240" spans="1:19" x14ac:dyDescent="0.25">
      <c r="A240" s="192"/>
      <c r="B240" s="78" t="s">
        <v>54</v>
      </c>
      <c r="C240" s="80">
        <f>50.5/100</f>
        <v>0.505</v>
      </c>
      <c r="D240" s="46">
        <v>239.05216340000001</v>
      </c>
      <c r="E240" s="192"/>
      <c r="F240" s="192"/>
      <c r="G240" s="192"/>
      <c r="H240" s="198"/>
      <c r="I240" s="200"/>
      <c r="J240" s="192"/>
      <c r="K240" s="200"/>
      <c r="L240" s="200"/>
      <c r="M240" s="189"/>
      <c r="N240" s="189"/>
      <c r="O240" s="200"/>
      <c r="P240" s="189"/>
      <c r="Q240" s="200"/>
      <c r="R240" s="200"/>
    </row>
    <row r="241" spans="1:18" x14ac:dyDescent="0.25">
      <c r="A241" s="192"/>
      <c r="B241" s="78" t="s">
        <v>55</v>
      </c>
      <c r="C241" s="80">
        <f>24/100</f>
        <v>0.24</v>
      </c>
      <c r="D241" s="46">
        <v>240.05381349999999</v>
      </c>
      <c r="E241" s="192"/>
      <c r="F241" s="192"/>
      <c r="G241" s="192"/>
      <c r="H241" s="198"/>
      <c r="I241" s="200"/>
      <c r="J241" s="192"/>
      <c r="K241" s="200"/>
      <c r="L241" s="200"/>
      <c r="M241" s="189"/>
      <c r="N241" s="189"/>
      <c r="O241" s="200"/>
      <c r="P241" s="189"/>
      <c r="Q241" s="200"/>
      <c r="R241" s="200"/>
    </row>
    <row r="242" spans="1:18" x14ac:dyDescent="0.25">
      <c r="A242" s="192"/>
      <c r="B242" s="78" t="s">
        <v>56</v>
      </c>
      <c r="C242" s="80">
        <f>12.5/100</f>
        <v>0.125</v>
      </c>
      <c r="D242" s="76">
        <v>241.05685149999999</v>
      </c>
      <c r="E242" s="192"/>
      <c r="F242" s="192"/>
      <c r="G242" s="192"/>
      <c r="H242" s="198"/>
      <c r="I242" s="200"/>
      <c r="J242" s="192"/>
      <c r="K242" s="200"/>
      <c r="L242" s="200"/>
      <c r="M242" s="189"/>
      <c r="N242" s="189"/>
      <c r="O242" s="200"/>
      <c r="P242" s="189"/>
      <c r="Q242" s="200"/>
      <c r="R242" s="200"/>
    </row>
    <row r="243" spans="1:18" x14ac:dyDescent="0.25">
      <c r="A243" s="192"/>
      <c r="B243" s="78" t="s">
        <v>57</v>
      </c>
      <c r="C243" s="80">
        <f>8.4/100</f>
        <v>8.4000000000000005E-2</v>
      </c>
      <c r="D243" s="76">
        <v>242.05874259999999</v>
      </c>
      <c r="E243" s="193"/>
      <c r="F243" s="192"/>
      <c r="G243" s="192"/>
      <c r="H243" s="198"/>
      <c r="I243" s="200"/>
      <c r="J243" s="192"/>
      <c r="K243" s="200"/>
      <c r="L243" s="200"/>
      <c r="M243" s="189"/>
      <c r="N243" s="189"/>
      <c r="O243" s="200"/>
      <c r="P243" s="189"/>
      <c r="Q243" s="200"/>
      <c r="R243" s="200"/>
    </row>
    <row r="244" spans="1:18" x14ac:dyDescent="0.25">
      <c r="A244" s="193"/>
      <c r="B244" s="23" t="s">
        <v>66</v>
      </c>
      <c r="C244" s="23">
        <v>1</v>
      </c>
      <c r="D244" s="75">
        <v>15.999404928358301</v>
      </c>
      <c r="E244" s="23">
        <f>2*D244</f>
        <v>31.998809856716601</v>
      </c>
      <c r="F244" s="193"/>
      <c r="G244" s="193"/>
      <c r="H244" s="199"/>
      <c r="I244" s="200"/>
      <c r="J244" s="193"/>
      <c r="K244" s="200"/>
      <c r="L244" s="200"/>
      <c r="M244" s="190"/>
      <c r="N244" s="190"/>
      <c r="O244" s="200"/>
      <c r="P244" s="189"/>
      <c r="Q244" s="200"/>
      <c r="R244" s="200"/>
    </row>
    <row r="245" spans="1:18" x14ac:dyDescent="0.25">
      <c r="A245" s="200" t="s">
        <v>254</v>
      </c>
      <c r="B245" s="80" t="s">
        <v>62</v>
      </c>
      <c r="C245" s="131">
        <v>7.1999999999999998E-3</v>
      </c>
      <c r="D245" s="80">
        <v>235.0439231</v>
      </c>
      <c r="E245" s="200">
        <f>(C245*D245)+(C246*D246)</f>
        <v>238.0291332116</v>
      </c>
      <c r="F245" s="188">
        <f>E245+E247</f>
        <v>270.02794306831657</v>
      </c>
      <c r="G245" s="188">
        <f>G235</f>
        <v>0.8</v>
      </c>
      <c r="H245" s="208">
        <f>G245*0.9921</f>
        <v>0.79368000000000005</v>
      </c>
      <c r="I245" s="200"/>
      <c r="J245" s="200">
        <v>10.96</v>
      </c>
      <c r="K245" s="200"/>
      <c r="L245" s="200">
        <f>K239*H245</f>
        <v>79.368000000000009</v>
      </c>
      <c r="M245" s="188">
        <f>L245/F245</f>
        <v>0.29392513640679052</v>
      </c>
      <c r="N245" s="188">
        <f>M245/(M239+M245+M248)</f>
        <v>0.79628504148228585</v>
      </c>
      <c r="O245" s="200">
        <f>L245/J245</f>
        <v>7.2416058394160583</v>
      </c>
      <c r="P245" s="189"/>
      <c r="Q245" s="200">
        <f>O245/P239</f>
        <v>0.797565994934331</v>
      </c>
      <c r="R245" s="200"/>
    </row>
    <row r="246" spans="1:18" x14ac:dyDescent="0.25">
      <c r="A246" s="200"/>
      <c r="B246" s="80" t="s">
        <v>64</v>
      </c>
      <c r="C246" s="131">
        <f>1-C245</f>
        <v>0.99280000000000002</v>
      </c>
      <c r="D246" s="80">
        <v>238.05078259999999</v>
      </c>
      <c r="E246" s="200"/>
      <c r="F246" s="189"/>
      <c r="G246" s="189"/>
      <c r="H246" s="210"/>
      <c r="I246" s="200"/>
      <c r="J246" s="200"/>
      <c r="K246" s="200"/>
      <c r="L246" s="200"/>
      <c r="M246" s="189"/>
      <c r="N246" s="189"/>
      <c r="O246" s="200"/>
      <c r="P246" s="189"/>
      <c r="Q246" s="200"/>
      <c r="R246" s="200"/>
    </row>
    <row r="247" spans="1:18" x14ac:dyDescent="0.25">
      <c r="A247" s="200"/>
      <c r="B247" s="80" t="s">
        <v>66</v>
      </c>
      <c r="C247" s="131">
        <v>1</v>
      </c>
      <c r="D247" s="75">
        <v>15.999404928358301</v>
      </c>
      <c r="E247" s="75">
        <f>(2*D247)</f>
        <v>31.998809856716601</v>
      </c>
      <c r="F247" s="190"/>
      <c r="G247" s="190"/>
      <c r="H247" s="209"/>
      <c r="I247" s="200"/>
      <c r="J247" s="200"/>
      <c r="K247" s="200"/>
      <c r="L247" s="200"/>
      <c r="M247" s="190"/>
      <c r="N247" s="190"/>
      <c r="O247" s="200"/>
      <c r="P247" s="189"/>
      <c r="Q247" s="200"/>
      <c r="R247" s="200"/>
    </row>
    <row r="248" spans="1:18" x14ac:dyDescent="0.25">
      <c r="A248" s="200" t="s">
        <v>127</v>
      </c>
      <c r="B248" s="80" t="s">
        <v>253</v>
      </c>
      <c r="C248" s="80">
        <v>1</v>
      </c>
      <c r="D248" s="4">
        <v>157.25209770539999</v>
      </c>
      <c r="E248" s="75">
        <f>2*D248</f>
        <v>314.50419541079998</v>
      </c>
      <c r="F248" s="188">
        <f>E248+E249</f>
        <v>362.50241019587486</v>
      </c>
      <c r="G248" s="188">
        <v>7.9000000000000008E-3</v>
      </c>
      <c r="H248" s="208">
        <v>7.9000000000000008E-3</v>
      </c>
      <c r="I248" s="200"/>
      <c r="J248" s="188">
        <v>7.41</v>
      </c>
      <c r="K248" s="200"/>
      <c r="L248" s="200">
        <f>K239*H248</f>
        <v>0.79</v>
      </c>
      <c r="M248" s="188">
        <f>L248/F248</f>
        <v>2.1792958550899862E-3</v>
      </c>
      <c r="N248" s="188">
        <f>M248/(M239+M245+M248)</f>
        <v>5.9040227439779176E-3</v>
      </c>
      <c r="O248" s="200">
        <f>L248/J248</f>
        <v>0.10661268556005399</v>
      </c>
      <c r="P248" s="189"/>
      <c r="Q248" s="200">
        <f>O248/P239</f>
        <v>1.174196090161434E-2</v>
      </c>
      <c r="R248" s="200"/>
    </row>
    <row r="249" spans="1:18" x14ac:dyDescent="0.25">
      <c r="A249" s="200"/>
      <c r="B249" s="80" t="s">
        <v>66</v>
      </c>
      <c r="C249" s="80">
        <v>1</v>
      </c>
      <c r="D249" s="80">
        <v>15.999404928358299</v>
      </c>
      <c r="E249" s="75">
        <f>(3*D249)</f>
        <v>47.998214785074893</v>
      </c>
      <c r="F249" s="190"/>
      <c r="G249" s="190"/>
      <c r="H249" s="209"/>
      <c r="I249" s="200"/>
      <c r="J249" s="190"/>
      <c r="K249" s="200"/>
      <c r="L249" s="200"/>
      <c r="M249" s="190"/>
      <c r="N249" s="190"/>
      <c r="O249" s="200"/>
      <c r="P249" s="190"/>
      <c r="Q249" s="200"/>
      <c r="R249" s="200"/>
    </row>
    <row r="258" spans="1:22" ht="15.75" x14ac:dyDescent="0.25">
      <c r="A258" s="126" t="s">
        <v>235</v>
      </c>
      <c r="B258" s="126"/>
      <c r="C258" s="126"/>
      <c r="D258" s="126"/>
      <c r="E258" s="126"/>
      <c r="F258" s="126"/>
      <c r="G258" s="126"/>
      <c r="H258" s="126"/>
      <c r="I258" s="126"/>
      <c r="J258" s="126"/>
      <c r="K258" s="126"/>
      <c r="L258" s="126"/>
      <c r="M258" s="126"/>
      <c r="N258" s="126"/>
      <c r="O258" s="126"/>
      <c r="P258" s="126"/>
      <c r="Q258" s="126"/>
      <c r="R258" s="126"/>
    </row>
    <row r="259" spans="1:22" ht="15.75" x14ac:dyDescent="0.25">
      <c r="A259" s="123" t="s">
        <v>263</v>
      </c>
      <c r="B259" s="124"/>
      <c r="C259" s="124"/>
      <c r="D259" s="124"/>
      <c r="E259" s="124"/>
      <c r="F259" s="124"/>
      <c r="G259" s="124"/>
      <c r="H259" s="124"/>
      <c r="I259" s="124"/>
      <c r="J259" s="124"/>
      <c r="K259" s="124"/>
      <c r="L259" s="124"/>
      <c r="M259" s="124"/>
      <c r="N259" s="124"/>
      <c r="O259" s="124"/>
      <c r="P259" s="124"/>
      <c r="Q259" s="124"/>
      <c r="R259" s="124"/>
      <c r="S259" s="124"/>
      <c r="T259" s="125"/>
    </row>
    <row r="260" spans="1:22" ht="75" x14ac:dyDescent="0.25">
      <c r="A260" s="118" t="s">
        <v>266</v>
      </c>
      <c r="B260" s="118" t="s">
        <v>262</v>
      </c>
      <c r="C260" s="118" t="s">
        <v>261</v>
      </c>
      <c r="D260" s="118" t="s">
        <v>353</v>
      </c>
      <c r="E260" s="118" t="s">
        <v>260</v>
      </c>
      <c r="F260" s="118" t="s">
        <v>259</v>
      </c>
      <c r="G260" s="118" t="s">
        <v>258</v>
      </c>
      <c r="H260" s="118" t="s">
        <v>264</v>
      </c>
      <c r="I260" s="118"/>
      <c r="J260" s="118" t="s">
        <v>272</v>
      </c>
      <c r="K260" s="118" t="s">
        <v>257</v>
      </c>
      <c r="L260" s="118" t="s">
        <v>269</v>
      </c>
      <c r="M260" s="130"/>
      <c r="N260" s="130"/>
      <c r="O260" s="118" t="s">
        <v>268</v>
      </c>
      <c r="P260" s="118" t="s">
        <v>352</v>
      </c>
      <c r="Q260" s="118" t="s">
        <v>354</v>
      </c>
      <c r="R260" s="118" t="s">
        <v>267</v>
      </c>
      <c r="S260" s="118" t="s">
        <v>270</v>
      </c>
      <c r="T260" s="118" t="s">
        <v>256</v>
      </c>
      <c r="U260" s="81" t="s">
        <v>271</v>
      </c>
    </row>
    <row r="261" spans="1:22" x14ac:dyDescent="0.25">
      <c r="A261" s="191" t="s">
        <v>265</v>
      </c>
      <c r="B261" s="119" t="s">
        <v>53</v>
      </c>
      <c r="C261" s="120">
        <f>4.6/100</f>
        <v>4.5999999999999999E-2</v>
      </c>
      <c r="D261" s="120">
        <f>C261*$F$261/E261</f>
        <v>4.6328506583816625E-2</v>
      </c>
      <c r="E261" s="46">
        <v>238.04955989999999</v>
      </c>
      <c r="F261" s="191">
        <f>(C261*E261)+(C262*E262)+(C263*E263)+(C264*E264)+(C265*E265)</f>
        <v>239.7495783283</v>
      </c>
      <c r="G261" s="191">
        <f>F261+F266</f>
        <v>271.74838818501661</v>
      </c>
      <c r="H261" s="191">
        <v>0.2</v>
      </c>
      <c r="I261" s="191">
        <f>H261</f>
        <v>0.2</v>
      </c>
      <c r="J261" s="191">
        <f>(H261*G261)+(H267*G267)</f>
        <v>270.37203209165659</v>
      </c>
      <c r="K261" s="191">
        <f>11.46</f>
        <v>11.46</v>
      </c>
      <c r="L261" s="191">
        <v>100</v>
      </c>
      <c r="M261" s="132"/>
      <c r="N261" s="132"/>
      <c r="O261" s="191">
        <f>L261*I261</f>
        <v>20</v>
      </c>
      <c r="P261" s="191">
        <f>O261/G261</f>
        <v>7.3597492642286585E-2</v>
      </c>
      <c r="Q261" s="191">
        <f>P261/(P261+P267)</f>
        <v>0.19898575218033657</v>
      </c>
      <c r="R261" s="191">
        <f>O261/K261</f>
        <v>1.745200698080279</v>
      </c>
      <c r="S261" s="188">
        <f>R261+R267</f>
        <v>9.0444707710729784</v>
      </c>
      <c r="T261" s="188">
        <f>R261/S261</f>
        <v>0.19295774647887326</v>
      </c>
      <c r="U261" s="202">
        <f>(T261*K261)+(T267*K267)</f>
        <v>11.056478873239438</v>
      </c>
      <c r="V261">
        <f>U261*0.96</f>
        <v>10.61421971830986</v>
      </c>
    </row>
    <row r="262" spans="1:22" x14ac:dyDescent="0.25">
      <c r="A262" s="192"/>
      <c r="B262" s="119" t="s">
        <v>54</v>
      </c>
      <c r="C262" s="120">
        <f>50.5/100</f>
        <v>0.505</v>
      </c>
      <c r="D262" s="120">
        <f>C262*$F$261/E262</f>
        <v>0.50647329576014832</v>
      </c>
      <c r="E262" s="46">
        <v>239.05216340000001</v>
      </c>
      <c r="F262" s="192"/>
      <c r="G262" s="192"/>
      <c r="H262" s="192"/>
      <c r="I262" s="192"/>
      <c r="J262" s="192"/>
      <c r="K262" s="192"/>
      <c r="L262" s="192"/>
      <c r="M262" s="133"/>
      <c r="N262" s="133"/>
      <c r="O262" s="192"/>
      <c r="P262" s="192"/>
      <c r="Q262" s="192"/>
      <c r="R262" s="192"/>
      <c r="S262" s="189"/>
      <c r="T262" s="189"/>
      <c r="U262" s="203"/>
    </row>
    <row r="263" spans="1:22" x14ac:dyDescent="0.25">
      <c r="A263" s="192"/>
      <c r="B263" s="119" t="s">
        <v>55</v>
      </c>
      <c r="C263" s="120">
        <f>24/100</f>
        <v>0.24</v>
      </c>
      <c r="D263" s="120">
        <f t="shared" ref="D263:D265" si="4">C263*$F$261/E263</f>
        <v>0.23969583302950528</v>
      </c>
      <c r="E263" s="46">
        <v>240.05381349999999</v>
      </c>
      <c r="F263" s="192"/>
      <c r="G263" s="192"/>
      <c r="H263" s="192"/>
      <c r="I263" s="192"/>
      <c r="J263" s="192"/>
      <c r="K263" s="192"/>
      <c r="L263" s="192"/>
      <c r="M263" s="133"/>
      <c r="N263" s="133"/>
      <c r="O263" s="192"/>
      <c r="P263" s="192"/>
      <c r="Q263" s="192"/>
      <c r="R263" s="192"/>
      <c r="S263" s="189"/>
      <c r="T263" s="189"/>
      <c r="U263" s="203"/>
    </row>
    <row r="264" spans="1:22" x14ac:dyDescent="0.25">
      <c r="A264" s="192"/>
      <c r="B264" s="119" t="s">
        <v>56</v>
      </c>
      <c r="C264" s="120">
        <f>12.5/100</f>
        <v>0.125</v>
      </c>
      <c r="D264" s="120">
        <f t="shared" si="4"/>
        <v>0.12432211366138042</v>
      </c>
      <c r="E264" s="76">
        <v>241.05685149999999</v>
      </c>
      <c r="F264" s="192"/>
      <c r="G264" s="192"/>
      <c r="H264" s="192"/>
      <c r="I264" s="192"/>
      <c r="J264" s="192"/>
      <c r="K264" s="192"/>
      <c r="L264" s="192"/>
      <c r="M264" s="133"/>
      <c r="N264" s="133"/>
      <c r="O264" s="192"/>
      <c r="P264" s="192"/>
      <c r="Q264" s="192"/>
      <c r="R264" s="192"/>
      <c r="S264" s="189"/>
      <c r="T264" s="189"/>
      <c r="U264" s="203"/>
    </row>
    <row r="265" spans="1:22" x14ac:dyDescent="0.25">
      <c r="A265" s="192"/>
      <c r="B265" s="119" t="s">
        <v>57</v>
      </c>
      <c r="C265" s="120">
        <f>8.4/100</f>
        <v>8.4000000000000005E-2</v>
      </c>
      <c r="D265" s="120">
        <f t="shared" si="4"/>
        <v>8.3198666419814757E-2</v>
      </c>
      <c r="E265" s="76">
        <v>242.05874259999999</v>
      </c>
      <c r="F265" s="193"/>
      <c r="G265" s="192"/>
      <c r="H265" s="192"/>
      <c r="I265" s="192"/>
      <c r="J265" s="192"/>
      <c r="K265" s="192"/>
      <c r="L265" s="192"/>
      <c r="M265" s="133"/>
      <c r="N265" s="133"/>
      <c r="O265" s="192"/>
      <c r="P265" s="192"/>
      <c r="Q265" s="192"/>
      <c r="R265" s="192"/>
      <c r="S265" s="189"/>
      <c r="T265" s="189"/>
      <c r="U265" s="203"/>
    </row>
    <row r="266" spans="1:22" x14ac:dyDescent="0.25">
      <c r="A266" s="193"/>
      <c r="B266" s="23" t="s">
        <v>66</v>
      </c>
      <c r="C266" s="23">
        <v>1</v>
      </c>
      <c r="D266" s="23">
        <v>2</v>
      </c>
      <c r="E266" s="75">
        <v>15.999404928358301</v>
      </c>
      <c r="F266" s="23">
        <f>2*E266</f>
        <v>31.998809856716601</v>
      </c>
      <c r="G266" s="193"/>
      <c r="H266" s="193"/>
      <c r="I266" s="193"/>
      <c r="J266" s="192"/>
      <c r="K266" s="193"/>
      <c r="L266" s="192"/>
      <c r="M266" s="133"/>
      <c r="N266" s="133"/>
      <c r="O266" s="193"/>
      <c r="P266" s="193"/>
      <c r="Q266" s="193"/>
      <c r="R266" s="193"/>
      <c r="S266" s="189"/>
      <c r="T266" s="190"/>
      <c r="U266" s="203"/>
    </row>
    <row r="267" spans="1:22" x14ac:dyDescent="0.25">
      <c r="A267" s="200" t="s">
        <v>254</v>
      </c>
      <c r="B267" s="120" t="s">
        <v>62</v>
      </c>
      <c r="C267" s="120">
        <v>7.1999999999999998E-3</v>
      </c>
      <c r="D267" s="120">
        <f>C267*$F$267/E267</f>
        <v>7.291444664980236E-3</v>
      </c>
      <c r="E267" s="120">
        <v>235.0439231</v>
      </c>
      <c r="F267" s="200">
        <f>(C267*E267)+(C268*E268)</f>
        <v>238.0291332116</v>
      </c>
      <c r="G267" s="188">
        <f>F267+F269</f>
        <v>270.02794306831657</v>
      </c>
      <c r="H267" s="188">
        <f>1-H261</f>
        <v>0.8</v>
      </c>
      <c r="I267" s="188">
        <f>H267</f>
        <v>0.8</v>
      </c>
      <c r="J267" s="192"/>
      <c r="K267" s="200">
        <v>10.96</v>
      </c>
      <c r="L267" s="192"/>
      <c r="M267" s="133"/>
      <c r="N267" s="133"/>
      <c r="O267" s="188">
        <f>L261*I267</f>
        <v>80</v>
      </c>
      <c r="P267" s="188">
        <f>O267/G267</f>
        <v>0.29626563492267965</v>
      </c>
      <c r="Q267" s="191">
        <f>P267/(P267+P261)</f>
        <v>0.80101424781966335</v>
      </c>
      <c r="R267" s="188">
        <f>O267/K267</f>
        <v>7.2992700729926998</v>
      </c>
      <c r="S267" s="189"/>
      <c r="T267" s="188">
        <f>R267/S261</f>
        <v>0.8070422535211268</v>
      </c>
      <c r="U267" s="203"/>
    </row>
    <row r="268" spans="1:22" x14ac:dyDescent="0.25">
      <c r="A268" s="200"/>
      <c r="B268" s="120" t="s">
        <v>64</v>
      </c>
      <c r="C268" s="120">
        <f>1-C267</f>
        <v>0.99280000000000002</v>
      </c>
      <c r="D268" s="120">
        <f>C268*$F$267/E268</f>
        <v>0.99270971038797373</v>
      </c>
      <c r="E268" s="120">
        <v>238.05078259999999</v>
      </c>
      <c r="F268" s="200"/>
      <c r="G268" s="189"/>
      <c r="H268" s="189"/>
      <c r="I268" s="189"/>
      <c r="J268" s="192"/>
      <c r="K268" s="200"/>
      <c r="L268" s="192"/>
      <c r="M268" s="133"/>
      <c r="N268" s="133"/>
      <c r="O268" s="189"/>
      <c r="P268" s="189"/>
      <c r="Q268" s="192"/>
      <c r="R268" s="189"/>
      <c r="S268" s="189"/>
      <c r="T268" s="189"/>
      <c r="U268" s="203"/>
    </row>
    <row r="269" spans="1:22" x14ac:dyDescent="0.25">
      <c r="A269" s="200"/>
      <c r="B269" s="120" t="s">
        <v>66</v>
      </c>
      <c r="C269" s="120">
        <v>1</v>
      </c>
      <c r="D269" s="120">
        <v>2</v>
      </c>
      <c r="E269" s="75">
        <v>15.999404928358301</v>
      </c>
      <c r="F269" s="75">
        <f>(2*E269)</f>
        <v>31.998809856716601</v>
      </c>
      <c r="G269" s="190"/>
      <c r="H269" s="190"/>
      <c r="I269" s="190"/>
      <c r="J269" s="193"/>
      <c r="K269" s="200"/>
      <c r="L269" s="193"/>
      <c r="M269" s="134"/>
      <c r="N269" s="134"/>
      <c r="O269" s="190"/>
      <c r="P269" s="190"/>
      <c r="Q269" s="193"/>
      <c r="R269" s="190"/>
      <c r="S269" s="190"/>
      <c r="T269" s="190"/>
      <c r="U269" s="204"/>
    </row>
    <row r="270" spans="1:22" ht="15.75" x14ac:dyDescent="0.25">
      <c r="A270" s="123" t="s">
        <v>255</v>
      </c>
      <c r="B270" s="124"/>
      <c r="C270" s="124"/>
      <c r="D270" s="124"/>
      <c r="E270" s="124"/>
      <c r="F270" s="124"/>
      <c r="G270" s="124"/>
      <c r="H270" s="124"/>
      <c r="I270" s="124"/>
      <c r="J270" s="124"/>
      <c r="K270" s="124"/>
      <c r="L270" s="124"/>
      <c r="M270" s="124"/>
      <c r="N270" s="124"/>
      <c r="O270" s="124"/>
      <c r="P270" s="124"/>
      <c r="Q270" s="124"/>
      <c r="R270" s="124"/>
      <c r="S270" s="124"/>
      <c r="T270" s="124"/>
      <c r="U270" s="125"/>
    </row>
    <row r="271" spans="1:22" x14ac:dyDescent="0.25">
      <c r="A271" s="191" t="s">
        <v>265</v>
      </c>
      <c r="B271" s="119" t="s">
        <v>53</v>
      </c>
      <c r="C271" s="120">
        <f>4.6/100</f>
        <v>4.5999999999999999E-2</v>
      </c>
      <c r="D271" s="120">
        <f>C271*$F$271/E271</f>
        <v>4.6328506583816625E-2</v>
      </c>
      <c r="E271" s="46">
        <v>238.04955989999999</v>
      </c>
      <c r="F271" s="191">
        <f>(C271*E271)+(C272*E272)+(C273*E273)+(C274*E274)+(C275*E275)</f>
        <v>239.7495783283</v>
      </c>
      <c r="G271" s="191">
        <f>F271+F276</f>
        <v>271.74838818501661</v>
      </c>
      <c r="H271" s="191">
        <f>H261</f>
        <v>0.2</v>
      </c>
      <c r="I271" s="197">
        <f>H271*0.9921</f>
        <v>0.19842000000000001</v>
      </c>
      <c r="J271" s="200">
        <f>(I271*G271)+(I277*G277)+(I280*G280)</f>
        <v>271.09986207867996</v>
      </c>
      <c r="K271" s="191">
        <f>11.46</f>
        <v>11.46</v>
      </c>
      <c r="L271" s="200">
        <v>100</v>
      </c>
      <c r="M271" s="131"/>
      <c r="N271" s="131"/>
      <c r="O271" s="200">
        <f>L271*I271</f>
        <v>19.842000000000002</v>
      </c>
      <c r="P271" s="191">
        <f>O271/G271</f>
        <v>7.3016072450412528E-2</v>
      </c>
      <c r="Q271" s="191">
        <f>P271/(P271+P277+P280)</f>
        <v>0.19781093577373632</v>
      </c>
      <c r="R271" s="200">
        <f>O271/K271</f>
        <v>1.7314136125654451</v>
      </c>
      <c r="S271" s="188">
        <f>R271+R277+R280</f>
        <v>9.079632137541557</v>
      </c>
      <c r="T271" s="200">
        <f>R271/S271</f>
        <v>0.19069204416405472</v>
      </c>
      <c r="U271" s="200">
        <f>(T271*K271)+(T277*K277)+(T280*K280)</f>
        <v>11.013662060881297</v>
      </c>
      <c r="V271">
        <f>U271*0.96</f>
        <v>10.573115578446044</v>
      </c>
    </row>
    <row r="272" spans="1:22" x14ac:dyDescent="0.25">
      <c r="A272" s="192"/>
      <c r="B272" s="119" t="s">
        <v>54</v>
      </c>
      <c r="C272" s="120">
        <f>50.5/100</f>
        <v>0.505</v>
      </c>
      <c r="D272" s="120">
        <f t="shared" ref="D272:D275" si="5">C272*$F$271/E272</f>
        <v>0.50647329576014832</v>
      </c>
      <c r="E272" s="46">
        <v>239.05216340000001</v>
      </c>
      <c r="F272" s="192"/>
      <c r="G272" s="192"/>
      <c r="H272" s="192"/>
      <c r="I272" s="198"/>
      <c r="J272" s="200"/>
      <c r="K272" s="192"/>
      <c r="L272" s="200"/>
      <c r="M272" s="131"/>
      <c r="N272" s="131"/>
      <c r="O272" s="200"/>
      <c r="P272" s="192"/>
      <c r="Q272" s="192"/>
      <c r="R272" s="200"/>
      <c r="S272" s="189"/>
      <c r="T272" s="200"/>
      <c r="U272" s="200"/>
    </row>
    <row r="273" spans="1:21" x14ac:dyDescent="0.25">
      <c r="A273" s="192"/>
      <c r="B273" s="119" t="s">
        <v>55</v>
      </c>
      <c r="C273" s="120">
        <f>24/100</f>
        <v>0.24</v>
      </c>
      <c r="D273" s="120">
        <f t="shared" si="5"/>
        <v>0.23969583302950528</v>
      </c>
      <c r="E273" s="46">
        <v>240.05381349999999</v>
      </c>
      <c r="F273" s="192"/>
      <c r="G273" s="192"/>
      <c r="H273" s="192"/>
      <c r="I273" s="198"/>
      <c r="J273" s="200"/>
      <c r="K273" s="192"/>
      <c r="L273" s="200"/>
      <c r="M273" s="131"/>
      <c r="N273" s="131"/>
      <c r="O273" s="200"/>
      <c r="P273" s="192"/>
      <c r="Q273" s="192"/>
      <c r="R273" s="200"/>
      <c r="S273" s="189"/>
      <c r="T273" s="200"/>
      <c r="U273" s="200"/>
    </row>
    <row r="274" spans="1:21" x14ac:dyDescent="0.25">
      <c r="A274" s="192"/>
      <c r="B274" s="119" t="s">
        <v>56</v>
      </c>
      <c r="C274" s="120">
        <f>12.5/100</f>
        <v>0.125</v>
      </c>
      <c r="D274" s="120">
        <f t="shared" si="5"/>
        <v>0.12432211366138042</v>
      </c>
      <c r="E274" s="76">
        <v>241.05685149999999</v>
      </c>
      <c r="F274" s="192"/>
      <c r="G274" s="192"/>
      <c r="H274" s="192"/>
      <c r="I274" s="198"/>
      <c r="J274" s="200"/>
      <c r="K274" s="192"/>
      <c r="L274" s="200"/>
      <c r="M274" s="131"/>
      <c r="N274" s="131"/>
      <c r="O274" s="200"/>
      <c r="P274" s="192"/>
      <c r="Q274" s="192"/>
      <c r="R274" s="200"/>
      <c r="S274" s="189"/>
      <c r="T274" s="200"/>
      <c r="U274" s="200"/>
    </row>
    <row r="275" spans="1:21" x14ac:dyDescent="0.25">
      <c r="A275" s="192"/>
      <c r="B275" s="119" t="s">
        <v>57</v>
      </c>
      <c r="C275" s="120">
        <f>8.4/100</f>
        <v>8.4000000000000005E-2</v>
      </c>
      <c r="D275" s="120">
        <f t="shared" si="5"/>
        <v>8.3198666419814757E-2</v>
      </c>
      <c r="E275" s="76">
        <v>242.05874259999999</v>
      </c>
      <c r="F275" s="193"/>
      <c r="G275" s="192"/>
      <c r="H275" s="192"/>
      <c r="I275" s="198"/>
      <c r="J275" s="200"/>
      <c r="K275" s="192"/>
      <c r="L275" s="200"/>
      <c r="M275" s="131"/>
      <c r="N275" s="131"/>
      <c r="O275" s="200"/>
      <c r="P275" s="192"/>
      <c r="Q275" s="192"/>
      <c r="R275" s="200"/>
      <c r="S275" s="189"/>
      <c r="T275" s="200"/>
      <c r="U275" s="200"/>
    </row>
    <row r="276" spans="1:21" x14ac:dyDescent="0.25">
      <c r="A276" s="193"/>
      <c r="B276" s="23" t="s">
        <v>66</v>
      </c>
      <c r="C276" s="23">
        <v>1</v>
      </c>
      <c r="D276" s="23">
        <v>2</v>
      </c>
      <c r="E276" s="75">
        <v>15.999404928358301</v>
      </c>
      <c r="F276" s="23">
        <f>2*E276</f>
        <v>31.998809856716601</v>
      </c>
      <c r="G276" s="193"/>
      <c r="H276" s="193"/>
      <c r="I276" s="199"/>
      <c r="J276" s="200"/>
      <c r="K276" s="193"/>
      <c r="L276" s="200"/>
      <c r="M276" s="131"/>
      <c r="N276" s="131"/>
      <c r="O276" s="200"/>
      <c r="P276" s="193"/>
      <c r="Q276" s="193"/>
      <c r="R276" s="200"/>
      <c r="S276" s="189"/>
      <c r="T276" s="200"/>
      <c r="U276" s="200"/>
    </row>
    <row r="277" spans="1:21" x14ac:dyDescent="0.25">
      <c r="A277" s="200" t="s">
        <v>254</v>
      </c>
      <c r="B277" s="120" t="s">
        <v>62</v>
      </c>
      <c r="C277" s="122">
        <v>7.1999999999999998E-3</v>
      </c>
      <c r="D277" s="120">
        <f>C277*$F$277/E277</f>
        <v>7.291444664980236E-3</v>
      </c>
      <c r="E277" s="120">
        <v>235.0439231</v>
      </c>
      <c r="F277" s="200">
        <f>(C277*E277)+(C278*E278)</f>
        <v>238.0291332116</v>
      </c>
      <c r="G277" s="188">
        <f>F277+F279</f>
        <v>270.02794306831657</v>
      </c>
      <c r="H277" s="188">
        <f>H267</f>
        <v>0.8</v>
      </c>
      <c r="I277" s="208">
        <f>H277*0.9921</f>
        <v>0.79368000000000005</v>
      </c>
      <c r="J277" s="200"/>
      <c r="K277" s="200">
        <v>10.96</v>
      </c>
      <c r="L277" s="200"/>
      <c r="M277" s="131"/>
      <c r="N277" s="131"/>
      <c r="O277" s="200">
        <f>L271*I277</f>
        <v>79.368000000000009</v>
      </c>
      <c r="P277" s="188">
        <f>O277/G277</f>
        <v>0.29392513640679052</v>
      </c>
      <c r="Q277" s="191">
        <f>P277/(P277+P271+P280)</f>
        <v>0.79628504148228585</v>
      </c>
      <c r="R277" s="200">
        <f>O277/K277</f>
        <v>7.2416058394160583</v>
      </c>
      <c r="S277" s="189"/>
      <c r="T277" s="200">
        <f>R277/S271</f>
        <v>0.797565994934331</v>
      </c>
      <c r="U277" s="200"/>
    </row>
    <row r="278" spans="1:21" x14ac:dyDescent="0.25">
      <c r="A278" s="200"/>
      <c r="B278" s="120" t="s">
        <v>64</v>
      </c>
      <c r="C278" s="120">
        <f>1-C277</f>
        <v>0.99280000000000002</v>
      </c>
      <c r="D278" s="120">
        <f>C278*$F$277/E278</f>
        <v>0.99270971038797373</v>
      </c>
      <c r="E278" s="120">
        <v>238.05078259999999</v>
      </c>
      <c r="F278" s="200"/>
      <c r="G278" s="189"/>
      <c r="H278" s="189"/>
      <c r="I278" s="210"/>
      <c r="J278" s="200"/>
      <c r="K278" s="200"/>
      <c r="L278" s="200"/>
      <c r="M278" s="131"/>
      <c r="N278" s="131"/>
      <c r="O278" s="200"/>
      <c r="P278" s="189"/>
      <c r="Q278" s="192"/>
      <c r="R278" s="200"/>
      <c r="S278" s="189"/>
      <c r="T278" s="200"/>
      <c r="U278" s="200"/>
    </row>
    <row r="279" spans="1:21" x14ac:dyDescent="0.25">
      <c r="A279" s="200"/>
      <c r="B279" s="120" t="s">
        <v>66</v>
      </c>
      <c r="C279" s="120">
        <v>1</v>
      </c>
      <c r="D279" s="120">
        <v>2</v>
      </c>
      <c r="E279" s="75">
        <v>15.999404928358301</v>
      </c>
      <c r="F279" s="75">
        <f>(2*E279)</f>
        <v>31.998809856716601</v>
      </c>
      <c r="G279" s="190"/>
      <c r="H279" s="190"/>
      <c r="I279" s="209"/>
      <c r="J279" s="200"/>
      <c r="K279" s="200"/>
      <c r="L279" s="200"/>
      <c r="M279" s="131"/>
      <c r="N279" s="131"/>
      <c r="O279" s="200"/>
      <c r="P279" s="190"/>
      <c r="Q279" s="193"/>
      <c r="R279" s="200"/>
      <c r="S279" s="189"/>
      <c r="T279" s="200"/>
      <c r="U279" s="200"/>
    </row>
    <row r="280" spans="1:21" x14ac:dyDescent="0.25">
      <c r="A280" s="200" t="s">
        <v>127</v>
      </c>
      <c r="B280" s="120" t="s">
        <v>253</v>
      </c>
      <c r="C280" s="120">
        <v>1</v>
      </c>
      <c r="D280" s="120">
        <v>2</v>
      </c>
      <c r="E280" s="4">
        <v>157.25209770539999</v>
      </c>
      <c r="F280" s="75">
        <f>2*E280</f>
        <v>314.50419541079998</v>
      </c>
      <c r="G280" s="188">
        <f>F280+F281</f>
        <v>362.50241019587486</v>
      </c>
      <c r="H280" s="188">
        <v>7.9000000000000008E-3</v>
      </c>
      <c r="I280" s="208">
        <v>7.9000000000000008E-3</v>
      </c>
      <c r="J280" s="200"/>
      <c r="K280" s="188">
        <v>7.41</v>
      </c>
      <c r="L280" s="200"/>
      <c r="M280" s="131"/>
      <c r="N280" s="131"/>
      <c r="O280" s="200">
        <f>L271*I280</f>
        <v>0.79</v>
      </c>
      <c r="P280" s="188">
        <f>O280/G280</f>
        <v>2.1792958550899862E-3</v>
      </c>
      <c r="Q280" s="191">
        <f>P280/(P280+P277+P271)</f>
        <v>5.9040227439779176E-3</v>
      </c>
      <c r="R280" s="200">
        <f>O280/K280</f>
        <v>0.10661268556005399</v>
      </c>
      <c r="S280" s="189"/>
      <c r="T280" s="200">
        <f>R280/S271</f>
        <v>1.174196090161434E-2</v>
      </c>
      <c r="U280" s="200"/>
    </row>
    <row r="281" spans="1:21" x14ac:dyDescent="0.25">
      <c r="A281" s="200"/>
      <c r="B281" s="120" t="s">
        <v>66</v>
      </c>
      <c r="C281" s="120">
        <v>1</v>
      </c>
      <c r="D281" s="120">
        <v>3</v>
      </c>
      <c r="E281" s="120">
        <v>15.999404928358299</v>
      </c>
      <c r="F281" s="75">
        <f>(3*E281)</f>
        <v>47.998214785074893</v>
      </c>
      <c r="G281" s="190"/>
      <c r="H281" s="190"/>
      <c r="I281" s="209"/>
      <c r="J281" s="200"/>
      <c r="K281" s="190"/>
      <c r="L281" s="200"/>
      <c r="M281" s="131"/>
      <c r="N281" s="131"/>
      <c r="O281" s="200"/>
      <c r="P281" s="190"/>
      <c r="Q281" s="192"/>
      <c r="R281" s="200"/>
      <c r="S281" s="190"/>
      <c r="T281" s="200"/>
      <c r="U281" s="200"/>
    </row>
  </sheetData>
  <mergeCells count="716">
    <mergeCell ref="O280:O281"/>
    <mergeCell ref="R280:R281"/>
    <mergeCell ref="T280:T281"/>
    <mergeCell ref="P261:P266"/>
    <mergeCell ref="P267:P269"/>
    <mergeCell ref="P271:P276"/>
    <mergeCell ref="P277:P279"/>
    <mergeCell ref="P280:P281"/>
    <mergeCell ref="R271:R276"/>
    <mergeCell ref="S271:S281"/>
    <mergeCell ref="T271:T276"/>
    <mergeCell ref="R261:R266"/>
    <mergeCell ref="S261:S269"/>
    <mergeCell ref="T261:T266"/>
    <mergeCell ref="Q271:Q276"/>
    <mergeCell ref="Q277:Q279"/>
    <mergeCell ref="Q280:Q281"/>
    <mergeCell ref="U271:U281"/>
    <mergeCell ref="A277:A279"/>
    <mergeCell ref="F277:F278"/>
    <mergeCell ref="G277:G279"/>
    <mergeCell ref="H277:H279"/>
    <mergeCell ref="I277:I279"/>
    <mergeCell ref="K277:K279"/>
    <mergeCell ref="O277:O279"/>
    <mergeCell ref="R277:R279"/>
    <mergeCell ref="T277:T279"/>
    <mergeCell ref="A280:A281"/>
    <mergeCell ref="A271:A276"/>
    <mergeCell ref="F271:F275"/>
    <mergeCell ref="G271:G276"/>
    <mergeCell ref="H271:H276"/>
    <mergeCell ref="I271:I276"/>
    <mergeCell ref="J271:J281"/>
    <mergeCell ref="K271:K276"/>
    <mergeCell ref="L271:L281"/>
    <mergeCell ref="O271:O276"/>
    <mergeCell ref="G280:G281"/>
    <mergeCell ref="H280:H281"/>
    <mergeCell ref="I280:I281"/>
    <mergeCell ref="K280:K281"/>
    <mergeCell ref="U261:U269"/>
    <mergeCell ref="A267:A269"/>
    <mergeCell ref="F267:F268"/>
    <mergeCell ref="G267:G269"/>
    <mergeCell ref="H267:H269"/>
    <mergeCell ref="I267:I269"/>
    <mergeCell ref="K267:K269"/>
    <mergeCell ref="O267:O269"/>
    <mergeCell ref="R267:R269"/>
    <mergeCell ref="T267:T269"/>
    <mergeCell ref="A261:A266"/>
    <mergeCell ref="F261:F265"/>
    <mergeCell ref="G261:G266"/>
    <mergeCell ref="H261:H266"/>
    <mergeCell ref="I261:I266"/>
    <mergeCell ref="J261:J269"/>
    <mergeCell ref="K261:K266"/>
    <mergeCell ref="L261:L269"/>
    <mergeCell ref="O261:O266"/>
    <mergeCell ref="Q261:Q266"/>
    <mergeCell ref="Q267:Q269"/>
    <mergeCell ref="R239:R249"/>
    <mergeCell ref="A245:A247"/>
    <mergeCell ref="E245:E246"/>
    <mergeCell ref="F245:F247"/>
    <mergeCell ref="G245:G247"/>
    <mergeCell ref="H245:H247"/>
    <mergeCell ref="J245:J247"/>
    <mergeCell ref="L245:L247"/>
    <mergeCell ref="O245:O247"/>
    <mergeCell ref="Q245:Q247"/>
    <mergeCell ref="A248:A249"/>
    <mergeCell ref="F248:F249"/>
    <mergeCell ref="G248:G249"/>
    <mergeCell ref="H248:H249"/>
    <mergeCell ref="J248:J249"/>
    <mergeCell ref="L248:L249"/>
    <mergeCell ref="O239:O244"/>
    <mergeCell ref="P239:P249"/>
    <mergeCell ref="Q239:Q244"/>
    <mergeCell ref="M248:M249"/>
    <mergeCell ref="H235:H237"/>
    <mergeCell ref="J235:J237"/>
    <mergeCell ref="A229:A234"/>
    <mergeCell ref="O248:O249"/>
    <mergeCell ref="Q248:Q249"/>
    <mergeCell ref="L235:L237"/>
    <mergeCell ref="O235:O237"/>
    <mergeCell ref="O229:O234"/>
    <mergeCell ref="A239:A244"/>
    <mergeCell ref="E239:E243"/>
    <mergeCell ref="F239:F244"/>
    <mergeCell ref="G239:G244"/>
    <mergeCell ref="H239:H244"/>
    <mergeCell ref="I239:I249"/>
    <mergeCell ref="J239:J244"/>
    <mergeCell ref="K239:K249"/>
    <mergeCell ref="L239:L244"/>
    <mergeCell ref="M229:M234"/>
    <mergeCell ref="M235:M237"/>
    <mergeCell ref="M239:M244"/>
    <mergeCell ref="M245:M247"/>
    <mergeCell ref="P229:P237"/>
    <mergeCell ref="Q229:Q234"/>
    <mergeCell ref="R229:R237"/>
    <mergeCell ref="A235:A237"/>
    <mergeCell ref="Q235:Q237"/>
    <mergeCell ref="A238:R238"/>
    <mergeCell ref="A223:A224"/>
    <mergeCell ref="F223:F224"/>
    <mergeCell ref="G223:G224"/>
    <mergeCell ref="H223:H224"/>
    <mergeCell ref="J223:J224"/>
    <mergeCell ref="L223:L224"/>
    <mergeCell ref="E229:E233"/>
    <mergeCell ref="F229:F234"/>
    <mergeCell ref="G229:G234"/>
    <mergeCell ref="H229:H234"/>
    <mergeCell ref="I229:I237"/>
    <mergeCell ref="J229:J234"/>
    <mergeCell ref="K229:K237"/>
    <mergeCell ref="L229:L234"/>
    <mergeCell ref="Q223:Q224"/>
    <mergeCell ref="E235:E236"/>
    <mergeCell ref="F235:F237"/>
    <mergeCell ref="G235:G237"/>
    <mergeCell ref="R214:R224"/>
    <mergeCell ref="A220:A222"/>
    <mergeCell ref="O223:O224"/>
    <mergeCell ref="A226:R226"/>
    <mergeCell ref="A227:R227"/>
    <mergeCell ref="R189:R199"/>
    <mergeCell ref="A195:A197"/>
    <mergeCell ref="E195:E196"/>
    <mergeCell ref="F195:F197"/>
    <mergeCell ref="R204:R212"/>
    <mergeCell ref="A210:A212"/>
    <mergeCell ref="F220:F222"/>
    <mergeCell ref="G220:G222"/>
    <mergeCell ref="H220:H222"/>
    <mergeCell ref="J220:J222"/>
    <mergeCell ref="L220:L222"/>
    <mergeCell ref="A213:R213"/>
    <mergeCell ref="A214:A219"/>
    <mergeCell ref="E214:E218"/>
    <mergeCell ref="F214:F219"/>
    <mergeCell ref="G214:G219"/>
    <mergeCell ref="H214:H219"/>
    <mergeCell ref="O214:O219"/>
    <mergeCell ref="P214:P224"/>
    <mergeCell ref="Q214:Q219"/>
    <mergeCell ref="A201:R201"/>
    <mergeCell ref="M223:M224"/>
    <mergeCell ref="A198:A199"/>
    <mergeCell ref="F198:F199"/>
    <mergeCell ref="G198:G199"/>
    <mergeCell ref="H198:H199"/>
    <mergeCell ref="J198:J199"/>
    <mergeCell ref="L198:L199"/>
    <mergeCell ref="M204:M209"/>
    <mergeCell ref="I214:I224"/>
    <mergeCell ref="J214:J219"/>
    <mergeCell ref="K214:K224"/>
    <mergeCell ref="L214:L219"/>
    <mergeCell ref="G210:G212"/>
    <mergeCell ref="H210:H212"/>
    <mergeCell ref="J210:J212"/>
    <mergeCell ref="L210:L212"/>
    <mergeCell ref="A202:R202"/>
    <mergeCell ref="A204:A209"/>
    <mergeCell ref="E204:E208"/>
    <mergeCell ref="F204:F209"/>
    <mergeCell ref="G204:G209"/>
    <mergeCell ref="H204:H209"/>
    <mergeCell ref="I204:I212"/>
    <mergeCell ref="J204:J209"/>
    <mergeCell ref="H195:H197"/>
    <mergeCell ref="J195:J197"/>
    <mergeCell ref="L195:L197"/>
    <mergeCell ref="O198:O199"/>
    <mergeCell ref="Q198:Q199"/>
    <mergeCell ref="O195:O197"/>
    <mergeCell ref="Q195:Q197"/>
    <mergeCell ref="A185:A187"/>
    <mergeCell ref="E220:E221"/>
    <mergeCell ref="O220:O222"/>
    <mergeCell ref="Q220:Q222"/>
    <mergeCell ref="O210:O212"/>
    <mergeCell ref="Q210:Q212"/>
    <mergeCell ref="K204:K212"/>
    <mergeCell ref="L204:L209"/>
    <mergeCell ref="O204:O209"/>
    <mergeCell ref="P204:P212"/>
    <mergeCell ref="Q204:Q209"/>
    <mergeCell ref="E210:E211"/>
    <mergeCell ref="F210:F212"/>
    <mergeCell ref="M210:M212"/>
    <mergeCell ref="M179:M184"/>
    <mergeCell ref="M185:M187"/>
    <mergeCell ref="L185:L187"/>
    <mergeCell ref="O185:O187"/>
    <mergeCell ref="Q185:Q187"/>
    <mergeCell ref="A188:R188"/>
    <mergeCell ref="A189:A194"/>
    <mergeCell ref="E189:E193"/>
    <mergeCell ref="F189:F194"/>
    <mergeCell ref="G189:G194"/>
    <mergeCell ref="H189:H194"/>
    <mergeCell ref="I189:I199"/>
    <mergeCell ref="J189:J194"/>
    <mergeCell ref="K189:K199"/>
    <mergeCell ref="L189:L194"/>
    <mergeCell ref="O189:O194"/>
    <mergeCell ref="P189:P199"/>
    <mergeCell ref="Q189:Q194"/>
    <mergeCell ref="E185:E186"/>
    <mergeCell ref="F185:F187"/>
    <mergeCell ref="G185:G187"/>
    <mergeCell ref="H185:H187"/>
    <mergeCell ref="J185:J187"/>
    <mergeCell ref="G195:G197"/>
    <mergeCell ref="J173:J174"/>
    <mergeCell ref="L173:L174"/>
    <mergeCell ref="O173:O174"/>
    <mergeCell ref="Q173:Q174"/>
    <mergeCell ref="F170:F172"/>
    <mergeCell ref="G170:G172"/>
    <mergeCell ref="H170:H172"/>
    <mergeCell ref="J170:J172"/>
    <mergeCell ref="L170:L172"/>
    <mergeCell ref="M170:M172"/>
    <mergeCell ref="M173:M174"/>
    <mergeCell ref="N145:N147"/>
    <mergeCell ref="N148:N149"/>
    <mergeCell ref="A163:R163"/>
    <mergeCell ref="A164:A169"/>
    <mergeCell ref="E164:E168"/>
    <mergeCell ref="F164:F169"/>
    <mergeCell ref="G164:G169"/>
    <mergeCell ref="H164:H169"/>
    <mergeCell ref="I164:I174"/>
    <mergeCell ref="J164:J169"/>
    <mergeCell ref="K164:K174"/>
    <mergeCell ref="L164:L169"/>
    <mergeCell ref="O164:O169"/>
    <mergeCell ref="P164:P174"/>
    <mergeCell ref="Q164:Q169"/>
    <mergeCell ref="R164:R174"/>
    <mergeCell ref="A170:A172"/>
    <mergeCell ref="E170:E171"/>
    <mergeCell ref="O170:O172"/>
    <mergeCell ref="Q170:Q172"/>
    <mergeCell ref="A173:A174"/>
    <mergeCell ref="F173:F174"/>
    <mergeCell ref="G173:G174"/>
    <mergeCell ref="H173:H174"/>
    <mergeCell ref="R154:R162"/>
    <mergeCell ref="A160:A162"/>
    <mergeCell ref="E160:E161"/>
    <mergeCell ref="F160:F162"/>
    <mergeCell ref="G160:G162"/>
    <mergeCell ref="H160:H162"/>
    <mergeCell ref="J160:J162"/>
    <mergeCell ref="L160:L162"/>
    <mergeCell ref="O160:O162"/>
    <mergeCell ref="Q160:Q162"/>
    <mergeCell ref="N154:N159"/>
    <mergeCell ref="N160:N162"/>
    <mergeCell ref="M154:M159"/>
    <mergeCell ref="M160:M162"/>
    <mergeCell ref="O148:O149"/>
    <mergeCell ref="Q148:Q149"/>
    <mergeCell ref="A151:R151"/>
    <mergeCell ref="A152:R152"/>
    <mergeCell ref="A154:A159"/>
    <mergeCell ref="E154:E158"/>
    <mergeCell ref="F154:F159"/>
    <mergeCell ref="G154:G159"/>
    <mergeCell ref="H154:H159"/>
    <mergeCell ref="I154:I162"/>
    <mergeCell ref="J154:J159"/>
    <mergeCell ref="K154:K162"/>
    <mergeCell ref="L154:L159"/>
    <mergeCell ref="O154:O159"/>
    <mergeCell ref="P154:P162"/>
    <mergeCell ref="Q154:Q159"/>
    <mergeCell ref="R139:R149"/>
    <mergeCell ref="A145:A147"/>
    <mergeCell ref="E145:E146"/>
    <mergeCell ref="F145:F147"/>
    <mergeCell ref="G145:G147"/>
    <mergeCell ref="H145:H147"/>
    <mergeCell ref="J145:J147"/>
    <mergeCell ref="L145:L147"/>
    <mergeCell ref="O145:O147"/>
    <mergeCell ref="Q145:Q147"/>
    <mergeCell ref="A148:A149"/>
    <mergeCell ref="F148:F149"/>
    <mergeCell ref="G148:G149"/>
    <mergeCell ref="H148:H149"/>
    <mergeCell ref="J148:J149"/>
    <mergeCell ref="L148:L149"/>
    <mergeCell ref="L135:L137"/>
    <mergeCell ref="O135:O137"/>
    <mergeCell ref="Q135:Q137"/>
    <mergeCell ref="A138:R138"/>
    <mergeCell ref="A139:A144"/>
    <mergeCell ref="E139:E143"/>
    <mergeCell ref="F139:F144"/>
    <mergeCell ref="G139:G144"/>
    <mergeCell ref="H139:H144"/>
    <mergeCell ref="I139:I149"/>
    <mergeCell ref="J139:J144"/>
    <mergeCell ref="K139:K149"/>
    <mergeCell ref="L139:L144"/>
    <mergeCell ref="O139:O144"/>
    <mergeCell ref="P139:P149"/>
    <mergeCell ref="Q139:Q144"/>
    <mergeCell ref="E135:E136"/>
    <mergeCell ref="F135:F137"/>
    <mergeCell ref="G135:G137"/>
    <mergeCell ref="H135:H137"/>
    <mergeCell ref="J135:J137"/>
    <mergeCell ref="A126:R126"/>
    <mergeCell ref="A127:R127"/>
    <mergeCell ref="A129:A134"/>
    <mergeCell ref="E129:E133"/>
    <mergeCell ref="F129:F134"/>
    <mergeCell ref="G129:G134"/>
    <mergeCell ref="H129:H134"/>
    <mergeCell ref="I129:I137"/>
    <mergeCell ref="J129:J134"/>
    <mergeCell ref="K129:K137"/>
    <mergeCell ref="L129:L134"/>
    <mergeCell ref="O129:O134"/>
    <mergeCell ref="P129:P137"/>
    <mergeCell ref="Q129:Q134"/>
    <mergeCell ref="R129:R137"/>
    <mergeCell ref="A135:A137"/>
    <mergeCell ref="M129:M134"/>
    <mergeCell ref="M135:M137"/>
    <mergeCell ref="H123:H124"/>
    <mergeCell ref="J123:J124"/>
    <mergeCell ref="L123:L124"/>
    <mergeCell ref="O123:O124"/>
    <mergeCell ref="Q123:Q124"/>
    <mergeCell ref="F120:F122"/>
    <mergeCell ref="G120:G122"/>
    <mergeCell ref="H120:H122"/>
    <mergeCell ref="J120:J122"/>
    <mergeCell ref="L120:L122"/>
    <mergeCell ref="R104:R112"/>
    <mergeCell ref="A110:A112"/>
    <mergeCell ref="E110:E111"/>
    <mergeCell ref="F110:F112"/>
    <mergeCell ref="G110:G112"/>
    <mergeCell ref="H110:H112"/>
    <mergeCell ref="J110:J112"/>
    <mergeCell ref="L110:L112"/>
    <mergeCell ref="O110:O112"/>
    <mergeCell ref="Q110:Q112"/>
    <mergeCell ref="M104:M109"/>
    <mergeCell ref="M110:M112"/>
    <mergeCell ref="O98:O99"/>
    <mergeCell ref="Q98:Q99"/>
    <mergeCell ref="A101:R101"/>
    <mergeCell ref="A102:R102"/>
    <mergeCell ref="A104:A109"/>
    <mergeCell ref="E104:E108"/>
    <mergeCell ref="F104:F109"/>
    <mergeCell ref="G104:G109"/>
    <mergeCell ref="H104:H109"/>
    <mergeCell ref="I104:I112"/>
    <mergeCell ref="J104:J109"/>
    <mergeCell ref="K104:K112"/>
    <mergeCell ref="L104:L109"/>
    <mergeCell ref="O104:O109"/>
    <mergeCell ref="P104:P112"/>
    <mergeCell ref="Q104:Q109"/>
    <mergeCell ref="R89:R99"/>
    <mergeCell ref="A95:A97"/>
    <mergeCell ref="E95:E96"/>
    <mergeCell ref="F95:F97"/>
    <mergeCell ref="G95:G97"/>
    <mergeCell ref="H95:H97"/>
    <mergeCell ref="J95:J97"/>
    <mergeCell ref="L95:L97"/>
    <mergeCell ref="O95:O97"/>
    <mergeCell ref="Q95:Q97"/>
    <mergeCell ref="A98:A99"/>
    <mergeCell ref="F98:F99"/>
    <mergeCell ref="G98:G99"/>
    <mergeCell ref="H98:H99"/>
    <mergeCell ref="J98:J99"/>
    <mergeCell ref="L98:L99"/>
    <mergeCell ref="L85:L87"/>
    <mergeCell ref="O85:O87"/>
    <mergeCell ref="Q85:Q87"/>
    <mergeCell ref="A88:R88"/>
    <mergeCell ref="A89:A94"/>
    <mergeCell ref="E89:E93"/>
    <mergeCell ref="F89:F94"/>
    <mergeCell ref="G89:G94"/>
    <mergeCell ref="H89:H94"/>
    <mergeCell ref="I89:I99"/>
    <mergeCell ref="J89:J94"/>
    <mergeCell ref="K89:K99"/>
    <mergeCell ref="L89:L94"/>
    <mergeCell ref="O89:O94"/>
    <mergeCell ref="P89:P99"/>
    <mergeCell ref="Q89:Q94"/>
    <mergeCell ref="E85:E86"/>
    <mergeCell ref="F85:F87"/>
    <mergeCell ref="G85:G87"/>
    <mergeCell ref="H85:H87"/>
    <mergeCell ref="J85:J87"/>
    <mergeCell ref="A76:R76"/>
    <mergeCell ref="A77:R77"/>
    <mergeCell ref="A79:A84"/>
    <mergeCell ref="E79:E83"/>
    <mergeCell ref="F79:F84"/>
    <mergeCell ref="G79:G84"/>
    <mergeCell ref="H79:H84"/>
    <mergeCell ref="I79:I87"/>
    <mergeCell ref="J79:J84"/>
    <mergeCell ref="K79:K87"/>
    <mergeCell ref="L79:L84"/>
    <mergeCell ref="O79:O84"/>
    <mergeCell ref="P79:P87"/>
    <mergeCell ref="Q79:Q84"/>
    <mergeCell ref="R79:R87"/>
    <mergeCell ref="A85:A87"/>
    <mergeCell ref="M79:M84"/>
    <mergeCell ref="M85:M87"/>
    <mergeCell ref="K64:K74"/>
    <mergeCell ref="L64:L69"/>
    <mergeCell ref="O64:O69"/>
    <mergeCell ref="P64:P74"/>
    <mergeCell ref="Q64:Q69"/>
    <mergeCell ref="R64:R74"/>
    <mergeCell ref="A70:A72"/>
    <mergeCell ref="E70:E71"/>
    <mergeCell ref="O70:O72"/>
    <mergeCell ref="Q70:Q72"/>
    <mergeCell ref="A73:A74"/>
    <mergeCell ref="F73:F74"/>
    <mergeCell ref="G73:G74"/>
    <mergeCell ref="H73:H74"/>
    <mergeCell ref="J73:J74"/>
    <mergeCell ref="L73:L74"/>
    <mergeCell ref="O73:O74"/>
    <mergeCell ref="Q73:Q74"/>
    <mergeCell ref="F70:F72"/>
    <mergeCell ref="G70:G72"/>
    <mergeCell ref="H70:H72"/>
    <mergeCell ref="J70:J72"/>
    <mergeCell ref="L70:L72"/>
    <mergeCell ref="R54:R62"/>
    <mergeCell ref="A60:A62"/>
    <mergeCell ref="E60:E61"/>
    <mergeCell ref="F60:F62"/>
    <mergeCell ref="G60:G62"/>
    <mergeCell ref="H60:H62"/>
    <mergeCell ref="J60:J62"/>
    <mergeCell ref="L60:L62"/>
    <mergeCell ref="O60:O62"/>
    <mergeCell ref="Q60:Q62"/>
    <mergeCell ref="M54:M59"/>
    <mergeCell ref="M60:M62"/>
    <mergeCell ref="O48:O49"/>
    <mergeCell ref="Q48:Q49"/>
    <mergeCell ref="A51:R51"/>
    <mergeCell ref="A52:R52"/>
    <mergeCell ref="A54:A59"/>
    <mergeCell ref="E54:E58"/>
    <mergeCell ref="F54:F59"/>
    <mergeCell ref="G54:G59"/>
    <mergeCell ref="H54:H59"/>
    <mergeCell ref="I54:I62"/>
    <mergeCell ref="J54:J59"/>
    <mergeCell ref="K54:K62"/>
    <mergeCell ref="L54:L59"/>
    <mergeCell ref="O54:O59"/>
    <mergeCell ref="P54:P62"/>
    <mergeCell ref="Q54:Q59"/>
    <mergeCell ref="R39:R49"/>
    <mergeCell ref="A45:A47"/>
    <mergeCell ref="E45:E46"/>
    <mergeCell ref="F45:F47"/>
    <mergeCell ref="G45:G47"/>
    <mergeCell ref="H45:H47"/>
    <mergeCell ref="J45:J47"/>
    <mergeCell ref="L45:L47"/>
    <mergeCell ref="O45:O47"/>
    <mergeCell ref="Q45:Q47"/>
    <mergeCell ref="A48:A49"/>
    <mergeCell ref="F48:F49"/>
    <mergeCell ref="G48:G49"/>
    <mergeCell ref="H48:H49"/>
    <mergeCell ref="J48:J49"/>
    <mergeCell ref="L48:L49"/>
    <mergeCell ref="L35:L37"/>
    <mergeCell ref="O35:O37"/>
    <mergeCell ref="Q35:Q37"/>
    <mergeCell ref="A38:R38"/>
    <mergeCell ref="A39:A44"/>
    <mergeCell ref="E39:E43"/>
    <mergeCell ref="F39:F44"/>
    <mergeCell ref="G39:G44"/>
    <mergeCell ref="H39:H44"/>
    <mergeCell ref="I39:I49"/>
    <mergeCell ref="J39:J44"/>
    <mergeCell ref="K39:K49"/>
    <mergeCell ref="L39:L44"/>
    <mergeCell ref="O39:O44"/>
    <mergeCell ref="P39:P49"/>
    <mergeCell ref="Q39:Q44"/>
    <mergeCell ref="E35:E36"/>
    <mergeCell ref="F35:F37"/>
    <mergeCell ref="G35:G37"/>
    <mergeCell ref="H35:H37"/>
    <mergeCell ref="J35:J37"/>
    <mergeCell ref="A26:R26"/>
    <mergeCell ref="A27:R27"/>
    <mergeCell ref="A29:A34"/>
    <mergeCell ref="E29:E33"/>
    <mergeCell ref="F29:F34"/>
    <mergeCell ref="G29:G34"/>
    <mergeCell ref="H29:H34"/>
    <mergeCell ref="I29:I37"/>
    <mergeCell ref="J29:J34"/>
    <mergeCell ref="K29:K37"/>
    <mergeCell ref="L29:L34"/>
    <mergeCell ref="O29:O34"/>
    <mergeCell ref="P29:P37"/>
    <mergeCell ref="Q29:Q34"/>
    <mergeCell ref="R29:R37"/>
    <mergeCell ref="A35:A37"/>
    <mergeCell ref="M29:M34"/>
    <mergeCell ref="M35:M37"/>
    <mergeCell ref="N29:N34"/>
    <mergeCell ref="A1:R1"/>
    <mergeCell ref="A10:A12"/>
    <mergeCell ref="E10:E11"/>
    <mergeCell ref="J10:J12"/>
    <mergeCell ref="E4:E8"/>
    <mergeCell ref="F4:F9"/>
    <mergeCell ref="G4:G9"/>
    <mergeCell ref="J4:J9"/>
    <mergeCell ref="R4:R12"/>
    <mergeCell ref="A2:R2"/>
    <mergeCell ref="F10:F12"/>
    <mergeCell ref="K4:K12"/>
    <mergeCell ref="A23:A24"/>
    <mergeCell ref="A20:A22"/>
    <mergeCell ref="E20:E21"/>
    <mergeCell ref="J20:J22"/>
    <mergeCell ref="G10:G12"/>
    <mergeCell ref="I4:I12"/>
    <mergeCell ref="A4:A9"/>
    <mergeCell ref="H4:H9"/>
    <mergeCell ref="H10:H12"/>
    <mergeCell ref="H14:H19"/>
    <mergeCell ref="H20:H22"/>
    <mergeCell ref="A13:R13"/>
    <mergeCell ref="A14:A19"/>
    <mergeCell ref="E14:E18"/>
    <mergeCell ref="F14:F19"/>
    <mergeCell ref="G14:G19"/>
    <mergeCell ref="Q4:Q9"/>
    <mergeCell ref="L4:L9"/>
    <mergeCell ref="O4:O9"/>
    <mergeCell ref="L10:L12"/>
    <mergeCell ref="O10:O12"/>
    <mergeCell ref="P4:P12"/>
    <mergeCell ref="Q10:Q12"/>
    <mergeCell ref="G23:G24"/>
    <mergeCell ref="H23:H24"/>
    <mergeCell ref="I14:I24"/>
    <mergeCell ref="F23:F24"/>
    <mergeCell ref="J14:J19"/>
    <mergeCell ref="J23:J24"/>
    <mergeCell ref="F20:F22"/>
    <mergeCell ref="G20:G22"/>
    <mergeCell ref="Q14:Q19"/>
    <mergeCell ref="Q23:Q24"/>
    <mergeCell ref="U3:Y3"/>
    <mergeCell ref="R14:R24"/>
    <mergeCell ref="P14:P24"/>
    <mergeCell ref="K14:K24"/>
    <mergeCell ref="L23:L24"/>
    <mergeCell ref="L20:L22"/>
    <mergeCell ref="L14:L19"/>
    <mergeCell ref="O14:O19"/>
    <mergeCell ref="O20:O22"/>
    <mergeCell ref="O23:O24"/>
    <mergeCell ref="Q20:Q22"/>
    <mergeCell ref="M4:M9"/>
    <mergeCell ref="N4:N9"/>
    <mergeCell ref="M10:M12"/>
    <mergeCell ref="N10:N12"/>
    <mergeCell ref="V4:W4"/>
    <mergeCell ref="X4:Y4"/>
    <mergeCell ref="U4:U5"/>
    <mergeCell ref="M14:M19"/>
    <mergeCell ref="M20:M22"/>
    <mergeCell ref="M23:M24"/>
    <mergeCell ref="N14:N19"/>
    <mergeCell ref="N20:N22"/>
    <mergeCell ref="N23:N24"/>
    <mergeCell ref="A113:R113"/>
    <mergeCell ref="A114:A119"/>
    <mergeCell ref="E114:E118"/>
    <mergeCell ref="F114:F119"/>
    <mergeCell ref="G114:G119"/>
    <mergeCell ref="H114:H119"/>
    <mergeCell ref="I114:I124"/>
    <mergeCell ref="J114:J119"/>
    <mergeCell ref="K114:K124"/>
    <mergeCell ref="L114:L119"/>
    <mergeCell ref="O114:O119"/>
    <mergeCell ref="P114:P124"/>
    <mergeCell ref="Q114:Q119"/>
    <mergeCell ref="M114:M119"/>
    <mergeCell ref="M120:M122"/>
    <mergeCell ref="M123:M124"/>
    <mergeCell ref="R114:R124"/>
    <mergeCell ref="A120:A122"/>
    <mergeCell ref="E120:E121"/>
    <mergeCell ref="O120:O122"/>
    <mergeCell ref="Q120:Q122"/>
    <mergeCell ref="A123:A124"/>
    <mergeCell ref="F123:F124"/>
    <mergeCell ref="G123:G124"/>
    <mergeCell ref="M39:M44"/>
    <mergeCell ref="M45:M47"/>
    <mergeCell ref="M48:M49"/>
    <mergeCell ref="M64:M69"/>
    <mergeCell ref="M70:M72"/>
    <mergeCell ref="M73:M74"/>
    <mergeCell ref="M89:M94"/>
    <mergeCell ref="M95:M97"/>
    <mergeCell ref="M98:M99"/>
    <mergeCell ref="M139:M144"/>
    <mergeCell ref="M145:M147"/>
    <mergeCell ref="M148:M149"/>
    <mergeCell ref="M164:M169"/>
    <mergeCell ref="M189:M194"/>
    <mergeCell ref="M195:M197"/>
    <mergeCell ref="M198:M199"/>
    <mergeCell ref="M214:M219"/>
    <mergeCell ref="M220:M222"/>
    <mergeCell ref="A176:R176"/>
    <mergeCell ref="A177:R177"/>
    <mergeCell ref="A179:A184"/>
    <mergeCell ref="E179:E183"/>
    <mergeCell ref="F179:F184"/>
    <mergeCell ref="G179:G184"/>
    <mergeCell ref="H179:H184"/>
    <mergeCell ref="I179:I187"/>
    <mergeCell ref="J179:J184"/>
    <mergeCell ref="K179:K187"/>
    <mergeCell ref="L179:L184"/>
    <mergeCell ref="O179:O184"/>
    <mergeCell ref="P179:P187"/>
    <mergeCell ref="Q179:Q184"/>
    <mergeCell ref="R179:R187"/>
    <mergeCell ref="N89:N94"/>
    <mergeCell ref="N95:N97"/>
    <mergeCell ref="N98:N99"/>
    <mergeCell ref="N114:N119"/>
    <mergeCell ref="N120:N122"/>
    <mergeCell ref="N123:N124"/>
    <mergeCell ref="N139:N144"/>
    <mergeCell ref="N35:N37"/>
    <mergeCell ref="N54:N59"/>
    <mergeCell ref="N60:N62"/>
    <mergeCell ref="N79:N84"/>
    <mergeCell ref="N85:N87"/>
    <mergeCell ref="N104:N109"/>
    <mergeCell ref="N110:N112"/>
    <mergeCell ref="N129:N134"/>
    <mergeCell ref="N135:N137"/>
    <mergeCell ref="A63:R63"/>
    <mergeCell ref="A64:A69"/>
    <mergeCell ref="E64:E68"/>
    <mergeCell ref="F64:F69"/>
    <mergeCell ref="G64:G69"/>
    <mergeCell ref="H64:H69"/>
    <mergeCell ref="I64:I74"/>
    <mergeCell ref="J64:J69"/>
    <mergeCell ref="N39:N44"/>
    <mergeCell ref="N45:N47"/>
    <mergeCell ref="N48:N49"/>
    <mergeCell ref="N64:N69"/>
    <mergeCell ref="N70:N72"/>
    <mergeCell ref="N73:N74"/>
    <mergeCell ref="N248:N249"/>
    <mergeCell ref="N164:N169"/>
    <mergeCell ref="N170:N172"/>
    <mergeCell ref="N173:N174"/>
    <mergeCell ref="N198:N199"/>
    <mergeCell ref="N214:N219"/>
    <mergeCell ref="N220:N222"/>
    <mergeCell ref="N223:N224"/>
    <mergeCell ref="N239:N244"/>
    <mergeCell ref="N245:N247"/>
    <mergeCell ref="N179:N184"/>
    <mergeCell ref="N185:N187"/>
    <mergeCell ref="N204:N209"/>
    <mergeCell ref="N210:N212"/>
    <mergeCell ref="N189:N194"/>
    <mergeCell ref="N195:N197"/>
    <mergeCell ref="N229:N234"/>
    <mergeCell ref="N235:N23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"/>
  <sheetViews>
    <sheetView zoomScale="85" zoomScaleNormal="85" workbookViewId="0">
      <selection activeCell="A16" sqref="A16:C17"/>
    </sheetView>
  </sheetViews>
  <sheetFormatPr defaultRowHeight="15" x14ac:dyDescent="0.25"/>
  <cols>
    <col min="1" max="1" width="27.5703125" bestFit="1" customWidth="1"/>
    <col min="2" max="21" width="16.7109375" bestFit="1" customWidth="1"/>
  </cols>
  <sheetData>
    <row r="1" spans="1:35" x14ac:dyDescent="0.25">
      <c r="A1" s="207" t="s">
        <v>35</v>
      </c>
      <c r="B1" s="216" t="s">
        <v>229</v>
      </c>
      <c r="C1" s="216"/>
      <c r="D1" s="216" t="s">
        <v>230</v>
      </c>
      <c r="E1" s="216"/>
      <c r="F1" s="216" t="s">
        <v>231</v>
      </c>
      <c r="G1" s="216"/>
      <c r="H1" s="216" t="s">
        <v>232</v>
      </c>
      <c r="I1" s="216"/>
      <c r="J1" s="216" t="s">
        <v>233</v>
      </c>
      <c r="K1" s="216"/>
      <c r="L1" s="216" t="s">
        <v>234</v>
      </c>
      <c r="M1" s="216"/>
      <c r="N1" s="216" t="s">
        <v>235</v>
      </c>
      <c r="O1" s="216"/>
      <c r="P1" s="216" t="s">
        <v>236</v>
      </c>
      <c r="Q1" s="216"/>
      <c r="R1" s="216" t="s">
        <v>237</v>
      </c>
      <c r="S1" s="216"/>
      <c r="T1" s="216" t="s">
        <v>238</v>
      </c>
      <c r="U1" s="216"/>
    </row>
    <row r="2" spans="1:35" x14ac:dyDescent="0.25">
      <c r="A2" s="207"/>
      <c r="B2" s="147" t="s">
        <v>273</v>
      </c>
      <c r="C2" s="147" t="s">
        <v>274</v>
      </c>
      <c r="D2" s="147" t="s">
        <v>273</v>
      </c>
      <c r="E2" s="147" t="s">
        <v>274</v>
      </c>
      <c r="F2" s="147" t="s">
        <v>273</v>
      </c>
      <c r="G2" s="147" t="s">
        <v>274</v>
      </c>
      <c r="H2" s="147" t="s">
        <v>273</v>
      </c>
      <c r="I2" s="147" t="s">
        <v>274</v>
      </c>
      <c r="J2" s="147" t="s">
        <v>273</v>
      </c>
      <c r="K2" s="147" t="s">
        <v>274</v>
      </c>
      <c r="L2" s="147" t="s">
        <v>273</v>
      </c>
      <c r="M2" s="147" t="s">
        <v>274</v>
      </c>
      <c r="N2" s="147" t="s">
        <v>273</v>
      </c>
      <c r="O2" s="147" t="s">
        <v>274</v>
      </c>
      <c r="P2" s="147" t="s">
        <v>273</v>
      </c>
      <c r="Q2" s="147" t="s">
        <v>274</v>
      </c>
      <c r="R2" s="147" t="s">
        <v>273</v>
      </c>
      <c r="S2" s="147" t="s">
        <v>274</v>
      </c>
      <c r="T2" s="147" t="s">
        <v>273</v>
      </c>
      <c r="U2" s="147" t="s">
        <v>274</v>
      </c>
    </row>
    <row r="3" spans="1:35" x14ac:dyDescent="0.25">
      <c r="A3" s="4" t="s">
        <v>362</v>
      </c>
      <c r="B3" s="4">
        <f t="shared" ref="B3:C3" si="0">B5/B4</f>
        <v>1.2121212121212122</v>
      </c>
      <c r="C3" s="4">
        <f t="shared" si="0"/>
        <v>1.2121212121212122</v>
      </c>
      <c r="D3" s="4">
        <f t="shared" ref="D3:E3" si="1">D5/D4</f>
        <v>1.2121212121212122</v>
      </c>
      <c r="E3" s="4">
        <f t="shared" si="1"/>
        <v>1.2121212121212122</v>
      </c>
      <c r="F3" s="4">
        <f t="shared" ref="F3:U3" si="2">F5/F4</f>
        <v>1.2121212121212122</v>
      </c>
      <c r="G3" s="4">
        <f t="shared" si="2"/>
        <v>1.2121212121212122</v>
      </c>
      <c r="H3" s="4">
        <f t="shared" si="2"/>
        <v>1.2121212121212122</v>
      </c>
      <c r="I3" s="4">
        <f t="shared" si="2"/>
        <v>1.2121212121212122</v>
      </c>
      <c r="J3" s="4">
        <f t="shared" si="2"/>
        <v>1.2121212121212122</v>
      </c>
      <c r="K3" s="4">
        <f t="shared" si="2"/>
        <v>1.2121212121212122</v>
      </c>
      <c r="L3" s="4">
        <f t="shared" si="2"/>
        <v>1.2121212121212122</v>
      </c>
      <c r="M3" s="4">
        <f t="shared" si="2"/>
        <v>1.2121212121212122</v>
      </c>
      <c r="N3" s="4">
        <f t="shared" si="2"/>
        <v>1.2121212121212122</v>
      </c>
      <c r="O3" s="4">
        <f t="shared" si="2"/>
        <v>1.2121212121212122</v>
      </c>
      <c r="P3" s="4">
        <f t="shared" si="2"/>
        <v>1.2121212121212122</v>
      </c>
      <c r="Q3" s="4">
        <f t="shared" si="2"/>
        <v>1.2121212121212122</v>
      </c>
      <c r="R3" s="4">
        <f t="shared" si="2"/>
        <v>1.2121212121212122</v>
      </c>
      <c r="S3" s="4">
        <f t="shared" si="2"/>
        <v>1.2121212121212122</v>
      </c>
      <c r="T3" s="4">
        <f t="shared" si="2"/>
        <v>1.2121212121212122</v>
      </c>
      <c r="U3" s="4">
        <f t="shared" si="2"/>
        <v>1.2121212121212122</v>
      </c>
      <c r="X3" s="187" t="s">
        <v>361</v>
      </c>
      <c r="Y3" s="187"/>
      <c r="Z3" s="187"/>
      <c r="AA3" s="187"/>
      <c r="AB3" s="187"/>
      <c r="AC3" s="187"/>
      <c r="AD3" s="187"/>
      <c r="AE3" s="187"/>
      <c r="AF3" s="187"/>
      <c r="AG3" s="187"/>
      <c r="AH3" s="187"/>
      <c r="AI3" s="187"/>
    </row>
    <row r="4" spans="1:35" x14ac:dyDescent="0.25">
      <c r="A4" s="10" t="s">
        <v>364</v>
      </c>
      <c r="B4" s="10">
        <v>165</v>
      </c>
      <c r="C4" s="10">
        <v>165</v>
      </c>
      <c r="D4" s="10">
        <v>165</v>
      </c>
      <c r="E4" s="10">
        <v>165</v>
      </c>
      <c r="F4" s="10">
        <v>165</v>
      </c>
      <c r="G4" s="10">
        <v>165</v>
      </c>
      <c r="H4" s="10">
        <v>165</v>
      </c>
      <c r="I4" s="10">
        <v>165</v>
      </c>
      <c r="J4" s="10">
        <v>165</v>
      </c>
      <c r="K4" s="10">
        <v>165</v>
      </c>
      <c r="L4" s="10">
        <v>165</v>
      </c>
      <c r="M4" s="10">
        <v>165</v>
      </c>
      <c r="N4" s="10">
        <v>165</v>
      </c>
      <c r="O4" s="10">
        <v>165</v>
      </c>
      <c r="P4" s="10">
        <v>165</v>
      </c>
      <c r="Q4" s="10">
        <v>165</v>
      </c>
      <c r="R4" s="10">
        <v>165</v>
      </c>
      <c r="S4" s="10">
        <v>165</v>
      </c>
      <c r="T4" s="10">
        <v>165</v>
      </c>
      <c r="U4" s="10">
        <v>165</v>
      </c>
      <c r="X4" t="s">
        <v>363</v>
      </c>
      <c r="Y4">
        <v>1</v>
      </c>
      <c r="Z4">
        <v>2</v>
      </c>
      <c r="AA4">
        <v>3</v>
      </c>
      <c r="AB4">
        <v>4</v>
      </c>
      <c r="AC4">
        <v>5</v>
      </c>
      <c r="AD4">
        <v>6</v>
      </c>
      <c r="AE4">
        <v>7</v>
      </c>
      <c r="AF4">
        <v>8</v>
      </c>
      <c r="AG4">
        <v>9</v>
      </c>
      <c r="AH4">
        <v>10</v>
      </c>
      <c r="AI4">
        <v>11</v>
      </c>
    </row>
    <row r="5" spans="1:35" x14ac:dyDescent="0.25">
      <c r="A5" s="10" t="s">
        <v>366</v>
      </c>
      <c r="B5" s="166">
        <v>200</v>
      </c>
      <c r="C5" s="166">
        <v>200</v>
      </c>
      <c r="D5" s="166">
        <v>200</v>
      </c>
      <c r="E5" s="166">
        <v>200</v>
      </c>
      <c r="F5" s="166">
        <v>200</v>
      </c>
      <c r="G5" s="166">
        <v>200</v>
      </c>
      <c r="H5" s="166">
        <v>200</v>
      </c>
      <c r="I5" s="166">
        <v>200</v>
      </c>
      <c r="J5" s="166">
        <v>200</v>
      </c>
      <c r="K5" s="166">
        <v>200</v>
      </c>
      <c r="L5" s="166">
        <v>200</v>
      </c>
      <c r="M5" s="166">
        <v>200</v>
      </c>
      <c r="N5" s="166">
        <v>200</v>
      </c>
      <c r="O5" s="166">
        <v>200</v>
      </c>
      <c r="P5" s="166">
        <v>200</v>
      </c>
      <c r="Q5" s="166">
        <v>200</v>
      </c>
      <c r="R5" s="166">
        <v>200</v>
      </c>
      <c r="S5" s="166">
        <v>200</v>
      </c>
      <c r="T5" s="166">
        <v>200</v>
      </c>
      <c r="U5" s="166">
        <v>200</v>
      </c>
      <c r="X5">
        <v>1</v>
      </c>
      <c r="Y5" s="152" t="s">
        <v>365</v>
      </c>
      <c r="Z5" s="153" t="s">
        <v>365</v>
      </c>
      <c r="AA5" s="153" t="s">
        <v>365</v>
      </c>
      <c r="AB5" s="153" t="s">
        <v>365</v>
      </c>
      <c r="AC5" s="153" t="s">
        <v>365</v>
      </c>
      <c r="AD5" s="153" t="s">
        <v>365</v>
      </c>
      <c r="AE5" s="153" t="s">
        <v>365</v>
      </c>
      <c r="AF5" s="153" t="s">
        <v>365</v>
      </c>
      <c r="AG5" s="153" t="s">
        <v>365</v>
      </c>
      <c r="AH5" s="153" t="s">
        <v>365</v>
      </c>
      <c r="AI5" s="154" t="s">
        <v>365</v>
      </c>
    </row>
    <row r="6" spans="1:35" x14ac:dyDescent="0.25">
      <c r="A6" s="4" t="s">
        <v>367</v>
      </c>
      <c r="B6" s="4">
        <f>(PI()*B7^2*B5)*B8*B9</f>
        <v>628146.28868232062</v>
      </c>
      <c r="C6" s="4">
        <f t="shared" ref="C6" si="3">(PI()*C7^2*C5)*C8*C9</f>
        <v>382349.91485010821</v>
      </c>
      <c r="D6" s="4">
        <f>(PI()*D7^2*D5)*D8*D9</f>
        <v>628146.28868232062</v>
      </c>
      <c r="E6" s="4">
        <f t="shared" ref="E6" si="4">(PI()*E7^2*E5)*E8*E9</f>
        <v>382349.91485010821</v>
      </c>
      <c r="F6" s="4">
        <f>(PI()*F7^2*F5)*F8*F9</f>
        <v>628146.28868232062</v>
      </c>
      <c r="G6" s="4">
        <f t="shared" ref="G6" si="5">(PI()*G7^2*G5)*G8*G9</f>
        <v>382349.91485010821</v>
      </c>
      <c r="H6" s="4">
        <f>(PI()*H7^2*H5)*H8*H9</f>
        <v>628146.28868232062</v>
      </c>
      <c r="I6" s="4">
        <f t="shared" ref="I6" si="6">(PI()*I7^2*I5)*I8*I9</f>
        <v>382349.91485010821</v>
      </c>
      <c r="J6" s="4">
        <f>(PI()*J7^2*J5)*J8*J9</f>
        <v>628146.28868232062</v>
      </c>
      <c r="K6" s="4">
        <f t="shared" ref="K6" si="7">(PI()*K7^2*K5)*K8*K9</f>
        <v>382349.91485010821</v>
      </c>
      <c r="L6" s="4">
        <f>(PI()*L7^2*L5)*L8*L9</f>
        <v>628146.28868232062</v>
      </c>
      <c r="M6" s="4">
        <f t="shared" ref="M6" si="8">(PI()*M7^2*M5)*M8*M9</f>
        <v>382349.91485010821</v>
      </c>
      <c r="N6" s="4">
        <f>(PI()*N7^2*N5)*N8*N9</f>
        <v>628146.28868232062</v>
      </c>
      <c r="O6" s="4">
        <f t="shared" ref="O6" si="9">(PI()*O7^2*O5)*O8*O9</f>
        <v>382349.91485010821</v>
      </c>
      <c r="P6" s="4">
        <f>(PI()*P7^2*P5)*P8*P9</f>
        <v>628146.28868232062</v>
      </c>
      <c r="Q6" s="4">
        <f t="shared" ref="Q6" si="10">(PI()*Q7^2*Q5)*Q8*Q9</f>
        <v>382349.91485010821</v>
      </c>
      <c r="R6" s="4">
        <f>(PI()*R7^2*R5)*R8*R9</f>
        <v>628146.28868232062</v>
      </c>
      <c r="S6" s="4">
        <f t="shared" ref="S6" si="11">(PI()*S7^2*S5)*S8*S9</f>
        <v>382349.91485010821</v>
      </c>
      <c r="T6" s="4">
        <f>(PI()*T7^2*T5)*T8*T9</f>
        <v>628146.28868232062</v>
      </c>
      <c r="U6" s="4">
        <f t="shared" ref="U6" si="12">(PI()*U7^2*U5)*U8*U9</f>
        <v>382349.91485010821</v>
      </c>
      <c r="X6">
        <v>2</v>
      </c>
      <c r="Y6" s="22" t="s">
        <v>365</v>
      </c>
      <c r="Z6" s="17"/>
      <c r="AA6" s="17"/>
      <c r="AB6" s="17"/>
      <c r="AC6" s="17"/>
      <c r="AD6" s="17"/>
      <c r="AE6" s="17"/>
      <c r="AF6" s="17"/>
      <c r="AG6" s="17"/>
      <c r="AH6" s="17"/>
      <c r="AI6" s="21" t="s">
        <v>365</v>
      </c>
    </row>
    <row r="7" spans="1:35" x14ac:dyDescent="0.25">
      <c r="A7" s="157" t="s">
        <v>368</v>
      </c>
      <c r="B7" s="13">
        <v>0.40576499999999999</v>
      </c>
      <c r="C7" s="13">
        <v>0.40576499999999999</v>
      </c>
      <c r="D7" s="13">
        <v>0.40576499999999999</v>
      </c>
      <c r="E7" s="13">
        <v>0.40576499999999999</v>
      </c>
      <c r="F7" s="13">
        <v>0.40576499999999999</v>
      </c>
      <c r="G7" s="13">
        <v>0.40576499999999999</v>
      </c>
      <c r="H7" s="13">
        <v>0.40576499999999999</v>
      </c>
      <c r="I7" s="13">
        <v>0.40576499999999999</v>
      </c>
      <c r="J7" s="13">
        <v>0.40576499999999999</v>
      </c>
      <c r="K7" s="13">
        <v>0.40576499999999999</v>
      </c>
      <c r="L7" s="13">
        <v>0.40576499999999999</v>
      </c>
      <c r="M7" s="13">
        <v>0.40576499999999999</v>
      </c>
      <c r="N7" s="13">
        <v>0.40576499999999999</v>
      </c>
      <c r="O7" s="13">
        <v>0.40576499999999999</v>
      </c>
      <c r="P7" s="13">
        <v>0.40576499999999999</v>
      </c>
      <c r="Q7" s="13">
        <v>0.40576499999999999</v>
      </c>
      <c r="R7" s="13">
        <v>0.40576499999999999</v>
      </c>
      <c r="S7" s="13">
        <v>0.40576499999999999</v>
      </c>
      <c r="T7" s="13">
        <v>0.40576499999999999</v>
      </c>
      <c r="U7" s="13">
        <v>0.40576499999999999</v>
      </c>
      <c r="X7">
        <v>3</v>
      </c>
      <c r="Y7" s="22" t="s">
        <v>365</v>
      </c>
      <c r="Z7" s="17"/>
      <c r="AA7" s="152"/>
      <c r="AB7" s="153"/>
      <c r="AC7" s="155">
        <v>201</v>
      </c>
      <c r="AD7" s="156">
        <v>101</v>
      </c>
      <c r="AE7" s="155">
        <v>202</v>
      </c>
      <c r="AF7" s="153"/>
      <c r="AG7" s="154"/>
      <c r="AH7" s="17"/>
      <c r="AI7" s="21" t="s">
        <v>365</v>
      </c>
    </row>
    <row r="8" spans="1:35" x14ac:dyDescent="0.25">
      <c r="A8" s="13" t="s">
        <v>369</v>
      </c>
      <c r="B8" s="4">
        <v>23</v>
      </c>
      <c r="C8" s="4">
        <v>14</v>
      </c>
      <c r="D8" s="4">
        <v>23</v>
      </c>
      <c r="E8" s="4">
        <v>14</v>
      </c>
      <c r="F8" s="4">
        <v>23</v>
      </c>
      <c r="G8" s="4">
        <v>14</v>
      </c>
      <c r="H8" s="4">
        <v>23</v>
      </c>
      <c r="I8" s="4">
        <v>14</v>
      </c>
      <c r="J8" s="4">
        <v>23</v>
      </c>
      <c r="K8" s="4">
        <v>14</v>
      </c>
      <c r="L8" s="4">
        <v>23</v>
      </c>
      <c r="M8" s="4">
        <v>14</v>
      </c>
      <c r="N8" s="4">
        <v>23</v>
      </c>
      <c r="O8" s="4">
        <v>14</v>
      </c>
      <c r="P8" s="4">
        <v>23</v>
      </c>
      <c r="Q8" s="4">
        <v>14</v>
      </c>
      <c r="R8" s="4">
        <v>23</v>
      </c>
      <c r="S8" s="4">
        <v>14</v>
      </c>
      <c r="T8" s="4">
        <v>23</v>
      </c>
      <c r="U8" s="4">
        <v>14</v>
      </c>
      <c r="X8">
        <v>4</v>
      </c>
      <c r="Y8" s="22" t="s">
        <v>365</v>
      </c>
      <c r="Z8" s="17"/>
      <c r="AA8" s="22"/>
      <c r="AB8" s="158">
        <v>203</v>
      </c>
      <c r="AC8" s="159">
        <v>102</v>
      </c>
      <c r="AD8" s="159">
        <v>103</v>
      </c>
      <c r="AE8" s="159">
        <v>104</v>
      </c>
      <c r="AF8" s="158">
        <v>204</v>
      </c>
      <c r="AG8" s="21"/>
      <c r="AH8" s="17"/>
      <c r="AI8" s="21" t="s">
        <v>365</v>
      </c>
    </row>
    <row r="9" spans="1:35" x14ac:dyDescent="0.25">
      <c r="A9" s="13" t="s">
        <v>370</v>
      </c>
      <c r="B9" s="4">
        <v>264</v>
      </c>
      <c r="C9" s="4">
        <v>264</v>
      </c>
      <c r="D9" s="4">
        <v>264</v>
      </c>
      <c r="E9" s="4">
        <v>264</v>
      </c>
      <c r="F9" s="4">
        <v>264</v>
      </c>
      <c r="G9" s="4">
        <v>264</v>
      </c>
      <c r="H9" s="4">
        <v>264</v>
      </c>
      <c r="I9" s="4">
        <v>264</v>
      </c>
      <c r="J9" s="4">
        <v>264</v>
      </c>
      <c r="K9" s="4">
        <v>264</v>
      </c>
      <c r="L9" s="4">
        <v>264</v>
      </c>
      <c r="M9" s="4">
        <v>264</v>
      </c>
      <c r="N9" s="4">
        <v>264</v>
      </c>
      <c r="O9" s="4">
        <v>264</v>
      </c>
      <c r="P9" s="4">
        <v>264</v>
      </c>
      <c r="Q9" s="4">
        <v>264</v>
      </c>
      <c r="R9" s="4">
        <v>264</v>
      </c>
      <c r="S9" s="4">
        <v>264</v>
      </c>
      <c r="T9" s="4">
        <v>264</v>
      </c>
      <c r="U9" s="4">
        <v>264</v>
      </c>
      <c r="X9">
        <v>5</v>
      </c>
      <c r="Y9" s="22" t="s">
        <v>365</v>
      </c>
      <c r="Z9" s="17"/>
      <c r="AA9" s="160">
        <v>105</v>
      </c>
      <c r="AB9" s="159">
        <v>106</v>
      </c>
      <c r="AC9" s="158">
        <v>205</v>
      </c>
      <c r="AD9" s="159">
        <v>107</v>
      </c>
      <c r="AE9" s="158">
        <v>206</v>
      </c>
      <c r="AF9" s="159">
        <v>108</v>
      </c>
      <c r="AG9" s="161">
        <v>109</v>
      </c>
      <c r="AH9" s="17"/>
      <c r="AI9" s="21" t="s">
        <v>365</v>
      </c>
    </row>
    <row r="10" spans="1:35" x14ac:dyDescent="0.25">
      <c r="A10" s="4" t="s">
        <v>371</v>
      </c>
      <c r="B10" s="4">
        <f>'Fraksi Volume'!V6</f>
        <v>10.530789170305678</v>
      </c>
      <c r="C10" s="4">
        <f>'Fraksi Volume'!W6</f>
        <v>10.49097638325355</v>
      </c>
      <c r="D10">
        <v>10.539994405594406</v>
      </c>
      <c r="E10">
        <v>10.500039882497232</v>
      </c>
      <c r="F10">
        <v>10.549215748031497</v>
      </c>
      <c r="G10">
        <v>10.50911905579191</v>
      </c>
      <c r="H10">
        <v>10.558453239929948</v>
      </c>
      <c r="I10">
        <v>10.51821394383188</v>
      </c>
      <c r="J10">
        <v>10.567706923751096</v>
      </c>
      <c r="K10">
        <v>10.527324587452439</v>
      </c>
      <c r="L10">
        <v>10.576976842105262</v>
      </c>
      <c r="M10">
        <v>10.536451027630475</v>
      </c>
      <c r="N10">
        <v>10.586263037752413</v>
      </c>
      <c r="O10">
        <v>10.545593305485111</v>
      </c>
      <c r="P10">
        <v>10.595565553602812</v>
      </c>
      <c r="Q10">
        <v>10.554751462278295</v>
      </c>
      <c r="R10">
        <v>10.604884432717679</v>
      </c>
      <c r="S10">
        <v>10.563925539415443</v>
      </c>
      <c r="T10">
        <v>10.61421971830986</v>
      </c>
      <c r="U10">
        <v>10.573115578446044</v>
      </c>
      <c r="X10">
        <v>6</v>
      </c>
      <c r="Y10" s="22" t="s">
        <v>365</v>
      </c>
      <c r="Z10" s="17"/>
      <c r="AA10" s="162">
        <v>207</v>
      </c>
      <c r="AB10" s="159">
        <v>110</v>
      </c>
      <c r="AC10" s="159">
        <v>111</v>
      </c>
      <c r="AD10" s="159">
        <v>112</v>
      </c>
      <c r="AE10" s="159">
        <v>113</v>
      </c>
      <c r="AF10" s="159">
        <v>114</v>
      </c>
      <c r="AG10" s="163">
        <v>208</v>
      </c>
      <c r="AH10" s="17"/>
      <c r="AI10" s="21" t="s">
        <v>365</v>
      </c>
    </row>
    <row r="11" spans="1:35" x14ac:dyDescent="0.25">
      <c r="A11" s="4" t="s">
        <v>372</v>
      </c>
      <c r="B11" s="83">
        <f t="shared" ref="B11:U11" si="13">B10*B6</f>
        <v>6614876.1342234854</v>
      </c>
      <c r="C11" s="83">
        <f t="shared" si="13"/>
        <v>4011223.9268314908</v>
      </c>
      <c r="D11" s="83">
        <f t="shared" si="13"/>
        <v>6620658.3686065478</v>
      </c>
      <c r="E11" s="83">
        <f t="shared" si="13"/>
        <v>4014689.3549955566</v>
      </c>
      <c r="F11" s="83">
        <f t="shared" si="13"/>
        <v>6626450.7206350751</v>
      </c>
      <c r="G11" s="83">
        <f t="shared" si="13"/>
        <v>4018160.7761316863</v>
      </c>
      <c r="H11" s="83">
        <f t="shared" si="13"/>
        <v>6632253.2168878205</v>
      </c>
      <c r="I11" s="83">
        <f t="shared" si="13"/>
        <v>4021638.2057993398</v>
      </c>
      <c r="J11" s="83">
        <f t="shared" si="13"/>
        <v>6638065.8840367142</v>
      </c>
      <c r="K11" s="83">
        <f t="shared" si="13"/>
        <v>4025121.6596118906</v>
      </c>
      <c r="L11" s="83">
        <f t="shared" si="13"/>
        <v>6643888.7488472722</v>
      </c>
      <c r="M11" s="83">
        <f t="shared" si="13"/>
        <v>4028611.1532368474</v>
      </c>
      <c r="N11" s="83">
        <f t="shared" si="13"/>
        <v>6649721.8381790081</v>
      </c>
      <c r="O11" s="83">
        <f t="shared" si="13"/>
        <v>4032106.7023961036</v>
      </c>
      <c r="P11" s="83">
        <f t="shared" si="13"/>
        <v>6655565.1789858444</v>
      </c>
      <c r="Q11" s="83">
        <f t="shared" si="13"/>
        <v>4035608.3228661614</v>
      </c>
      <c r="R11" s="83">
        <f t="shared" si="13"/>
        <v>6661418.7983165272</v>
      </c>
      <c r="S11" s="83">
        <f t="shared" si="13"/>
        <v>4039116.0304783783</v>
      </c>
      <c r="T11" s="83">
        <f t="shared" si="13"/>
        <v>6667282.7233150452</v>
      </c>
      <c r="U11" s="83">
        <f t="shared" si="13"/>
        <v>4042629.8411191977</v>
      </c>
      <c r="X11">
        <v>7</v>
      </c>
      <c r="Y11" s="22" t="s">
        <v>365</v>
      </c>
      <c r="Z11" s="17"/>
      <c r="AA11" s="160">
        <v>115</v>
      </c>
      <c r="AB11" s="159">
        <v>116</v>
      </c>
      <c r="AC11" s="158">
        <v>209</v>
      </c>
      <c r="AD11" s="159">
        <v>117</v>
      </c>
      <c r="AE11" s="158">
        <v>210</v>
      </c>
      <c r="AF11" s="159">
        <v>118</v>
      </c>
      <c r="AG11" s="161">
        <v>119</v>
      </c>
      <c r="AH11" s="17"/>
      <c r="AI11" s="21" t="s">
        <v>365</v>
      </c>
    </row>
    <row r="12" spans="1:35" x14ac:dyDescent="0.25">
      <c r="A12" s="13" t="s">
        <v>373</v>
      </c>
      <c r="B12" s="211">
        <f>B11+C11</f>
        <v>10626100.061054977</v>
      </c>
      <c r="C12" s="211"/>
      <c r="D12" s="211">
        <f>D11+E11</f>
        <v>10635347.723602105</v>
      </c>
      <c r="E12" s="211"/>
      <c r="F12" s="211">
        <f>F11+G11</f>
        <v>10644611.496766761</v>
      </c>
      <c r="G12" s="211"/>
      <c r="H12" s="211">
        <f>H11+I11</f>
        <v>10653891.42268716</v>
      </c>
      <c r="I12" s="211"/>
      <c r="J12" s="211">
        <f>J11+K11</f>
        <v>10663187.543648604</v>
      </c>
      <c r="K12" s="211"/>
      <c r="L12" s="211">
        <f>L11+M11</f>
        <v>10672499.90208412</v>
      </c>
      <c r="M12" s="211"/>
      <c r="N12" s="211">
        <f>N11+O11</f>
        <v>10681828.540575111</v>
      </c>
      <c r="O12" s="211"/>
      <c r="P12" s="211">
        <f>P11+Q11</f>
        <v>10691173.501852006</v>
      </c>
      <c r="Q12" s="211"/>
      <c r="R12" s="211">
        <f>R11+S11</f>
        <v>10700534.828794906</v>
      </c>
      <c r="S12" s="211"/>
      <c r="T12" s="211">
        <f>T11+U11</f>
        <v>10709912.564434243</v>
      </c>
      <c r="U12" s="211"/>
      <c r="X12">
        <v>8</v>
      </c>
      <c r="Y12" s="22" t="s">
        <v>365</v>
      </c>
      <c r="Z12" s="17"/>
      <c r="AA12" s="164"/>
      <c r="AB12" s="158">
        <v>211</v>
      </c>
      <c r="AC12" s="159">
        <v>120</v>
      </c>
      <c r="AD12" s="159">
        <v>121</v>
      </c>
      <c r="AE12" s="159">
        <v>122</v>
      </c>
      <c r="AF12" s="158">
        <v>212</v>
      </c>
      <c r="AG12" s="21"/>
      <c r="AH12" s="17"/>
      <c r="AI12" s="21" t="s">
        <v>365</v>
      </c>
    </row>
    <row r="13" spans="1:35" x14ac:dyDescent="0.25">
      <c r="A13" s="4" t="s">
        <v>374</v>
      </c>
      <c r="B13" s="212">
        <v>4</v>
      </c>
      <c r="C13" s="213"/>
      <c r="D13" s="212">
        <v>4</v>
      </c>
      <c r="E13" s="213"/>
      <c r="F13" s="212">
        <v>4</v>
      </c>
      <c r="G13" s="213"/>
      <c r="H13" s="212">
        <v>4</v>
      </c>
      <c r="I13" s="213"/>
      <c r="J13" s="212">
        <v>4</v>
      </c>
      <c r="K13" s="213"/>
      <c r="L13" s="212">
        <v>4</v>
      </c>
      <c r="M13" s="213"/>
      <c r="N13" s="212">
        <v>4</v>
      </c>
      <c r="O13" s="213"/>
      <c r="P13" s="212">
        <v>4</v>
      </c>
      <c r="Q13" s="213"/>
      <c r="R13" s="212">
        <v>4</v>
      </c>
      <c r="S13" s="213"/>
      <c r="T13" s="212">
        <v>4</v>
      </c>
      <c r="U13" s="213"/>
      <c r="X13">
        <v>10</v>
      </c>
      <c r="Y13" s="22" t="s">
        <v>365</v>
      </c>
      <c r="Z13" s="17"/>
      <c r="AA13" s="17"/>
      <c r="AB13" s="17"/>
      <c r="AC13" s="17"/>
      <c r="AD13" s="17"/>
      <c r="AE13" s="17"/>
      <c r="AF13" s="17"/>
      <c r="AG13" s="17"/>
      <c r="AH13" s="17"/>
      <c r="AI13" s="21" t="s">
        <v>365</v>
      </c>
    </row>
    <row r="14" spans="1:35" x14ac:dyDescent="0.25">
      <c r="A14" s="4" t="s">
        <v>375</v>
      </c>
      <c r="B14" s="214">
        <f>B5/4</f>
        <v>50</v>
      </c>
      <c r="C14" s="214"/>
      <c r="D14" s="214">
        <f>D5/4</f>
        <v>50</v>
      </c>
      <c r="E14" s="214"/>
      <c r="F14" s="214">
        <f>F5/4</f>
        <v>50</v>
      </c>
      <c r="G14" s="214"/>
      <c r="H14" s="214">
        <f>H5/4</f>
        <v>50</v>
      </c>
      <c r="I14" s="214"/>
      <c r="J14" s="214">
        <f>J5/4</f>
        <v>50</v>
      </c>
      <c r="K14" s="214"/>
      <c r="L14" s="214">
        <f>L5/4</f>
        <v>50</v>
      </c>
      <c r="M14" s="214"/>
      <c r="N14" s="214">
        <f>N5/4</f>
        <v>50</v>
      </c>
      <c r="O14" s="214"/>
      <c r="P14" s="214">
        <f>P5/4</f>
        <v>50</v>
      </c>
      <c r="Q14" s="214"/>
      <c r="R14" s="214">
        <f>R5/4</f>
        <v>50</v>
      </c>
      <c r="S14" s="214"/>
      <c r="T14" s="214">
        <f>T5/4</f>
        <v>50</v>
      </c>
      <c r="U14" s="214"/>
      <c r="X14">
        <v>11</v>
      </c>
      <c r="Y14" s="165" t="s">
        <v>365</v>
      </c>
      <c r="Z14" s="50" t="s">
        <v>365</v>
      </c>
      <c r="AA14" s="50" t="s">
        <v>365</v>
      </c>
      <c r="AB14" s="50" t="s">
        <v>365</v>
      </c>
      <c r="AC14" s="50" t="s">
        <v>365</v>
      </c>
      <c r="AD14" s="50" t="s">
        <v>365</v>
      </c>
      <c r="AE14" s="50" t="s">
        <v>365</v>
      </c>
      <c r="AF14" s="50" t="s">
        <v>365</v>
      </c>
      <c r="AG14" s="50" t="s">
        <v>365</v>
      </c>
      <c r="AH14" s="50" t="s">
        <v>365</v>
      </c>
      <c r="AI14" s="51" t="s">
        <v>365</v>
      </c>
    </row>
    <row r="15" spans="1:35" x14ac:dyDescent="0.25">
      <c r="A15" s="4" t="s">
        <v>376</v>
      </c>
      <c r="B15" s="215">
        <f>B14*21.50364*21.50364</f>
        <v>23120.326662480002</v>
      </c>
      <c r="C15" s="215"/>
      <c r="D15" s="215">
        <f>D14*21.50364*21.50364</f>
        <v>23120.326662480002</v>
      </c>
      <c r="E15" s="215"/>
      <c r="F15" s="215">
        <f>F14*21.50364*21.50364</f>
        <v>23120.326662480002</v>
      </c>
      <c r="G15" s="215"/>
      <c r="H15" s="215">
        <f>H14*21.50364*21.50364</f>
        <v>23120.326662480002</v>
      </c>
      <c r="I15" s="215"/>
      <c r="J15" s="215">
        <f>J14*21.50364*21.50364</f>
        <v>23120.326662480002</v>
      </c>
      <c r="K15" s="215"/>
      <c r="L15" s="215">
        <f>L14*21.50364*21.50364</f>
        <v>23120.326662480002</v>
      </c>
      <c r="M15" s="215"/>
      <c r="N15" s="215">
        <f>N14*21.50364*21.50364</f>
        <v>23120.326662480002</v>
      </c>
      <c r="O15" s="215"/>
      <c r="P15" s="215">
        <f>P14*21.50364*21.50364</f>
        <v>23120.326662480002</v>
      </c>
      <c r="Q15" s="215"/>
      <c r="R15" s="215">
        <f>R14*21.50364*21.50364</f>
        <v>23120.326662480002</v>
      </c>
      <c r="S15" s="215"/>
      <c r="T15" s="215">
        <f>T14*21.50364*21.50364</f>
        <v>23120.326662480002</v>
      </c>
      <c r="U15" s="215"/>
    </row>
    <row r="16" spans="1:35" x14ac:dyDescent="0.25">
      <c r="A16" s="13" t="s">
        <v>377</v>
      </c>
      <c r="B16" s="4">
        <f t="shared" ref="B16:U16" si="14">(B6/B8)/$B$13</f>
        <v>6827.6770508947893</v>
      </c>
      <c r="C16" s="4">
        <f t="shared" si="14"/>
        <v>6827.6770508947893</v>
      </c>
      <c r="D16" s="4">
        <f t="shared" si="14"/>
        <v>6827.6770508947893</v>
      </c>
      <c r="E16" s="4">
        <f t="shared" si="14"/>
        <v>6827.6770508947893</v>
      </c>
      <c r="F16" s="4">
        <f t="shared" si="14"/>
        <v>6827.6770508947893</v>
      </c>
      <c r="G16" s="4">
        <f t="shared" si="14"/>
        <v>6827.6770508947893</v>
      </c>
      <c r="H16" s="4">
        <f t="shared" si="14"/>
        <v>6827.6770508947893</v>
      </c>
      <c r="I16" s="4">
        <f t="shared" si="14"/>
        <v>6827.6770508947893</v>
      </c>
      <c r="J16" s="4">
        <f t="shared" si="14"/>
        <v>6827.6770508947893</v>
      </c>
      <c r="K16" s="4">
        <f t="shared" si="14"/>
        <v>6827.6770508947893</v>
      </c>
      <c r="L16" s="4">
        <f t="shared" si="14"/>
        <v>6827.6770508947893</v>
      </c>
      <c r="M16" s="4">
        <f t="shared" si="14"/>
        <v>6827.6770508947893</v>
      </c>
      <c r="N16" s="4">
        <f t="shared" si="14"/>
        <v>6827.6770508947893</v>
      </c>
      <c r="O16" s="4">
        <f t="shared" si="14"/>
        <v>6827.6770508947893</v>
      </c>
      <c r="P16" s="4">
        <f t="shared" si="14"/>
        <v>6827.6770508947893</v>
      </c>
      <c r="Q16" s="4">
        <f t="shared" si="14"/>
        <v>6827.6770508947893</v>
      </c>
      <c r="R16" s="4">
        <f t="shared" si="14"/>
        <v>6827.6770508947893</v>
      </c>
      <c r="S16" s="4">
        <f t="shared" si="14"/>
        <v>6827.6770508947893</v>
      </c>
      <c r="T16" s="4">
        <f t="shared" si="14"/>
        <v>6827.6770508947893</v>
      </c>
      <c r="U16" s="4">
        <f t="shared" si="14"/>
        <v>6827.6770508947893</v>
      </c>
    </row>
    <row r="17" spans="1:21" x14ac:dyDescent="0.25">
      <c r="A17" s="13" t="s">
        <v>378</v>
      </c>
      <c r="B17" s="4">
        <f t="shared" ref="B17:U17" si="15">B16/$B$15</f>
        <v>0.29531057889311063</v>
      </c>
      <c r="C17" s="4">
        <f t="shared" si="15"/>
        <v>0.29531057889311063</v>
      </c>
      <c r="D17" s="4">
        <f t="shared" si="15"/>
        <v>0.29531057889311063</v>
      </c>
      <c r="E17" s="4">
        <f t="shared" si="15"/>
        <v>0.29531057889311063</v>
      </c>
      <c r="F17" s="4">
        <f t="shared" si="15"/>
        <v>0.29531057889311063</v>
      </c>
      <c r="G17" s="4">
        <f t="shared" si="15"/>
        <v>0.29531057889311063</v>
      </c>
      <c r="H17" s="4">
        <f t="shared" si="15"/>
        <v>0.29531057889311063</v>
      </c>
      <c r="I17" s="4">
        <f t="shared" si="15"/>
        <v>0.29531057889311063</v>
      </c>
      <c r="J17" s="4">
        <f t="shared" si="15"/>
        <v>0.29531057889311063</v>
      </c>
      <c r="K17" s="4">
        <f t="shared" si="15"/>
        <v>0.29531057889311063</v>
      </c>
      <c r="L17" s="4">
        <f t="shared" si="15"/>
        <v>0.29531057889311063</v>
      </c>
      <c r="M17" s="4">
        <f t="shared" si="15"/>
        <v>0.29531057889311063</v>
      </c>
      <c r="N17" s="4">
        <f t="shared" si="15"/>
        <v>0.29531057889311063</v>
      </c>
      <c r="O17" s="4">
        <f t="shared" si="15"/>
        <v>0.29531057889311063</v>
      </c>
      <c r="P17" s="4">
        <f t="shared" si="15"/>
        <v>0.29531057889311063</v>
      </c>
      <c r="Q17" s="4">
        <f t="shared" si="15"/>
        <v>0.29531057889311063</v>
      </c>
      <c r="R17" s="4">
        <f t="shared" si="15"/>
        <v>0.29531057889311063</v>
      </c>
      <c r="S17" s="4">
        <f t="shared" si="15"/>
        <v>0.29531057889311063</v>
      </c>
      <c r="T17" s="4">
        <f t="shared" si="15"/>
        <v>0.29531057889311063</v>
      </c>
      <c r="U17" s="4">
        <f t="shared" si="15"/>
        <v>0.29531057889311063</v>
      </c>
    </row>
  </sheetData>
  <mergeCells count="52">
    <mergeCell ref="A1:A2"/>
    <mergeCell ref="B1:C1"/>
    <mergeCell ref="X3:AI3"/>
    <mergeCell ref="B12:C12"/>
    <mergeCell ref="B13:C13"/>
    <mergeCell ref="F1:G1"/>
    <mergeCell ref="H1:I1"/>
    <mergeCell ref="J1:K1"/>
    <mergeCell ref="L1:M1"/>
    <mergeCell ref="N1:O1"/>
    <mergeCell ref="P1:Q1"/>
    <mergeCell ref="R1:S1"/>
    <mergeCell ref="T1:U1"/>
    <mergeCell ref="F12:G12"/>
    <mergeCell ref="J12:K12"/>
    <mergeCell ref="N12:O12"/>
    <mergeCell ref="B14:C14"/>
    <mergeCell ref="B15:C15"/>
    <mergeCell ref="D1:E1"/>
    <mergeCell ref="D12:E12"/>
    <mergeCell ref="D13:E13"/>
    <mergeCell ref="D14:E14"/>
    <mergeCell ref="D15:E15"/>
    <mergeCell ref="F13:G13"/>
    <mergeCell ref="F14:G14"/>
    <mergeCell ref="F15:G15"/>
    <mergeCell ref="H12:I12"/>
    <mergeCell ref="H13:I13"/>
    <mergeCell ref="H14:I14"/>
    <mergeCell ref="H15:I15"/>
    <mergeCell ref="J13:K13"/>
    <mergeCell ref="J14:K14"/>
    <mergeCell ref="J15:K15"/>
    <mergeCell ref="L12:M12"/>
    <mergeCell ref="L13:M13"/>
    <mergeCell ref="L14:M14"/>
    <mergeCell ref="L15:M15"/>
    <mergeCell ref="N13:O13"/>
    <mergeCell ref="N14:O14"/>
    <mergeCell ref="N15:O15"/>
    <mergeCell ref="P12:Q12"/>
    <mergeCell ref="P13:Q13"/>
    <mergeCell ref="P14:Q14"/>
    <mergeCell ref="P15:Q15"/>
    <mergeCell ref="R12:S12"/>
    <mergeCell ref="R13:S13"/>
    <mergeCell ref="R14:S14"/>
    <mergeCell ref="R15:S15"/>
    <mergeCell ref="T12:U12"/>
    <mergeCell ref="T13:U13"/>
    <mergeCell ref="T14:U14"/>
    <mergeCell ref="T15:U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topLeftCell="T1" zoomScale="80" zoomScaleNormal="80" workbookViewId="0">
      <selection activeCell="AA15" sqref="AA15"/>
    </sheetView>
  </sheetViews>
  <sheetFormatPr defaultRowHeight="15" x14ac:dyDescent="0.25"/>
  <cols>
    <col min="1" max="1" width="26" bestFit="1" customWidth="1"/>
    <col min="2" max="2" width="10.85546875" bestFit="1" customWidth="1"/>
    <col min="3" max="3" width="12.140625" bestFit="1" customWidth="1"/>
    <col min="4" max="4" width="13" bestFit="1" customWidth="1"/>
    <col min="6" max="6" width="9.7109375" customWidth="1"/>
    <col min="7" max="7" width="10.42578125" bestFit="1" customWidth="1"/>
    <col min="8" max="8" width="14.28515625" bestFit="1" customWidth="1"/>
    <col min="9" max="9" width="8" customWidth="1"/>
    <col min="10" max="10" width="12" bestFit="1" customWidth="1"/>
    <col min="11" max="11" width="8.85546875" bestFit="1" customWidth="1"/>
    <col min="12" max="14" width="13.140625" bestFit="1" customWidth="1"/>
    <col min="15" max="15" width="13.28515625" bestFit="1" customWidth="1"/>
    <col min="16" max="19" width="13.140625" bestFit="1" customWidth="1"/>
    <col min="21" max="27" width="13.5703125" bestFit="1" customWidth="1"/>
  </cols>
  <sheetData>
    <row r="1" spans="1:27" x14ac:dyDescent="0.25">
      <c r="A1" s="180" t="s">
        <v>34</v>
      </c>
      <c r="B1" s="180"/>
      <c r="C1" s="180"/>
      <c r="D1" s="180"/>
    </row>
    <row r="2" spans="1:27" x14ac:dyDescent="0.25">
      <c r="A2" s="2" t="s">
        <v>35</v>
      </c>
      <c r="B2" s="2" t="s">
        <v>36</v>
      </c>
      <c r="C2" s="2" t="s">
        <v>37</v>
      </c>
      <c r="D2" s="2" t="s">
        <v>38</v>
      </c>
    </row>
    <row r="3" spans="1:27" x14ac:dyDescent="0.25">
      <c r="A3" s="4" t="s">
        <v>39</v>
      </c>
      <c r="B3" s="12">
        <v>6.0221408570000002E+23</v>
      </c>
      <c r="C3" s="4" t="s">
        <v>40</v>
      </c>
      <c r="D3" s="4" t="s">
        <v>41</v>
      </c>
      <c r="F3" s="179" t="s">
        <v>27</v>
      </c>
      <c r="G3" s="179"/>
      <c r="H3" s="179"/>
      <c r="I3" s="179"/>
      <c r="J3" s="27" t="s">
        <v>58</v>
      </c>
      <c r="K3" s="27"/>
      <c r="L3" s="179" t="s">
        <v>115</v>
      </c>
      <c r="M3" s="179"/>
      <c r="N3" s="179"/>
      <c r="O3" s="179"/>
      <c r="P3" s="179"/>
      <c r="Q3" s="179"/>
      <c r="R3" s="179"/>
      <c r="S3" s="179"/>
    </row>
    <row r="4" spans="1:27" x14ac:dyDescent="0.25">
      <c r="A4" s="4" t="s">
        <v>44</v>
      </c>
      <c r="B4" s="4">
        <v>772.03899999999999</v>
      </c>
      <c r="C4" s="4" t="s">
        <v>45</v>
      </c>
      <c r="D4" s="4"/>
      <c r="F4" s="178" t="s">
        <v>119</v>
      </c>
      <c r="G4" s="178" t="s">
        <v>120</v>
      </c>
      <c r="H4" s="178" t="s">
        <v>117</v>
      </c>
      <c r="I4" s="178" t="s">
        <v>118</v>
      </c>
      <c r="J4" s="178" t="s">
        <v>116</v>
      </c>
      <c r="K4" s="220" t="s">
        <v>73</v>
      </c>
      <c r="L4" s="27" t="s">
        <v>62</v>
      </c>
      <c r="M4" s="27" t="s">
        <v>64</v>
      </c>
      <c r="N4" s="32" t="s">
        <v>53</v>
      </c>
      <c r="O4" s="32" t="s">
        <v>54</v>
      </c>
      <c r="P4" s="32" t="s">
        <v>55</v>
      </c>
      <c r="Q4" s="32" t="s">
        <v>56</v>
      </c>
      <c r="R4" s="32" t="s">
        <v>57</v>
      </c>
      <c r="S4" s="27" t="s">
        <v>66</v>
      </c>
      <c r="T4" s="217" t="s">
        <v>379</v>
      </c>
      <c r="U4" s="147" t="s">
        <v>62</v>
      </c>
      <c r="V4" s="147" t="s">
        <v>64</v>
      </c>
      <c r="W4" s="32" t="s">
        <v>53</v>
      </c>
      <c r="X4" s="32" t="s">
        <v>54</v>
      </c>
      <c r="Y4" s="32" t="s">
        <v>55</v>
      </c>
      <c r="Z4" s="32" t="s">
        <v>56</v>
      </c>
      <c r="AA4" s="32" t="s">
        <v>57</v>
      </c>
    </row>
    <row r="5" spans="1:27" x14ac:dyDescent="0.25">
      <c r="A5" s="13" t="s">
        <v>46</v>
      </c>
      <c r="B5" s="4">
        <v>0.75320399999999998</v>
      </c>
      <c r="C5" s="4" t="s">
        <v>42</v>
      </c>
      <c r="D5" s="4"/>
      <c r="F5" s="178"/>
      <c r="G5" s="178"/>
      <c r="H5" s="178"/>
      <c r="I5" s="178"/>
      <c r="J5" s="178"/>
      <c r="K5" s="221"/>
      <c r="L5" s="27" t="s">
        <v>63</v>
      </c>
      <c r="M5" s="27" t="s">
        <v>65</v>
      </c>
      <c r="N5" s="27" t="s">
        <v>121</v>
      </c>
      <c r="O5" s="27" t="s">
        <v>122</v>
      </c>
      <c r="P5" s="27" t="s">
        <v>123</v>
      </c>
      <c r="Q5" s="27" t="s">
        <v>124</v>
      </c>
      <c r="R5" s="27" t="s">
        <v>125</v>
      </c>
      <c r="S5" s="27" t="s">
        <v>67</v>
      </c>
      <c r="T5" s="217"/>
      <c r="U5" s="147" t="s">
        <v>63</v>
      </c>
      <c r="V5" s="147" t="s">
        <v>65</v>
      </c>
      <c r="W5" s="147" t="s">
        <v>121</v>
      </c>
      <c r="X5" s="147" t="s">
        <v>122</v>
      </c>
      <c r="Y5" s="147" t="s">
        <v>123</v>
      </c>
      <c r="Z5" s="147" t="s">
        <v>124</v>
      </c>
      <c r="AA5" s="147" t="s">
        <v>125</v>
      </c>
    </row>
    <row r="6" spans="1:27" x14ac:dyDescent="0.25">
      <c r="A6" s="4" t="s">
        <v>47</v>
      </c>
      <c r="B6" s="4">
        <v>557.03899999999999</v>
      </c>
      <c r="C6" s="4" t="s">
        <v>45</v>
      </c>
      <c r="D6" s="4"/>
      <c r="F6" s="4">
        <v>2</v>
      </c>
      <c r="G6" s="4">
        <f>100-F6</f>
        <v>98</v>
      </c>
      <c r="H6" s="4">
        <v>7.1999999999999998E-3</v>
      </c>
      <c r="I6" s="4">
        <f>1-H6</f>
        <v>0.99280000000000002</v>
      </c>
      <c r="J6" s="4">
        <f>'Fraksi Volume'!X6</f>
        <v>270.06235197065058</v>
      </c>
      <c r="K6" s="4">
        <f>'Fraksi Volume'!V6</f>
        <v>10.530789170305678</v>
      </c>
      <c r="L6" s="18">
        <f>G6/100*H6*K6*$B$3/J6*1E-24</f>
        <v>1.6569383660020408E-4</v>
      </c>
      <c r="M6" s="18">
        <f>G6/100*I6*K6*$B$3/J6*1E-24</f>
        <v>2.2847339024539261E-2</v>
      </c>
      <c r="N6" s="18">
        <f t="shared" ref="N6:N15" si="0">F6/100*$B$16*K6*$B$3/J6*1E-24</f>
        <v>2.1604071665559489E-5</v>
      </c>
      <c r="O6" s="18">
        <f t="shared" ref="O6:O15" si="1">F6/100*$B$17*K6*$B$3/J6*1E-24</f>
        <v>2.3717513458929447E-4</v>
      </c>
      <c r="P6" s="18">
        <f t="shared" ref="P6:P15" si="2">F6/100*$B$18*K6*$B$3/J6*1E-24</f>
        <v>1.1271689564639734E-4</v>
      </c>
      <c r="Q6" s="18">
        <f t="shared" ref="Q6:Q15" si="3">F6/100*$B$19*K6*$B$3/J6*1E-24</f>
        <v>5.8706716482498619E-5</v>
      </c>
      <c r="R6" s="18">
        <f t="shared" ref="R6:R15" si="4">F6/100*$B$20*K6*$B$3/J6*1E-24</f>
        <v>3.9450913476239078E-5</v>
      </c>
      <c r="S6" s="18">
        <f>4*$B$3*K6/J6*1E-24</f>
        <v>9.3930746371997789E-2</v>
      </c>
      <c r="T6" s="217"/>
      <c r="U6" s="18">
        <f>L6*'HD FIX'!$B$17</f>
        <v>4.8931142805426748E-5</v>
      </c>
      <c r="V6" s="18">
        <f>M6*'HD FIX'!$B$17</f>
        <v>6.7470609135038464E-3</v>
      </c>
      <c r="W6" s="18">
        <f>N6*'HD FIX'!$B$17</f>
        <v>6.3799109100046211E-6</v>
      </c>
      <c r="X6" s="18">
        <f>O6*'HD FIX'!$B$17</f>
        <v>7.0040326294615974E-5</v>
      </c>
      <c r="Y6" s="18">
        <f>P6*'HD FIX'!$B$17</f>
        <v>3.3286491704371941E-5</v>
      </c>
      <c r="Z6" s="18">
        <f>Q6*'HD FIX'!$B$17</f>
        <v>1.7336714429360386E-5</v>
      </c>
      <c r="AA6" s="18">
        <f>R6*'HD FIX'!$B$17</f>
        <v>1.1650272096530181E-5</v>
      </c>
    </row>
    <row r="7" spans="1:27" x14ac:dyDescent="0.25">
      <c r="A7" s="13" t="s">
        <v>48</v>
      </c>
      <c r="B7" s="4">
        <v>9.0273999999999997E-3</v>
      </c>
      <c r="C7" s="4" t="s">
        <v>42</v>
      </c>
      <c r="D7" s="4" t="s">
        <v>41</v>
      </c>
      <c r="F7" s="4">
        <v>4</v>
      </c>
      <c r="G7" s="4">
        <f t="shared" ref="G7:G15" si="5">100-F7</f>
        <v>96</v>
      </c>
      <c r="H7" s="4">
        <v>7.1999999999999998E-3</v>
      </c>
      <c r="I7" s="4">
        <f t="shared" ref="I7:I15" si="6">1-H7</f>
        <v>0.99280000000000002</v>
      </c>
      <c r="J7" s="4">
        <f>'Fraksi Volume'!X7</f>
        <v>270.09676087298459</v>
      </c>
      <c r="K7" s="4">
        <f>'Fraksi Volume'!V7</f>
        <v>10.539994405594406</v>
      </c>
      <c r="L7" s="18">
        <f t="shared" ref="L7:L14" si="7">G7/100*H7*K7*$B$3/J7*1E-24</f>
        <v>1.6243351532851136E-4</v>
      </c>
      <c r="M7" s="18">
        <f t="shared" ref="M7:M15" si="8">G7/100*I7*K7*$B$3/J7*1E-24</f>
        <v>2.2397776946964734E-2</v>
      </c>
      <c r="N7" s="18">
        <f t="shared" si="0"/>
        <v>4.3240403386062061E-5</v>
      </c>
      <c r="O7" s="18">
        <f t="shared" si="1"/>
        <v>4.7470442847742037E-4</v>
      </c>
      <c r="P7" s="18">
        <f t="shared" si="2"/>
        <v>2.2560210462293245E-4</v>
      </c>
      <c r="Q7" s="18">
        <f t="shared" si="3"/>
        <v>1.1750109615777732E-4</v>
      </c>
      <c r="R7" s="18">
        <f t="shared" si="4"/>
        <v>7.8960736618026358E-5</v>
      </c>
      <c r="S7" s="18">
        <f t="shared" ref="S7:S15" si="9">4*$B$3*K7/J7*1E-24</f>
        <v>9.400087692622186E-2</v>
      </c>
      <c r="T7" s="217"/>
      <c r="U7" s="18">
        <f>L7*'HD FIX'!$B$17</f>
        <v>4.7968335443305645E-5</v>
      </c>
      <c r="V7" s="18">
        <f>M7*'HD FIX'!$B$17</f>
        <v>6.6143004761269235E-3</v>
      </c>
      <c r="W7" s="18">
        <f>N7*'HD FIX'!$B$17</f>
        <v>1.2769348555509609E-5</v>
      </c>
      <c r="X7" s="18">
        <f>O7*'HD FIX'!$B$17</f>
        <v>1.4018523957679024E-4</v>
      </c>
      <c r="Y7" s="18">
        <f>P7*'HD FIX'!$B$17</f>
        <v>6.662268811570229E-5</v>
      </c>
      <c r="Z7" s="18">
        <f>Q7*'HD FIX'!$B$17</f>
        <v>3.4699316726928282E-5</v>
      </c>
      <c r="AA7" s="18">
        <f>R7*'HD FIX'!$B$17</f>
        <v>2.3317940840495803E-5</v>
      </c>
    </row>
    <row r="8" spans="1:27" x14ac:dyDescent="0.25">
      <c r="A8" s="13" t="s">
        <v>49</v>
      </c>
      <c r="B8" s="93">
        <v>739.20935368907362</v>
      </c>
      <c r="C8" s="13" t="s">
        <v>45</v>
      </c>
      <c r="D8" s="13"/>
      <c r="F8" s="4">
        <v>6</v>
      </c>
      <c r="G8" s="4">
        <f t="shared" si="5"/>
        <v>94</v>
      </c>
      <c r="H8" s="4">
        <v>7.1999999999999998E-3</v>
      </c>
      <c r="I8" s="4">
        <f t="shared" si="6"/>
        <v>0.99280000000000002</v>
      </c>
      <c r="J8" s="4">
        <f>'Fraksi Volume'!X8</f>
        <v>270.13116977531854</v>
      </c>
      <c r="K8" s="4">
        <f>'Fraksi Volume'!V8</f>
        <v>10.549215748031497</v>
      </c>
      <c r="L8" s="18">
        <f t="shared" si="7"/>
        <v>1.5916835745460889E-4</v>
      </c>
      <c r="M8" s="18">
        <f t="shared" si="8"/>
        <v>2.1947547955685511E-2</v>
      </c>
      <c r="N8" s="18">
        <f t="shared" si="0"/>
        <v>6.4909081940709302E-5</v>
      </c>
      <c r="O8" s="18">
        <f t="shared" si="1"/>
        <v>7.1258883434909134E-4</v>
      </c>
      <c r="P8" s="18">
        <f t="shared" si="2"/>
        <v>3.3865607969065724E-4</v>
      </c>
      <c r="Q8" s="18">
        <f t="shared" si="3"/>
        <v>1.7638337483888401E-4</v>
      </c>
      <c r="R8" s="18">
        <f t="shared" si="4"/>
        <v>1.1852962789173003E-4</v>
      </c>
      <c r="S8" s="18">
        <f t="shared" si="9"/>
        <v>9.4071133247404792E-2</v>
      </c>
      <c r="T8" s="217"/>
      <c r="U8" s="18">
        <f>L8*'HD FIX'!$B$17</f>
        <v>4.7004099781386108E-5</v>
      </c>
      <c r="V8" s="18">
        <f>M8*'HD FIX'!$B$17</f>
        <v>6.4813430920777947E-3</v>
      </c>
      <c r="W8" s="18">
        <f>N8*'HD FIX'!$B$17</f>
        <v>1.9168338563331216E-5</v>
      </c>
      <c r="X8" s="18">
        <f>O8*'HD FIX'!$B$17</f>
        <v>2.1043502118439709E-4</v>
      </c>
      <c r="Y8" s="18">
        <f>P8*'HD FIX'!$B$17</f>
        <v>1.000087229391194E-4</v>
      </c>
      <c r="Z8" s="18">
        <f>Q8*'HD FIX'!$B$17</f>
        <v>5.2087876530791361E-5</v>
      </c>
      <c r="AA8" s="18">
        <f>R8*'HD FIX'!$B$17</f>
        <v>3.5003053028691786E-5</v>
      </c>
    </row>
    <row r="9" spans="1:27" x14ac:dyDescent="0.25">
      <c r="A9" s="4" t="s">
        <v>50</v>
      </c>
      <c r="B9" s="4">
        <v>1850</v>
      </c>
      <c r="C9" s="4" t="s">
        <v>51</v>
      </c>
      <c r="D9" s="4"/>
      <c r="F9" s="4">
        <v>8</v>
      </c>
      <c r="G9" s="4">
        <f t="shared" si="5"/>
        <v>92</v>
      </c>
      <c r="H9" s="4">
        <v>7.1999999999999998E-3</v>
      </c>
      <c r="I9" s="4">
        <f t="shared" si="6"/>
        <v>0.99280000000000002</v>
      </c>
      <c r="J9" s="4">
        <f>'Fraksi Volume'!X9</f>
        <v>270.1655786776526</v>
      </c>
      <c r="K9" s="4">
        <f>'Fraksi Volume'!V9</f>
        <v>10.558453239929948</v>
      </c>
      <c r="L9" s="18">
        <f>G9/100*H9*K9*$B$3/J9*1E-24</f>
        <v>1.558983499408504E-4</v>
      </c>
      <c r="M9" s="18">
        <f t="shared" si="8"/>
        <v>2.1496650252955045E-2</v>
      </c>
      <c r="N9" s="18">
        <f t="shared" si="0"/>
        <v>8.6610194411583565E-5</v>
      </c>
      <c r="O9" s="18">
        <f t="shared" si="1"/>
        <v>9.5082930821412386E-4</v>
      </c>
      <c r="P9" s="18">
        <f t="shared" si="2"/>
        <v>4.5187927519087077E-4</v>
      </c>
      <c r="Q9" s="18">
        <f t="shared" si="3"/>
        <v>2.3535378916191187E-4</v>
      </c>
      <c r="R9" s="18">
        <f t="shared" si="4"/>
        <v>1.5815774631680477E-4</v>
      </c>
      <c r="S9" s="18">
        <f t="shared" si="9"/>
        <v>9.4141515664764738E-2</v>
      </c>
      <c r="T9" s="217"/>
      <c r="U9" s="18">
        <f>L9*'HD FIX'!$B$17</f>
        <v>4.6038431969513269E-5</v>
      </c>
      <c r="V9" s="18">
        <f>M9*'HD FIX'!$B$17</f>
        <v>6.3481882304628878E-3</v>
      </c>
      <c r="W9" s="18">
        <f>N9*'HD FIX'!$B$17</f>
        <v>2.5576906649729597E-5</v>
      </c>
      <c r="X9" s="18">
        <f>O9*'HD FIX'!$B$17</f>
        <v>2.8078995343724884E-4</v>
      </c>
      <c r="Y9" s="18">
        <f>P9*'HD FIX'!$B$17</f>
        <v>1.3344473034641529E-4</v>
      </c>
      <c r="Z9" s="18">
        <f>Q9*'HD FIX'!$B$17</f>
        <v>6.9502463722091298E-5</v>
      </c>
      <c r="AA9" s="18">
        <f>R9*'HD FIX'!$B$17</f>
        <v>4.670565562124535E-5</v>
      </c>
    </row>
    <row r="10" spans="1:27" x14ac:dyDescent="0.25">
      <c r="A10" s="13" t="s">
        <v>52</v>
      </c>
      <c r="B10" s="93">
        <v>645.57216968162379</v>
      </c>
      <c r="C10" s="13" t="s">
        <v>45</v>
      </c>
      <c r="D10" s="13"/>
      <c r="F10" s="4">
        <v>10</v>
      </c>
      <c r="G10" s="4">
        <f t="shared" si="5"/>
        <v>90</v>
      </c>
      <c r="H10" s="4">
        <v>7.1999999999999998E-3</v>
      </c>
      <c r="I10" s="4">
        <f t="shared" si="6"/>
        <v>0.99280000000000002</v>
      </c>
      <c r="J10" s="4">
        <f>'Fraksi Volume'!X10</f>
        <v>270.19998757998661</v>
      </c>
      <c r="K10" s="4">
        <f>'Fraksi Volume'!V10</f>
        <v>10.567706923751096</v>
      </c>
      <c r="L10" s="18">
        <f>G10/100*H10*K10*$B$3/J10*1E-24</f>
        <v>1.5262347970405304E-4</v>
      </c>
      <c r="M10" s="18">
        <f t="shared" si="8"/>
        <v>2.104508203474776E-2</v>
      </c>
      <c r="N10" s="18">
        <f t="shared" si="0"/>
        <v>1.0834382818497592E-4</v>
      </c>
      <c r="O10" s="18">
        <f t="shared" si="1"/>
        <v>1.1894268094220185E-3</v>
      </c>
      <c r="P10" s="18">
        <f t="shared" si="2"/>
        <v>5.652721470520484E-4</v>
      </c>
      <c r="Q10" s="18">
        <f t="shared" si="3"/>
        <v>2.944125765896085E-4</v>
      </c>
      <c r="R10" s="18">
        <f t="shared" si="4"/>
        <v>1.9784525146821695E-4</v>
      </c>
      <c r="S10" s="18">
        <f t="shared" si="9"/>
        <v>9.4212024508674733E-2</v>
      </c>
      <c r="T10" s="217"/>
      <c r="U10" s="18">
        <f>L10*'HD FIX'!$B$17</f>
        <v>4.5071328144084824E-5</v>
      </c>
      <c r="V10" s="18">
        <f>M10*'HD FIX'!$B$17</f>
        <v>6.2148353585343638E-3</v>
      </c>
      <c r="W10" s="18">
        <f>N10*'HD FIX'!$B$17</f>
        <v>3.1995078620800958E-5</v>
      </c>
      <c r="X10" s="18">
        <f>O10*'HD FIX'!$B$17</f>
        <v>3.5125031964140183E-4</v>
      </c>
      <c r="Y10" s="18">
        <f>P10*'HD FIX'!$B$17</f>
        <v>1.6693084497809197E-4</v>
      </c>
      <c r="Z10" s="18">
        <f>Q10*'HD FIX'!$B$17</f>
        <v>8.6943148426089559E-5</v>
      </c>
      <c r="AA10" s="18">
        <f>R10*'HD FIX'!$B$17</f>
        <v>5.8425795742332193E-5</v>
      </c>
    </row>
    <row r="11" spans="1:27" x14ac:dyDescent="0.25">
      <c r="F11" s="11">
        <v>12</v>
      </c>
      <c r="G11" s="11">
        <f t="shared" si="5"/>
        <v>88</v>
      </c>
      <c r="H11" s="11">
        <v>7.1999999999999998E-3</v>
      </c>
      <c r="I11" s="4">
        <f t="shared" si="6"/>
        <v>0.99280000000000002</v>
      </c>
      <c r="J11" s="4">
        <f>'Fraksi Volume'!X11</f>
        <v>270.23439648232056</v>
      </c>
      <c r="K11" s="4">
        <f>'Fraksi Volume'!V11</f>
        <v>10.576976842105262</v>
      </c>
      <c r="L11" s="18">
        <f t="shared" si="7"/>
        <v>1.4934373361529722E-4</v>
      </c>
      <c r="M11" s="18">
        <f t="shared" si="8"/>
        <v>2.0592841490731539E-2</v>
      </c>
      <c r="N11" s="18">
        <f t="shared" si="0"/>
        <v>1.3011007095272106E-4</v>
      </c>
      <c r="O11" s="18">
        <f t="shared" si="1"/>
        <v>1.4283823006766116E-3</v>
      </c>
      <c r="P11" s="18">
        <f t="shared" si="2"/>
        <v>6.7883515279680562E-4</v>
      </c>
      <c r="Q11" s="18">
        <f t="shared" si="3"/>
        <v>3.5355997541500293E-4</v>
      </c>
      <c r="R11" s="18">
        <f t="shared" si="4"/>
        <v>2.3759230347888196E-4</v>
      </c>
      <c r="S11" s="18">
        <f t="shared" si="9"/>
        <v>9.4282660110667438E-2</v>
      </c>
      <c r="T11" s="217"/>
      <c r="U11" s="18">
        <f>L11*'HD FIX'!$B$17</f>
        <v>4.4102784427991928E-5</v>
      </c>
      <c r="V11" s="18">
        <f>M11*'HD FIX'!$B$17</f>
        <v>6.0812839416819978E-3</v>
      </c>
      <c r="W11" s="18">
        <f>N11*'HD FIX'!$B$17</f>
        <v>3.8422880372871757E-5</v>
      </c>
      <c r="X11" s="18">
        <f>O11*'HD FIX'!$B$17</f>
        <v>4.2181640409348338E-4</v>
      </c>
      <c r="Y11" s="18">
        <f>P11*'HD FIX'!$B$17</f>
        <v>2.0046720194541787E-4</v>
      </c>
      <c r="Z11" s="18">
        <f>Q11*'HD FIX'!$B$17</f>
        <v>1.0441000101323848E-4</v>
      </c>
      <c r="AA11" s="18">
        <f>R11*'HD FIX'!$B$17</f>
        <v>7.0163520680896252E-5</v>
      </c>
    </row>
    <row r="12" spans="1:27" x14ac:dyDescent="0.25">
      <c r="A12" s="180" t="s">
        <v>113</v>
      </c>
      <c r="B12" s="180"/>
      <c r="C12" s="180"/>
      <c r="F12" s="13">
        <v>14</v>
      </c>
      <c r="G12" s="13">
        <f t="shared" si="5"/>
        <v>86</v>
      </c>
      <c r="H12" s="13">
        <v>7.1999999999999998E-3</v>
      </c>
      <c r="I12" s="4">
        <f t="shared" si="6"/>
        <v>0.99280000000000002</v>
      </c>
      <c r="J12" s="4">
        <f>'Fraksi Volume'!X12</f>
        <v>270.26880538465457</v>
      </c>
      <c r="K12" s="4">
        <f>'Fraksi Volume'!V12</f>
        <v>10.586263037752413</v>
      </c>
      <c r="L12" s="18">
        <f t="shared" si="7"/>
        <v>1.4605909849972593E-4</v>
      </c>
      <c r="M12" s="18">
        <f t="shared" si="8"/>
        <v>2.013992680423999E-2</v>
      </c>
      <c r="N12" s="18">
        <f t="shared" si="0"/>
        <v>1.5190901071353928E-4</v>
      </c>
      <c r="O12" s="18">
        <f t="shared" si="1"/>
        <v>1.6676967480508116E-3</v>
      </c>
      <c r="P12" s="18">
        <f t="shared" si="2"/>
        <v>7.9256875154890048E-4</v>
      </c>
      <c r="Q12" s="18">
        <f t="shared" si="3"/>
        <v>4.1279622476505238E-4</v>
      </c>
      <c r="R12" s="18">
        <f t="shared" si="4"/>
        <v>2.7739906304211521E-4</v>
      </c>
      <c r="S12" s="18">
        <f t="shared" si="9"/>
        <v>9.4353422803440515E-2</v>
      </c>
      <c r="T12" s="217"/>
      <c r="U12" s="18">
        <f>L12*'HD FIX'!$B$17</f>
        <v>4.3132796930559934E-5</v>
      </c>
      <c r="V12" s="18">
        <f>M12*'HD FIX'!$B$17</f>
        <v>5.9475334434249865E-3</v>
      </c>
      <c r="W12" s="18">
        <f>N12*'HD FIX'!$B$17</f>
        <v>4.4860337892895027E-5</v>
      </c>
      <c r="X12" s="18">
        <f>O12*'HD FIX'!$B$17</f>
        <v>4.924884920850432E-4</v>
      </c>
      <c r="Y12" s="18">
        <f>P12*'HD FIX'!$B$17</f>
        <v>2.3405393683249577E-4</v>
      </c>
      <c r="Z12" s="18">
        <f>Q12*'HD FIX'!$B$17</f>
        <v>1.2190309210025823E-4</v>
      </c>
      <c r="AA12" s="18">
        <f>R12*'HD FIX'!$B$17</f>
        <v>8.1918877891373526E-5</v>
      </c>
    </row>
    <row r="13" spans="1:27" x14ac:dyDescent="0.25">
      <c r="A13" s="13" t="s">
        <v>2</v>
      </c>
      <c r="B13" s="179" t="s">
        <v>114</v>
      </c>
      <c r="C13" s="179"/>
      <c r="F13" s="4">
        <v>16</v>
      </c>
      <c r="G13" s="4">
        <f t="shared" si="5"/>
        <v>84</v>
      </c>
      <c r="H13" s="4">
        <v>7.1999999999999998E-3</v>
      </c>
      <c r="I13" s="4">
        <f t="shared" si="6"/>
        <v>0.99280000000000002</v>
      </c>
      <c r="J13" s="4">
        <f>'Fraksi Volume'!X13</f>
        <v>270.30321428698858</v>
      </c>
      <c r="K13" s="4">
        <f>'Fraksi Volume'!V13</f>
        <v>10.595565553602812</v>
      </c>
      <c r="L13" s="18">
        <f t="shared" si="7"/>
        <v>1.427695611363428E-4</v>
      </c>
      <c r="M13" s="18">
        <f t="shared" si="8"/>
        <v>1.9686336152244605E-2</v>
      </c>
      <c r="N13" s="18">
        <f t="shared" si="0"/>
        <v>1.7374073577438543E-4</v>
      </c>
      <c r="O13" s="18">
        <f t="shared" si="1"/>
        <v>1.9073711210014046E-3</v>
      </c>
      <c r="P13" s="18">
        <f t="shared" si="2"/>
        <v>9.0647340404027171E-4</v>
      </c>
      <c r="Q13" s="18">
        <f t="shared" si="3"/>
        <v>4.7212156460430817E-4</v>
      </c>
      <c r="R13" s="18">
        <f t="shared" si="4"/>
        <v>3.1726569141409504E-4</v>
      </c>
      <c r="S13" s="18">
        <f t="shared" si="9"/>
        <v>9.4424312920861633E-2</v>
      </c>
      <c r="T13" s="217"/>
      <c r="U13" s="18">
        <f>L13*'HD FIX'!$B$17</f>
        <v>4.216136174748874E-5</v>
      </c>
      <c r="V13" s="18">
        <f>M13*'HD FIX'!$B$17</f>
        <v>5.8135833254037263E-3</v>
      </c>
      <c r="W13" s="18">
        <f>N13*'HD FIX'!$B$17</f>
        <v>5.1307477258848735E-5</v>
      </c>
      <c r="X13" s="18">
        <f>O13*'HD FIX'!$B$17</f>
        <v>5.632668699069261E-4</v>
      </c>
      <c r="Y13" s="18">
        <f>P13*'HD FIX'!$B$17</f>
        <v>2.6769118569834122E-4</v>
      </c>
      <c r="Z13" s="18">
        <f>Q13*'HD FIX'!$B$17</f>
        <v>1.3942249255121937E-4</v>
      </c>
      <c r="AA13" s="18">
        <f>R13*'HD FIX'!$B$17</f>
        <v>9.3691914994419406E-5</v>
      </c>
    </row>
    <row r="14" spans="1:27" x14ac:dyDescent="0.25">
      <c r="A14" s="13" t="s">
        <v>73</v>
      </c>
      <c r="B14" s="27"/>
      <c r="C14" s="27" t="s">
        <v>42</v>
      </c>
      <c r="F14" s="4">
        <v>18</v>
      </c>
      <c r="G14" s="4">
        <f t="shared" si="5"/>
        <v>82</v>
      </c>
      <c r="H14" s="4">
        <v>7.1999999999999998E-3</v>
      </c>
      <c r="I14" s="4">
        <f t="shared" si="6"/>
        <v>0.99280000000000002</v>
      </c>
      <c r="J14" s="4">
        <f>'Fraksi Volume'!X14</f>
        <v>270.33762318932258</v>
      </c>
      <c r="K14" s="4">
        <f>'Fraksi Volume'!V14</f>
        <v>10.604884432717679</v>
      </c>
      <c r="L14" s="18">
        <f t="shared" si="7"/>
        <v>1.394751082578089E-4</v>
      </c>
      <c r="M14" s="18">
        <f>G14/100*I14*K14*$B$3/J14*1E-24</f>
        <v>1.9232067705326764E-2</v>
      </c>
      <c r="N14" s="18">
        <f t="shared" si="0"/>
        <v>1.956053347518052E-4</v>
      </c>
      <c r="O14" s="18">
        <f t="shared" si="1"/>
        <v>2.1474063923839484E-3</v>
      </c>
      <c r="P14" s="18">
        <f t="shared" si="2"/>
        <v>1.0205495726181141E-3</v>
      </c>
      <c r="Q14" s="18">
        <f t="shared" si="3"/>
        <v>5.3153623573860115E-4</v>
      </c>
      <c r="R14" s="18">
        <f t="shared" si="4"/>
        <v>3.5719235041633992E-4</v>
      </c>
      <c r="S14" s="18">
        <f t="shared" si="9"/>
        <v>9.4495330797973537E-2</v>
      </c>
      <c r="T14" s="217"/>
      <c r="U14" s="18">
        <f>L14*'HD FIX'!$B$17</f>
        <v>4.1188474960792822E-5</v>
      </c>
      <c r="V14" s="18">
        <f>M14*'HD FIX'!$B$17</f>
        <v>5.6794330473715444E-3</v>
      </c>
      <c r="W14" s="18">
        <f>N14*'HD FIX'!$B$17</f>
        <v>5.7764324640136284E-5</v>
      </c>
      <c r="X14" s="18">
        <f>O14*'HD FIX'!$B$17</f>
        <v>6.3415182485367007E-4</v>
      </c>
      <c r="Y14" s="18">
        <f>P14*'HD FIX'!$B$17</f>
        <v>3.0137908507897192E-4</v>
      </c>
      <c r="Z14" s="18">
        <f>Q14*'HD FIX'!$B$17</f>
        <v>1.5696827347863124E-4</v>
      </c>
      <c r="AA14" s="18">
        <f>R14*'HD FIX'!$B$17</f>
        <v>1.0548267977764017E-4</v>
      </c>
    </row>
    <row r="15" spans="1:27" x14ac:dyDescent="0.25">
      <c r="A15" s="2" t="s">
        <v>76</v>
      </c>
      <c r="B15" s="27" t="s">
        <v>77</v>
      </c>
      <c r="C15" s="27" t="s">
        <v>78</v>
      </c>
      <c r="F15" s="4">
        <v>20</v>
      </c>
      <c r="G15" s="4">
        <f t="shared" si="5"/>
        <v>80</v>
      </c>
      <c r="H15" s="4">
        <v>7.1999999999999998E-3</v>
      </c>
      <c r="I15" s="4">
        <f t="shared" si="6"/>
        <v>0.99280000000000002</v>
      </c>
      <c r="J15" s="4">
        <f>'Fraksi Volume'!X15</f>
        <v>270.37203209165659</v>
      </c>
      <c r="K15" s="4">
        <f>'Fraksi Volume'!V15</f>
        <v>10.61421971830986</v>
      </c>
      <c r="L15" s="18">
        <f>G15/100*H15*K15*$B$3/J15*1E-24</f>
        <v>1.3617572655023907E-4</v>
      </c>
      <c r="M15" s="18">
        <f t="shared" si="8"/>
        <v>1.8777119627649632E-2</v>
      </c>
      <c r="N15" s="18">
        <f t="shared" si="0"/>
        <v>2.1750289657329849E-4</v>
      </c>
      <c r="O15" s="18">
        <f t="shared" si="1"/>
        <v>2.3878035384677344E-3</v>
      </c>
      <c r="P15" s="18">
        <f t="shared" si="2"/>
        <v>1.134797721251992E-3</v>
      </c>
      <c r="Q15" s="18">
        <f t="shared" si="3"/>
        <v>5.9104047981874597E-4</v>
      </c>
      <c r="R15" s="18">
        <f t="shared" si="4"/>
        <v>3.9717920243819734E-4</v>
      </c>
      <c r="S15" s="18">
        <f t="shared" si="9"/>
        <v>9.4566476770999344E-2</v>
      </c>
      <c r="T15" s="217"/>
      <c r="U15" s="18">
        <f>L15*'HD FIX'!$B$17</f>
        <v>4.0214132638741033E-5</v>
      </c>
      <c r="V15" s="18">
        <f>M15*'HD FIX'!$B$17</f>
        <v>5.5450820671864029E-3</v>
      </c>
      <c r="W15" s="18">
        <f>N15*'HD FIX'!$B$17</f>
        <v>6.4230906297989144E-5</v>
      </c>
      <c r="X15" s="18">
        <f>O15*'HD FIX'!$B$17</f>
        <v>7.0514364522792456E-4</v>
      </c>
      <c r="Y15" s="18">
        <f>P15*'HD FIX'!$B$17</f>
        <v>3.3511777198950857E-4</v>
      </c>
      <c r="Z15" s="18">
        <f>Q15*'HD FIX'!$B$17</f>
        <v>1.7454050624453573E-4</v>
      </c>
      <c r="AA15" s="18">
        <f>R15*'HD FIX'!$B$17</f>
        <v>1.1729122019632803E-4</v>
      </c>
    </row>
    <row r="16" spans="1:27" x14ac:dyDescent="0.25">
      <c r="A16" s="13" t="s">
        <v>53</v>
      </c>
      <c r="B16" s="4">
        <f>4.6/100</f>
        <v>4.5999999999999999E-2</v>
      </c>
      <c r="C16" s="4">
        <v>238.04955989999999</v>
      </c>
      <c r="D16">
        <f>B16*C16</f>
        <v>10.950279755399999</v>
      </c>
      <c r="F16" s="127"/>
      <c r="G16" s="127"/>
      <c r="H16" s="127"/>
      <c r="I16" s="127"/>
      <c r="J16" s="39"/>
      <c r="K16" s="39"/>
      <c r="L16" s="128"/>
      <c r="M16" s="128"/>
      <c r="N16" s="128"/>
      <c r="O16" s="128"/>
      <c r="P16" s="128"/>
      <c r="Q16" s="128"/>
      <c r="R16" s="128"/>
      <c r="S16" s="128"/>
    </row>
    <row r="17" spans="1:18" x14ac:dyDescent="0.25">
      <c r="A17" s="13" t="s">
        <v>54</v>
      </c>
      <c r="B17" s="4">
        <f>50.5/100</f>
        <v>0.505</v>
      </c>
      <c r="C17" s="4">
        <v>239.05216340000001</v>
      </c>
      <c r="D17">
        <f>B17*C17</f>
        <v>120.72134251700001</v>
      </c>
      <c r="F17" s="218" t="s">
        <v>68</v>
      </c>
      <c r="G17" s="219"/>
      <c r="H17" s="19" t="s">
        <v>69</v>
      </c>
      <c r="J17" s="218" t="s">
        <v>30</v>
      </c>
      <c r="K17" s="219"/>
      <c r="L17" s="219"/>
      <c r="M17" s="19" t="s">
        <v>79</v>
      </c>
      <c r="N17" s="16"/>
      <c r="O17" s="218" t="s">
        <v>80</v>
      </c>
      <c r="P17" s="219"/>
      <c r="Q17" s="19" t="s">
        <v>81</v>
      </c>
      <c r="R17" s="17"/>
    </row>
    <row r="18" spans="1:18" x14ac:dyDescent="0.25">
      <c r="A18" s="13" t="s">
        <v>55</v>
      </c>
      <c r="B18" s="4">
        <f>24/100</f>
        <v>0.24</v>
      </c>
      <c r="C18" s="4">
        <v>240.05381349999999</v>
      </c>
      <c r="D18">
        <f>B18*C18</f>
        <v>57.612915239999992</v>
      </c>
      <c r="F18" s="15" t="s">
        <v>70</v>
      </c>
      <c r="G18" s="20"/>
      <c r="H18" s="21"/>
      <c r="J18" s="15" t="s">
        <v>83</v>
      </c>
      <c r="K18" s="20"/>
      <c r="L18" s="20"/>
      <c r="M18" s="25"/>
      <c r="N18" s="20"/>
      <c r="O18" s="15" t="s">
        <v>83</v>
      </c>
      <c r="P18" s="20"/>
      <c r="Q18" s="25"/>
      <c r="R18" s="17"/>
    </row>
    <row r="19" spans="1:18" x14ac:dyDescent="0.25">
      <c r="A19" s="13" t="s">
        <v>56</v>
      </c>
      <c r="B19" s="4">
        <f>12.5/100</f>
        <v>0.125</v>
      </c>
      <c r="C19" s="42">
        <v>241.05685149999999</v>
      </c>
      <c r="D19">
        <f>B19*C19</f>
        <v>30.132106437499999</v>
      </c>
      <c r="F19" s="4">
        <v>4.0026018980937002</v>
      </c>
      <c r="G19" s="17"/>
      <c r="H19" s="21"/>
      <c r="J19" s="4">
        <f>D32</f>
        <v>91.524026957999979</v>
      </c>
      <c r="K19" s="17"/>
      <c r="L19" s="17"/>
      <c r="M19" s="21"/>
      <c r="O19" s="4">
        <f>D32</f>
        <v>91.524026957999979</v>
      </c>
      <c r="P19" s="17"/>
      <c r="Q19" s="21"/>
    </row>
    <row r="20" spans="1:18" x14ac:dyDescent="0.25">
      <c r="A20" s="13" t="s">
        <v>57</v>
      </c>
      <c r="B20" s="4">
        <f>8.4/100</f>
        <v>8.4000000000000005E-2</v>
      </c>
      <c r="C20" s="42">
        <v>242.05874259999999</v>
      </c>
      <c r="D20">
        <f>B20*C20</f>
        <v>20.332934378400001</v>
      </c>
      <c r="F20" s="226"/>
      <c r="G20" s="227"/>
      <c r="H20" s="228"/>
      <c r="J20" s="226"/>
      <c r="K20" s="227"/>
      <c r="L20" s="227"/>
      <c r="M20" s="228"/>
      <c r="O20" s="180"/>
      <c r="P20" s="222"/>
      <c r="Q20" s="222"/>
    </row>
    <row r="21" spans="1:18" x14ac:dyDescent="0.25">
      <c r="D21">
        <f>SUM(D16:D20)</f>
        <v>239.7495783283</v>
      </c>
      <c r="F21" s="15" t="s">
        <v>59</v>
      </c>
      <c r="G21" s="15" t="s">
        <v>60</v>
      </c>
      <c r="H21" s="15" t="s">
        <v>61</v>
      </c>
      <c r="J21" s="15" t="s">
        <v>59</v>
      </c>
      <c r="K21" s="27"/>
      <c r="L21" s="15" t="s">
        <v>60</v>
      </c>
      <c r="M21" s="15" t="s">
        <v>61</v>
      </c>
      <c r="O21" s="15" t="s">
        <v>59</v>
      </c>
      <c r="P21" s="15" t="s">
        <v>60</v>
      </c>
      <c r="Q21" s="15" t="s">
        <v>61</v>
      </c>
    </row>
    <row r="22" spans="1:18" x14ac:dyDescent="0.25">
      <c r="A22" s="180" t="s">
        <v>71</v>
      </c>
      <c r="B22" s="180"/>
      <c r="C22" s="180"/>
      <c r="F22" s="4" t="s">
        <v>74</v>
      </c>
      <c r="G22" s="4" t="s">
        <v>75</v>
      </c>
      <c r="H22" s="18">
        <f>B3*B7/F19*1E-24</f>
        <v>1.3582233696129912E-3</v>
      </c>
      <c r="J22" s="4" t="s">
        <v>82</v>
      </c>
      <c r="K22" s="4"/>
      <c r="L22" s="4" t="s">
        <v>88</v>
      </c>
      <c r="M22" s="26">
        <f>$B$3*$B$24*B27*1E-24/$J$19</f>
        <v>4.2324966675679684E-2</v>
      </c>
      <c r="O22" s="4" t="s">
        <v>82</v>
      </c>
      <c r="P22" s="4" t="s">
        <v>88</v>
      </c>
      <c r="Q22" s="18">
        <f>M22</f>
        <v>4.2324966675679684E-2</v>
      </c>
    </row>
    <row r="23" spans="1:18" x14ac:dyDescent="0.25">
      <c r="A23" s="13" t="s">
        <v>2</v>
      </c>
      <c r="B23" s="224" t="s">
        <v>72</v>
      </c>
      <c r="C23" s="225"/>
      <c r="J23" s="4" t="s">
        <v>84</v>
      </c>
      <c r="K23" s="4"/>
      <c r="L23" s="4" t="s">
        <v>89</v>
      </c>
      <c r="M23" s="26">
        <f>$B$3*$B$24*B28*1E-24/$J$19</f>
        <v>6.4655779957348823E-4</v>
      </c>
      <c r="O23" s="4" t="s">
        <v>84</v>
      </c>
      <c r="P23" s="4" t="s">
        <v>89</v>
      </c>
      <c r="Q23" s="18">
        <f t="shared" ref="Q23:Q26" si="10">M23</f>
        <v>6.4655779957348823E-4</v>
      </c>
    </row>
    <row r="24" spans="1:18" x14ac:dyDescent="0.25">
      <c r="A24" s="4" t="s">
        <v>73</v>
      </c>
      <c r="B24" s="4">
        <v>6.5508899999999999</v>
      </c>
      <c r="C24" s="4" t="s">
        <v>42</v>
      </c>
      <c r="J24" s="4" t="s">
        <v>85</v>
      </c>
      <c r="K24" s="4"/>
      <c r="L24" s="4" t="s">
        <v>90</v>
      </c>
      <c r="M24" s="26">
        <f>$B$3*$B$24*B29*1E-24/$J$19</f>
        <v>8.6207706609798434E-5</v>
      </c>
      <c r="O24" s="4" t="s">
        <v>85</v>
      </c>
      <c r="P24" s="4" t="s">
        <v>90</v>
      </c>
      <c r="Q24" s="18">
        <f t="shared" si="10"/>
        <v>8.6207706609798434E-5</v>
      </c>
    </row>
    <row r="25" spans="1:18" x14ac:dyDescent="0.25">
      <c r="A25" s="22"/>
      <c r="B25" s="17"/>
      <c r="C25" s="21"/>
      <c r="J25" s="4" t="s">
        <v>86</v>
      </c>
      <c r="K25" s="4"/>
      <c r="L25" s="4" t="s">
        <v>92</v>
      </c>
      <c r="M25" s="26">
        <f>$B$3*$B$24*B30*1E-24/$J$19</f>
        <v>4.3103853304899217E-5</v>
      </c>
      <c r="O25" s="4" t="s">
        <v>86</v>
      </c>
      <c r="P25" s="4" t="s">
        <v>92</v>
      </c>
      <c r="Q25" s="18">
        <f t="shared" si="10"/>
        <v>4.3103853304899217E-5</v>
      </c>
    </row>
    <row r="26" spans="1:18" x14ac:dyDescent="0.25">
      <c r="A26" s="2" t="s">
        <v>76</v>
      </c>
      <c r="B26" s="15" t="s">
        <v>77</v>
      </c>
      <c r="C26" s="15" t="s">
        <v>78</v>
      </c>
      <c r="J26" s="4" t="s">
        <v>87</v>
      </c>
      <c r="K26" s="4"/>
      <c r="L26" s="4" t="s">
        <v>94</v>
      </c>
      <c r="M26" s="26">
        <f>$B$3*$B$24*B31*1E-24/$J$19</f>
        <v>3.0172697313429449E-6</v>
      </c>
      <c r="O26" s="4" t="s">
        <v>87</v>
      </c>
      <c r="P26" s="4" t="s">
        <v>94</v>
      </c>
      <c r="Q26" s="18">
        <f t="shared" si="10"/>
        <v>3.0172697313429449E-6</v>
      </c>
    </row>
    <row r="27" spans="1:18" x14ac:dyDescent="0.25">
      <c r="A27" s="23" t="s">
        <v>82</v>
      </c>
      <c r="B27" s="24">
        <v>0.98192999999999997</v>
      </c>
      <c r="C27" s="24">
        <v>91.224000000000004</v>
      </c>
      <c r="D27">
        <f>B27*C27</f>
        <v>89.575582319999995</v>
      </c>
    </row>
    <row r="28" spans="1:18" x14ac:dyDescent="0.25">
      <c r="A28" s="1" t="s">
        <v>84</v>
      </c>
      <c r="B28" s="24">
        <v>1.4999999999999999E-2</v>
      </c>
      <c r="C28" s="24">
        <v>118.71</v>
      </c>
      <c r="D28">
        <f t="shared" ref="D28:D31" si="11">B28*C28</f>
        <v>1.7806499999999998</v>
      </c>
      <c r="F28" s="218" t="s">
        <v>31</v>
      </c>
      <c r="G28" s="223"/>
      <c r="H28" s="19" t="s">
        <v>96</v>
      </c>
      <c r="J28" s="218" t="s">
        <v>91</v>
      </c>
      <c r="K28" s="219"/>
      <c r="L28" s="219"/>
      <c r="M28" s="15" t="s">
        <v>105</v>
      </c>
    </row>
    <row r="29" spans="1:18" x14ac:dyDescent="0.25">
      <c r="A29" s="1" t="s">
        <v>85</v>
      </c>
      <c r="B29" s="24">
        <v>2E-3</v>
      </c>
      <c r="C29" s="24">
        <v>55.844999999999999</v>
      </c>
      <c r="D29">
        <f t="shared" si="11"/>
        <v>0.11169</v>
      </c>
      <c r="F29" s="15" t="s">
        <v>98</v>
      </c>
      <c r="G29" s="20"/>
      <c r="H29" s="25"/>
      <c r="J29" s="15" t="s">
        <v>107</v>
      </c>
      <c r="K29" s="20"/>
      <c r="L29" s="17"/>
      <c r="M29" s="21"/>
    </row>
    <row r="30" spans="1:18" x14ac:dyDescent="0.25">
      <c r="A30" s="1" t="s">
        <v>86</v>
      </c>
      <c r="B30" s="24">
        <v>1E-3</v>
      </c>
      <c r="C30" s="24">
        <v>51.996099999999998</v>
      </c>
      <c r="D30">
        <f t="shared" si="11"/>
        <v>5.1996099999999996E-2</v>
      </c>
      <c r="F30" s="4">
        <f>(2*1.00790548)+15.99940493</f>
        <v>18.01521589</v>
      </c>
      <c r="G30" s="17"/>
      <c r="H30" s="21"/>
      <c r="J30" s="4">
        <f>D47</f>
        <v>55.032952715149506</v>
      </c>
      <c r="K30" s="17"/>
      <c r="L30" s="17"/>
      <c r="M30" s="21"/>
    </row>
    <row r="31" spans="1:18" x14ac:dyDescent="0.25">
      <c r="A31" s="1" t="s">
        <v>87</v>
      </c>
      <c r="B31" s="24">
        <v>6.9999999999999994E-5</v>
      </c>
      <c r="C31" s="24">
        <v>58.693399999999997</v>
      </c>
      <c r="D31">
        <f t="shared" si="11"/>
        <v>4.1085379999999993E-3</v>
      </c>
      <c r="F31" s="226"/>
      <c r="G31" s="227"/>
      <c r="H31" s="228"/>
      <c r="J31" s="22"/>
      <c r="K31" s="17"/>
      <c r="L31" s="17"/>
      <c r="M31" s="21"/>
    </row>
    <row r="32" spans="1:18" x14ac:dyDescent="0.25">
      <c r="D32">
        <f>SUM(D27:D31)</f>
        <v>91.524026957999979</v>
      </c>
      <c r="F32" s="15" t="s">
        <v>59</v>
      </c>
      <c r="G32" s="15" t="s">
        <v>60</v>
      </c>
      <c r="H32" s="15" t="s">
        <v>61</v>
      </c>
      <c r="J32" s="15" t="s">
        <v>59</v>
      </c>
      <c r="K32" s="27"/>
      <c r="L32" s="15" t="s">
        <v>60</v>
      </c>
      <c r="M32" s="15" t="s">
        <v>61</v>
      </c>
    </row>
    <row r="33" spans="1:13" x14ac:dyDescent="0.25">
      <c r="F33" s="4" t="s">
        <v>101</v>
      </c>
      <c r="G33" s="4" t="s">
        <v>102</v>
      </c>
      <c r="H33" s="18">
        <f>2*$B$3/$F$30*$B$5*1E-24</f>
        <v>5.0356327781491024E-2</v>
      </c>
      <c r="J33" s="4" t="s">
        <v>85</v>
      </c>
      <c r="K33" s="4"/>
      <c r="L33" s="4" t="s">
        <v>90</v>
      </c>
      <c r="M33" s="30">
        <f t="shared" ref="M33:M40" si="12">B39*$B$3*$B$36*1E-24/$J$30</f>
        <v>5.8561438956644285E-2</v>
      </c>
    </row>
    <row r="34" spans="1:13" x14ac:dyDescent="0.25">
      <c r="A34" s="179" t="s">
        <v>91</v>
      </c>
      <c r="B34" s="179"/>
      <c r="C34" s="179"/>
      <c r="F34" s="4" t="s">
        <v>66</v>
      </c>
      <c r="G34" s="4" t="s">
        <v>67</v>
      </c>
      <c r="H34" s="18">
        <f>1*$B$3/$F$30*$B$5*1E-24</f>
        <v>2.5178163890745512E-2</v>
      </c>
      <c r="J34" s="4" t="s">
        <v>99</v>
      </c>
      <c r="K34" s="4"/>
      <c r="L34" s="4" t="s">
        <v>108</v>
      </c>
      <c r="M34" s="30">
        <f t="shared" si="12"/>
        <v>2.626269779055727E-5</v>
      </c>
    </row>
    <row r="35" spans="1:13" x14ac:dyDescent="0.25">
      <c r="A35" s="28" t="s">
        <v>2</v>
      </c>
      <c r="B35" s="179" t="s">
        <v>93</v>
      </c>
      <c r="C35" s="179"/>
      <c r="J35" s="4" t="s">
        <v>86</v>
      </c>
      <c r="K35" s="4"/>
      <c r="L35" s="4" t="s">
        <v>92</v>
      </c>
      <c r="M35" s="30">
        <f t="shared" si="12"/>
        <v>1.7508465193704852E-2</v>
      </c>
    </row>
    <row r="36" spans="1:13" x14ac:dyDescent="0.25">
      <c r="A36" s="4" t="s">
        <v>73</v>
      </c>
      <c r="B36" s="4">
        <v>8</v>
      </c>
      <c r="C36" s="4" t="s">
        <v>95</v>
      </c>
      <c r="J36" s="4" t="s">
        <v>100</v>
      </c>
      <c r="K36" s="4"/>
      <c r="L36" s="4" t="s">
        <v>109</v>
      </c>
      <c r="M36" s="30">
        <f t="shared" si="12"/>
        <v>1.7508465193704851E-3</v>
      </c>
    </row>
    <row r="37" spans="1:13" x14ac:dyDescent="0.25">
      <c r="A37" s="22"/>
      <c r="B37" s="17"/>
      <c r="C37" s="21"/>
      <c r="J37" s="4" t="s">
        <v>87</v>
      </c>
      <c r="K37" s="4"/>
      <c r="L37" s="4" t="s">
        <v>94</v>
      </c>
      <c r="M37" s="30">
        <f t="shared" si="12"/>
        <v>8.7542325968524258E-3</v>
      </c>
    </row>
    <row r="38" spans="1:13" x14ac:dyDescent="0.25">
      <c r="A38" s="15" t="s">
        <v>97</v>
      </c>
      <c r="B38" s="15" t="s">
        <v>77</v>
      </c>
      <c r="C38" s="15" t="s">
        <v>78</v>
      </c>
      <c r="J38" s="4" t="s">
        <v>103</v>
      </c>
      <c r="K38" s="4"/>
      <c r="L38" s="4" t="s">
        <v>110</v>
      </c>
      <c r="M38" s="30">
        <f t="shared" si="12"/>
        <v>3.9394046685835918E-5</v>
      </c>
    </row>
    <row r="39" spans="1:13" x14ac:dyDescent="0.25">
      <c r="A39" s="4" t="s">
        <v>85</v>
      </c>
      <c r="B39" s="4">
        <f>1-(SUM(B40:B46))</f>
        <v>0.66894999999999993</v>
      </c>
      <c r="C39" s="4">
        <v>55.845150199999999</v>
      </c>
      <c r="D39">
        <f>C39*B39</f>
        <v>37.357613226289999</v>
      </c>
      <c r="J39" s="4" t="s">
        <v>104</v>
      </c>
      <c r="K39" s="4"/>
      <c r="L39" s="4" t="s">
        <v>111</v>
      </c>
      <c r="M39" s="30">
        <f t="shared" si="12"/>
        <v>2.626269779055727E-5</v>
      </c>
    </row>
    <row r="40" spans="1:13" x14ac:dyDescent="0.25">
      <c r="A40" s="4" t="s">
        <v>99</v>
      </c>
      <c r="B40" s="4">
        <f>0.03/100</f>
        <v>2.9999999999999997E-4</v>
      </c>
      <c r="C40" s="4">
        <v>12.0107359</v>
      </c>
      <c r="D40">
        <f t="shared" ref="D40:D44" si="13">C40*B40</f>
        <v>3.6032207699999998E-3</v>
      </c>
      <c r="J40" s="4" t="s">
        <v>106</v>
      </c>
      <c r="K40" s="4"/>
      <c r="L40" s="4" t="s">
        <v>112</v>
      </c>
      <c r="M40" s="30">
        <f t="shared" si="12"/>
        <v>8.7542325968524256E-4</v>
      </c>
    </row>
    <row r="41" spans="1:13" x14ac:dyDescent="0.25">
      <c r="A41" s="4" t="s">
        <v>86</v>
      </c>
      <c r="B41" s="4">
        <f>20/100</f>
        <v>0.2</v>
      </c>
      <c r="C41" s="4">
        <v>51.996137500000003</v>
      </c>
      <c r="D41">
        <f t="shared" si="13"/>
        <v>10.399227500000002</v>
      </c>
    </row>
    <row r="42" spans="1:13" x14ac:dyDescent="0.25">
      <c r="A42" s="4" t="s">
        <v>100</v>
      </c>
      <c r="B42" s="4">
        <f>2/100</f>
        <v>0.02</v>
      </c>
      <c r="C42" s="29">
        <v>54.938049599999999</v>
      </c>
      <c r="D42">
        <f t="shared" si="13"/>
        <v>1.0987609920000001</v>
      </c>
    </row>
    <row r="43" spans="1:13" x14ac:dyDescent="0.25">
      <c r="A43" s="4" t="s">
        <v>87</v>
      </c>
      <c r="B43" s="4">
        <f>10/100</f>
        <v>0.1</v>
      </c>
      <c r="C43" s="4">
        <v>58.693356299999998</v>
      </c>
      <c r="D43">
        <f t="shared" si="13"/>
        <v>5.8693356300000001</v>
      </c>
    </row>
    <row r="44" spans="1:13" x14ac:dyDescent="0.25">
      <c r="A44" s="4" t="s">
        <v>103</v>
      </c>
      <c r="B44" s="4">
        <f>0.045/100</f>
        <v>4.4999999999999999E-4</v>
      </c>
      <c r="C44" s="29">
        <v>30.973761509999999</v>
      </c>
      <c r="D44">
        <f t="shared" si="13"/>
        <v>1.39381926795E-2</v>
      </c>
    </row>
    <row r="45" spans="1:13" x14ac:dyDescent="0.25">
      <c r="A45" s="4" t="s">
        <v>104</v>
      </c>
      <c r="B45" s="4">
        <f>0.03/100</f>
        <v>2.9999999999999997E-4</v>
      </c>
      <c r="C45" s="4">
        <v>32.066084699999998</v>
      </c>
      <c r="D45">
        <f>C45*B45</f>
        <v>9.6198254099999977E-3</v>
      </c>
    </row>
    <row r="46" spans="1:13" x14ac:dyDescent="0.25">
      <c r="A46" s="4" t="s">
        <v>106</v>
      </c>
      <c r="B46" s="4">
        <f>1/100</f>
        <v>0.01</v>
      </c>
      <c r="C46" s="4">
        <v>28.0854128</v>
      </c>
      <c r="D46">
        <f>C46*B46</f>
        <v>0.28085412800000004</v>
      </c>
    </row>
    <row r="47" spans="1:13" x14ac:dyDescent="0.25">
      <c r="D47">
        <f>SUM(D39:D46)</f>
        <v>55.032952715149506</v>
      </c>
    </row>
  </sheetData>
  <mergeCells count="25">
    <mergeCell ref="O20:Q20"/>
    <mergeCell ref="A34:C34"/>
    <mergeCell ref="B35:C35"/>
    <mergeCell ref="F28:G28"/>
    <mergeCell ref="A22:C22"/>
    <mergeCell ref="B23:C23"/>
    <mergeCell ref="F31:H31"/>
    <mergeCell ref="J28:L28"/>
    <mergeCell ref="J20:M20"/>
    <mergeCell ref="F20:H20"/>
    <mergeCell ref="T4:T15"/>
    <mergeCell ref="O17:P17"/>
    <mergeCell ref="A1:D1"/>
    <mergeCell ref="F17:G17"/>
    <mergeCell ref="L3:S3"/>
    <mergeCell ref="F3:I3"/>
    <mergeCell ref="F4:F5"/>
    <mergeCell ref="G4:G5"/>
    <mergeCell ref="H4:H5"/>
    <mergeCell ref="I4:I5"/>
    <mergeCell ref="J4:J5"/>
    <mergeCell ref="K4:K5"/>
    <mergeCell ref="A12:C12"/>
    <mergeCell ref="B13:C13"/>
    <mergeCell ref="J17:L1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2"/>
  <sheetViews>
    <sheetView topLeftCell="AH1" zoomScale="80" zoomScaleNormal="80" workbookViewId="0">
      <selection activeCell="AO15" sqref="AO15"/>
    </sheetView>
  </sheetViews>
  <sheetFormatPr defaultRowHeight="15" x14ac:dyDescent="0.25"/>
  <cols>
    <col min="1" max="1" width="26" bestFit="1" customWidth="1"/>
    <col min="2" max="2" width="13" bestFit="1" customWidth="1"/>
    <col min="3" max="3" width="13.5703125" bestFit="1" customWidth="1"/>
    <col min="4" max="4" width="13" bestFit="1" customWidth="1"/>
    <col min="6" max="6" width="9.28515625" bestFit="1" customWidth="1"/>
    <col min="7" max="7" width="11" bestFit="1" customWidth="1"/>
    <col min="8" max="8" width="14" bestFit="1" customWidth="1"/>
    <col min="9" max="10" width="9.28515625" bestFit="1" customWidth="1"/>
    <col min="11" max="11" width="12.140625" bestFit="1" customWidth="1"/>
    <col min="12" max="41" width="13.140625" bestFit="1" customWidth="1"/>
  </cols>
  <sheetData>
    <row r="1" spans="1:41" x14ac:dyDescent="0.25">
      <c r="A1" s="180" t="s">
        <v>34</v>
      </c>
      <c r="B1" s="180"/>
      <c r="C1" s="180"/>
      <c r="D1" s="180"/>
    </row>
    <row r="2" spans="1:41" x14ac:dyDescent="0.25">
      <c r="A2" s="2" t="s">
        <v>35</v>
      </c>
      <c r="B2" s="2" t="s">
        <v>36</v>
      </c>
      <c r="C2" s="2" t="s">
        <v>37</v>
      </c>
      <c r="D2" s="2" t="s">
        <v>38</v>
      </c>
    </row>
    <row r="3" spans="1:41" x14ac:dyDescent="0.25">
      <c r="A3" s="4" t="s">
        <v>39</v>
      </c>
      <c r="B3" s="12">
        <v>6.0221408570000002E+23</v>
      </c>
      <c r="C3" s="4" t="s">
        <v>40</v>
      </c>
      <c r="D3" s="4" t="s">
        <v>41</v>
      </c>
      <c r="F3" s="179" t="s">
        <v>27</v>
      </c>
      <c r="G3" s="179"/>
      <c r="H3" s="179"/>
      <c r="I3" s="179"/>
      <c r="J3" s="229" t="s">
        <v>58</v>
      </c>
      <c r="K3" s="230"/>
      <c r="L3" s="179" t="s">
        <v>115</v>
      </c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</row>
    <row r="4" spans="1:41" x14ac:dyDescent="0.25">
      <c r="A4" s="4" t="s">
        <v>44</v>
      </c>
      <c r="B4" s="4">
        <v>772.03899999999999</v>
      </c>
      <c r="C4" s="4" t="s">
        <v>45</v>
      </c>
      <c r="D4" s="4"/>
      <c r="F4" s="178" t="s">
        <v>119</v>
      </c>
      <c r="G4" s="178" t="s">
        <v>120</v>
      </c>
      <c r="H4" s="178" t="s">
        <v>117</v>
      </c>
      <c r="I4" s="178" t="s">
        <v>118</v>
      </c>
      <c r="J4" s="178" t="s">
        <v>146</v>
      </c>
      <c r="K4" s="220" t="s">
        <v>73</v>
      </c>
      <c r="L4" s="2" t="s">
        <v>62</v>
      </c>
      <c r="M4" s="2" t="s">
        <v>64</v>
      </c>
      <c r="N4" s="3" t="s">
        <v>53</v>
      </c>
      <c r="O4" s="3" t="s">
        <v>54</v>
      </c>
      <c r="P4" s="3" t="s">
        <v>55</v>
      </c>
      <c r="Q4" s="3" t="s">
        <v>56</v>
      </c>
      <c r="R4" s="3" t="s">
        <v>57</v>
      </c>
      <c r="S4" s="142" t="s">
        <v>131</v>
      </c>
      <c r="T4" s="3" t="s">
        <v>132</v>
      </c>
      <c r="U4" s="3" t="s">
        <v>133</v>
      </c>
      <c r="V4" s="3" t="s">
        <v>134</v>
      </c>
      <c r="W4" s="3" t="s">
        <v>135</v>
      </c>
      <c r="X4" s="3" t="s">
        <v>136</v>
      </c>
      <c r="Y4" s="3" t="s">
        <v>137</v>
      </c>
      <c r="Z4" s="2" t="s">
        <v>66</v>
      </c>
      <c r="AA4" s="217" t="s">
        <v>379</v>
      </c>
      <c r="AB4" s="149" t="s">
        <v>62</v>
      </c>
      <c r="AC4" s="149" t="s">
        <v>64</v>
      </c>
      <c r="AD4" s="148" t="s">
        <v>53</v>
      </c>
      <c r="AE4" s="148" t="s">
        <v>54</v>
      </c>
      <c r="AF4" s="148" t="s">
        <v>55</v>
      </c>
      <c r="AG4" s="148" t="s">
        <v>56</v>
      </c>
      <c r="AH4" s="148" t="s">
        <v>57</v>
      </c>
      <c r="AI4" s="142" t="s">
        <v>131</v>
      </c>
      <c r="AJ4" s="148" t="s">
        <v>132</v>
      </c>
      <c r="AK4" s="148" t="s">
        <v>133</v>
      </c>
      <c r="AL4" s="148" t="s">
        <v>134</v>
      </c>
      <c r="AM4" s="148" t="s">
        <v>135</v>
      </c>
      <c r="AN4" s="148" t="s">
        <v>136</v>
      </c>
      <c r="AO4" s="148" t="s">
        <v>137</v>
      </c>
    </row>
    <row r="5" spans="1:41" x14ac:dyDescent="0.25">
      <c r="A5" s="13" t="s">
        <v>46</v>
      </c>
      <c r="B5" s="4">
        <v>0.75320399999999998</v>
      </c>
      <c r="C5" s="4" t="s">
        <v>42</v>
      </c>
      <c r="D5" s="4"/>
      <c r="F5" s="178"/>
      <c r="G5" s="178"/>
      <c r="H5" s="178"/>
      <c r="I5" s="178"/>
      <c r="J5" s="178"/>
      <c r="K5" s="221"/>
      <c r="L5" s="2" t="s">
        <v>63</v>
      </c>
      <c r="M5" s="2" t="s">
        <v>65</v>
      </c>
      <c r="N5" s="2" t="s">
        <v>121</v>
      </c>
      <c r="O5" s="2" t="s">
        <v>122</v>
      </c>
      <c r="P5" s="2" t="s">
        <v>123</v>
      </c>
      <c r="Q5" s="2" t="s">
        <v>124</v>
      </c>
      <c r="R5" s="2" t="s">
        <v>125</v>
      </c>
      <c r="S5" s="142" t="s">
        <v>139</v>
      </c>
      <c r="T5" s="2" t="s">
        <v>140</v>
      </c>
      <c r="U5" s="2" t="s">
        <v>141</v>
      </c>
      <c r="V5" s="2" t="s">
        <v>142</v>
      </c>
      <c r="W5" s="2" t="s">
        <v>143</v>
      </c>
      <c r="X5" s="2" t="s">
        <v>144</v>
      </c>
      <c r="Y5" s="2" t="s">
        <v>145</v>
      </c>
      <c r="Z5" s="2" t="s">
        <v>67</v>
      </c>
      <c r="AA5" s="217"/>
      <c r="AB5" s="149" t="s">
        <v>63</v>
      </c>
      <c r="AC5" s="149" t="s">
        <v>65</v>
      </c>
      <c r="AD5" s="149" t="s">
        <v>121</v>
      </c>
      <c r="AE5" s="149" t="s">
        <v>122</v>
      </c>
      <c r="AF5" s="149" t="s">
        <v>123</v>
      </c>
      <c r="AG5" s="149" t="s">
        <v>124</v>
      </c>
      <c r="AH5" s="149" t="s">
        <v>125</v>
      </c>
      <c r="AI5" s="142" t="s">
        <v>139</v>
      </c>
      <c r="AJ5" s="149" t="s">
        <v>140</v>
      </c>
      <c r="AK5" s="149" t="s">
        <v>141</v>
      </c>
      <c r="AL5" s="149" t="s">
        <v>142</v>
      </c>
      <c r="AM5" s="149" t="s">
        <v>143</v>
      </c>
      <c r="AN5" s="149" t="s">
        <v>144</v>
      </c>
      <c r="AO5" s="149" t="s">
        <v>145</v>
      </c>
    </row>
    <row r="6" spans="1:41" x14ac:dyDescent="0.25">
      <c r="A6" s="4" t="s">
        <v>47</v>
      </c>
      <c r="B6" s="4">
        <v>557.03899999999999</v>
      </c>
      <c r="C6" s="4" t="s">
        <v>45</v>
      </c>
      <c r="D6" s="4"/>
      <c r="F6" s="4">
        <v>2</v>
      </c>
      <c r="G6" s="4">
        <f>100-F6</f>
        <v>98</v>
      </c>
      <c r="H6" s="4">
        <v>7.1999999999999998E-3</v>
      </c>
      <c r="I6" s="4">
        <f>1-H6</f>
        <v>0.99280000000000002</v>
      </c>
      <c r="J6" s="4">
        <f>'Fraksi Volume'!Y6</f>
        <v>270.79262843062986</v>
      </c>
      <c r="K6" s="4">
        <f>'Fraksi Volume'!W6</f>
        <v>10.49097638325355</v>
      </c>
      <c r="L6" s="38">
        <f t="shared" ref="L6:L15" si="0">$B$24*G6/100*H6*K6*$B$3/J6*1E-24</f>
        <v>1.6332174173397463E-4</v>
      </c>
      <c r="M6" s="38">
        <f t="shared" ref="M6:M15" si="1">$B$24*G6/100*I6*K6*$B$3/J6*1E-24</f>
        <v>2.2520253499095838E-2</v>
      </c>
      <c r="N6" s="38">
        <f t="shared" ref="N6:N15" si="2">$B$24*F6/100*$B$16*K6*$B$3/J6*1E-24</f>
        <v>2.1294784919962678E-5</v>
      </c>
      <c r="O6" s="38">
        <f t="shared" ref="O6:O15" si="3">$B$24*F6/100*$B$17*K6*$B$3/J6*1E-24</f>
        <v>2.3377970401263379E-4</v>
      </c>
      <c r="P6" s="38">
        <f t="shared" ref="P6:P15" si="4">$B$24*F6/100*$B$18*K6*$B$3/J6*1E-24</f>
        <v>1.111032256693705E-4</v>
      </c>
      <c r="Q6" s="38">
        <f t="shared" ref="Q6:Q15" si="5">$B$24*F6/100*$B$19*K6*$B$3/J6*1E-24</f>
        <v>5.7866263369463802E-5</v>
      </c>
      <c r="R6" s="38">
        <f t="shared" ref="R6:R15" si="6">$B$24*F6/100*$B$20*K6*$B$3/J6*1E-24</f>
        <v>3.8886128984279685E-5</v>
      </c>
      <c r="S6" s="129">
        <f t="shared" ref="S6:S15" si="7">2*$B$25*$B$31*K6*$B$3/J6*1E-24</f>
        <v>7.3725387459935753E-7</v>
      </c>
      <c r="T6" s="38">
        <f t="shared" ref="T6:T15" si="8">2*$B$25*$B$32*K6*$B$3/J6*1E-24</f>
        <v>8.0360672331329986E-6</v>
      </c>
      <c r="U6" s="38">
        <f t="shared" ref="U6:U15" si="9">2*$B$25*$B$33*K6*$B$3/J6*1E-24</f>
        <v>5.4556786720352476E-5</v>
      </c>
      <c r="V6" s="38">
        <f t="shared" ref="V6:V15" si="10">2*$B$25*$B$34*K6*$B$3/J6*1E-24</f>
        <v>7.5457934065244238E-5</v>
      </c>
      <c r="W6" s="38">
        <f t="shared" ref="W6:W15" si="11">2*$B$25*$B$35*K6*$B$3/J6*1E-24</f>
        <v>5.7690115687399742E-5</v>
      </c>
      <c r="X6" s="38">
        <f t="shared" ref="X6:X15" si="12">2*$B$25*$B$36*K6*$B$3/J6*1E-24</f>
        <v>9.1566931225240213E-5</v>
      </c>
      <c r="Y6" s="38">
        <f t="shared" ref="Y6:Y15" si="13">2*$B$25*$B$37*K6*$B$3/J6*1E-24</f>
        <v>8.0581848493709802E-5</v>
      </c>
      <c r="Z6" s="38">
        <f t="shared" ref="Z6:Z15" si="14">7*((2*$B$24)+(3*$B$25))*$B$3*K6/J6*1E-24</f>
        <v>0.32792165771064385</v>
      </c>
      <c r="AA6" s="217"/>
      <c r="AB6" s="38">
        <f>L6*'HD FIX'!$B$17</f>
        <v>4.8230638097291156E-5</v>
      </c>
      <c r="AC6" s="38">
        <f>M6*'HD FIX'!$B$17</f>
        <v>6.6504690976375925E-3</v>
      </c>
      <c r="AD6" s="38">
        <f>N6*'HD FIX'!$B$17</f>
        <v>6.2885752621184614E-6</v>
      </c>
      <c r="AE6" s="38">
        <f>O6*'HD FIX'!$B$17</f>
        <v>6.9037619725430949E-5</v>
      </c>
      <c r="AF6" s="38">
        <f>P6*'HD FIX'!$B$17</f>
        <v>3.280995788931371E-5</v>
      </c>
      <c r="AG6" s="38">
        <f>Q6*'HD FIX'!$B$17</f>
        <v>1.7088519734017559E-5</v>
      </c>
      <c r="AH6" s="38">
        <f>R6*'HD FIX'!$B$17</f>
        <v>1.1483485261259801E-5</v>
      </c>
      <c r="AI6" s="129">
        <f>S6*'HD FIX'!$B$17</f>
        <v>2.1771886849912506E-7</v>
      </c>
      <c r="AJ6" s="38">
        <f>T6*'HD FIX'!$B$17</f>
        <v>2.3731356666404638E-6</v>
      </c>
      <c r="AK6" s="38">
        <f>U6*'HD FIX'!$B$17</f>
        <v>1.6111196268935259E-5</v>
      </c>
      <c r="AL6" s="38">
        <f>V6*'HD FIX'!$B$17</f>
        <v>2.228352619088545E-5</v>
      </c>
      <c r="AM6" s="38">
        <f>W6*'HD FIX'!$B$17</f>
        <v>1.7036501460056541E-5</v>
      </c>
      <c r="AN6" s="38">
        <f>X6*'HD FIX'!$B$17</f>
        <v>2.7040683467591335E-5</v>
      </c>
      <c r="AO6" s="38">
        <f>Y6*'HD FIX'!$B$17</f>
        <v>2.3796672326954378E-5</v>
      </c>
    </row>
    <row r="7" spans="1:41" x14ac:dyDescent="0.25">
      <c r="A7" s="13" t="s">
        <v>48</v>
      </c>
      <c r="B7" s="4">
        <v>9.0273999999999997E-3</v>
      </c>
      <c r="C7" s="4" t="s">
        <v>42</v>
      </c>
      <c r="D7" s="4" t="s">
        <v>41</v>
      </c>
      <c r="F7" s="4">
        <v>4</v>
      </c>
      <c r="G7" s="4">
        <f t="shared" ref="G7:G15" si="15">100-F7</f>
        <v>96</v>
      </c>
      <c r="H7" s="4">
        <v>7.1999999999999998E-3</v>
      </c>
      <c r="I7" s="4">
        <f t="shared" ref="I7:I15" si="16">1-H7</f>
        <v>0.99280000000000002</v>
      </c>
      <c r="J7" s="4">
        <f>'Fraksi Volume'!Y7</f>
        <v>270.8267655026354</v>
      </c>
      <c r="K7" s="4">
        <f>'Fraksi Volume'!W7</f>
        <v>10.500039882497232</v>
      </c>
      <c r="L7" s="38">
        <f t="shared" si="0"/>
        <v>1.6010668079989668E-4</v>
      </c>
      <c r="M7" s="38">
        <f t="shared" si="1"/>
        <v>2.2076932319185755E-2</v>
      </c>
      <c r="N7" s="38">
        <f t="shared" si="2"/>
        <v>4.2620991416639155E-5</v>
      </c>
      <c r="O7" s="38">
        <f t="shared" si="3"/>
        <v>4.6790436229136471E-4</v>
      </c>
      <c r="P7" s="38">
        <f t="shared" si="4"/>
        <v>2.2237038999985647E-4</v>
      </c>
      <c r="Q7" s="38">
        <f t="shared" si="5"/>
        <v>1.1581791145825859E-4</v>
      </c>
      <c r="R7" s="38">
        <f t="shared" si="6"/>
        <v>7.7829636499949768E-5</v>
      </c>
      <c r="S7" s="129">
        <f t="shared" si="7"/>
        <v>7.3779780306037135E-7</v>
      </c>
      <c r="T7" s="38">
        <f t="shared" si="8"/>
        <v>8.041996053358047E-6</v>
      </c>
      <c r="U7" s="38">
        <f t="shared" si="9"/>
        <v>5.4597037426467489E-5</v>
      </c>
      <c r="V7" s="38">
        <f t="shared" si="10"/>
        <v>7.5513605143229004E-5</v>
      </c>
      <c r="W7" s="38">
        <f t="shared" si="11"/>
        <v>5.7732678089474059E-5</v>
      </c>
      <c r="X7" s="38">
        <f t="shared" si="12"/>
        <v>9.1634487140098127E-5</v>
      </c>
      <c r="Y7" s="38">
        <f t="shared" si="13"/>
        <v>8.0641299874498581E-5</v>
      </c>
      <c r="Z7" s="38">
        <f t="shared" si="14"/>
        <v>0.32816359054919098</v>
      </c>
      <c r="AA7" s="217"/>
      <c r="AB7" s="38">
        <f>L7*'HD FIX'!$B$17</f>
        <v>4.7281196591671968E-5</v>
      </c>
      <c r="AC7" s="38">
        <f>M7*'HD FIX'!$B$17</f>
        <v>6.5195516633627685E-3</v>
      </c>
      <c r="AD7" s="38">
        <f>N7*'HD FIX'!$B$17</f>
        <v>1.2586429648246008E-5</v>
      </c>
      <c r="AE7" s="38">
        <f>O7*'HD FIX'!$B$17</f>
        <v>1.3817710809487467E-4</v>
      </c>
      <c r="AF7" s="38">
        <f>P7*'HD FIX'!$B$17</f>
        <v>6.5668328599544394E-5</v>
      </c>
      <c r="AG7" s="38">
        <f>Q7*'HD FIX'!$B$17</f>
        <v>3.4202254478929373E-5</v>
      </c>
      <c r="AH7" s="38">
        <f>R7*'HD FIX'!$B$17</f>
        <v>2.298391500984054E-5</v>
      </c>
      <c r="AI7" s="129">
        <f>S7*'HD FIX'!$B$17</f>
        <v>2.178794963278235E-7</v>
      </c>
      <c r="AJ7" s="38">
        <f>T7*'HD FIX'!$B$17</f>
        <v>2.374886509973276E-6</v>
      </c>
      <c r="AK7" s="38">
        <f>U7*'HD FIX'!$B$17</f>
        <v>1.612308272825894E-5</v>
      </c>
      <c r="AL7" s="38">
        <f>V7*'HD FIX'!$B$17</f>
        <v>2.2299966449152732E-5</v>
      </c>
      <c r="AM7" s="38">
        <f>W7*'HD FIX'!$B$17</f>
        <v>1.7049070587652188E-5</v>
      </c>
      <c r="AN7" s="38">
        <f>X7*'HD FIX'!$B$17</f>
        <v>2.706063344391568E-5</v>
      </c>
      <c r="AO7" s="38">
        <f>Y7*'HD FIX'!$B$17</f>
        <v>2.3814228948631107E-5</v>
      </c>
    </row>
    <row r="8" spans="1:41" x14ac:dyDescent="0.25">
      <c r="A8" s="13" t="s">
        <v>49</v>
      </c>
      <c r="B8" s="93">
        <v>739.20935368907362</v>
      </c>
      <c r="C8" s="13" t="s">
        <v>45</v>
      </c>
      <c r="D8" s="13"/>
      <c r="F8" s="4">
        <v>6</v>
      </c>
      <c r="G8" s="4">
        <f t="shared" si="15"/>
        <v>94</v>
      </c>
      <c r="H8" s="4">
        <v>7.1999999999999998E-3</v>
      </c>
      <c r="I8" s="4">
        <f t="shared" si="16"/>
        <v>0.99280000000000002</v>
      </c>
      <c r="J8" s="4">
        <f>'Fraksi Volume'!Y8</f>
        <v>270.86090257464099</v>
      </c>
      <c r="K8" s="4">
        <f>'Fraksi Volume'!W8</f>
        <v>10.50911905579191</v>
      </c>
      <c r="L8" s="38">
        <f t="shared" si="0"/>
        <v>1.5688690656564627E-4</v>
      </c>
      <c r="M8" s="38">
        <f t="shared" si="1"/>
        <v>2.1632961227551893E-2</v>
      </c>
      <c r="N8" s="38">
        <f t="shared" si="2"/>
        <v>6.3978703032089809E-5</v>
      </c>
      <c r="O8" s="38">
        <f t="shared" si="3"/>
        <v>7.0237489198272485E-4</v>
      </c>
      <c r="P8" s="38">
        <f t="shared" si="4"/>
        <v>3.3380192886307722E-4</v>
      </c>
      <c r="Q8" s="38">
        <f t="shared" si="5"/>
        <v>1.7385517128285272E-4</v>
      </c>
      <c r="R8" s="38">
        <f t="shared" si="6"/>
        <v>1.1683067510207703E-4</v>
      </c>
      <c r="S8" s="129">
        <f t="shared" si="7"/>
        <v>7.3834269563392747E-7</v>
      </c>
      <c r="T8" s="38">
        <f t="shared" si="8"/>
        <v>8.0479353824098109E-6</v>
      </c>
      <c r="U8" s="38">
        <f t="shared" si="9"/>
        <v>5.463735947691064E-5</v>
      </c>
      <c r="V8" s="38">
        <f t="shared" si="10"/>
        <v>7.5569374898132457E-5</v>
      </c>
      <c r="W8" s="38">
        <f t="shared" si="11"/>
        <v>5.777531593335483E-5</v>
      </c>
      <c r="X8" s="38">
        <f t="shared" si="12"/>
        <v>9.17021627977338E-5</v>
      </c>
      <c r="Y8" s="38">
        <f t="shared" si="13"/>
        <v>8.0700856632788287E-5</v>
      </c>
      <c r="Z8" s="38">
        <f t="shared" si="14"/>
        <v>0.32840595221340313</v>
      </c>
      <c r="AA8" s="217"/>
      <c r="AB8" s="38">
        <f>L8*'HD FIX'!$B$17</f>
        <v>4.633036319865036E-5</v>
      </c>
      <c r="AC8" s="38">
        <f>M8*'HD FIX'!$B$17</f>
        <v>6.3884423032805667E-3</v>
      </c>
      <c r="AD8" s="38">
        <f>N8*'HD FIX'!$B$17</f>
        <v>1.8893587829236855E-5</v>
      </c>
      <c r="AE8" s="38">
        <f>O8*'HD FIX'!$B$17</f>
        <v>2.0741873595140451E-4</v>
      </c>
      <c r="AF8" s="38">
        <f>P8*'HD FIX'!$B$17</f>
        <v>9.8575240848192272E-5</v>
      </c>
      <c r="AG8" s="38">
        <f>Q8*'HD FIX'!$B$17</f>
        <v>5.1341271275100143E-5</v>
      </c>
      <c r="AH8" s="38">
        <f>R8*'HD FIX'!$B$17</f>
        <v>3.4501334296867295E-5</v>
      </c>
      <c r="AI8" s="129">
        <f>S8*'HD FIX'!$B$17</f>
        <v>2.1804040886915492E-7</v>
      </c>
      <c r="AJ8" s="38">
        <f>T8*'HD FIX'!$B$17</f>
        <v>2.3766404566737889E-6</v>
      </c>
      <c r="AK8" s="38">
        <f>U8*'HD FIX'!$B$17</f>
        <v>1.6134990256317465E-5</v>
      </c>
      <c r="AL8" s="38">
        <f>V8*'HD FIX'!$B$17</f>
        <v>2.2316435847757998E-5</v>
      </c>
      <c r="AM8" s="38">
        <f>W8*'HD FIX'!$B$17</f>
        <v>1.7061661994011374E-5</v>
      </c>
      <c r="AN8" s="38">
        <f>X8*'HD FIX'!$B$17</f>
        <v>2.7080618781549042E-5</v>
      </c>
      <c r="AO8" s="38">
        <f>Y8*'HD FIX'!$B$17</f>
        <v>2.3831816689398637E-5</v>
      </c>
    </row>
    <row r="9" spans="1:41" x14ac:dyDescent="0.25">
      <c r="A9" s="4" t="s">
        <v>50</v>
      </c>
      <c r="B9" s="4">
        <v>1850</v>
      </c>
      <c r="C9" s="4" t="s">
        <v>51</v>
      </c>
      <c r="D9" s="4"/>
      <c r="F9" s="4">
        <v>8</v>
      </c>
      <c r="G9" s="4">
        <f t="shared" si="15"/>
        <v>92</v>
      </c>
      <c r="H9" s="4">
        <v>7.1999999999999998E-3</v>
      </c>
      <c r="I9" s="4">
        <f t="shared" si="16"/>
        <v>0.99280000000000002</v>
      </c>
      <c r="J9" s="4">
        <f>'Fraksi Volume'!Y9</f>
        <v>270.89503964664652</v>
      </c>
      <c r="K9" s="4">
        <f>'Fraksi Volume'!W9</f>
        <v>10.51821394383188</v>
      </c>
      <c r="L9" s="38">
        <f t="shared" si="0"/>
        <v>1.5366240647378607E-4</v>
      </c>
      <c r="M9" s="38">
        <f t="shared" si="1"/>
        <v>2.1188338492663172E-2</v>
      </c>
      <c r="N9" s="38">
        <f t="shared" si="2"/>
        <v>8.536800359654781E-5</v>
      </c>
      <c r="O9" s="38">
        <f t="shared" si="3"/>
        <v>9.3719221339688371E-4</v>
      </c>
      <c r="P9" s="38">
        <f t="shared" si="4"/>
        <v>4.4539827963416251E-4</v>
      </c>
      <c r="Q9" s="38">
        <f t="shared" si="5"/>
        <v>2.3197827064279296E-4</v>
      </c>
      <c r="R9" s="38">
        <f t="shared" si="6"/>
        <v>1.5588939787195688E-4</v>
      </c>
      <c r="S9" s="129">
        <f t="shared" si="7"/>
        <v>7.3888855481425851E-7</v>
      </c>
      <c r="T9" s="38">
        <f t="shared" si="8"/>
        <v>8.0538852474754189E-6</v>
      </c>
      <c r="U9" s="38">
        <f t="shared" si="9"/>
        <v>5.4677753056255136E-5</v>
      </c>
      <c r="V9" s="38">
        <f t="shared" si="10"/>
        <v>7.5625243585239363E-5</v>
      </c>
      <c r="W9" s="38">
        <f t="shared" si="11"/>
        <v>5.7818029414215741E-5</v>
      </c>
      <c r="X9" s="38">
        <f t="shared" si="12"/>
        <v>9.1769958507930926E-5</v>
      </c>
      <c r="Y9" s="38">
        <f t="shared" si="13"/>
        <v>8.0760519041198455E-5</v>
      </c>
      <c r="Z9" s="38">
        <f t="shared" si="14"/>
        <v>0.328648743812685</v>
      </c>
      <c r="AA9" s="217"/>
      <c r="AB9" s="38">
        <f>L9*'HD FIX'!$B$17</f>
        <v>4.5378134209882233E-5</v>
      </c>
      <c r="AC9" s="38">
        <f>M9*'HD FIX'!$B$17</f>
        <v>6.2571405060515405E-3</v>
      </c>
      <c r="AD9" s="38">
        <f>N9*'HD FIX'!$B$17</f>
        <v>2.5210074561045683E-5</v>
      </c>
      <c r="AE9" s="38">
        <f>O9*'HD FIX'!$B$17</f>
        <v>2.767627750723494E-4</v>
      </c>
      <c r="AF9" s="38">
        <f>P9*'HD FIX'!$B$17</f>
        <v>1.3153082379676009E-4</v>
      </c>
      <c r="AG9" s="38">
        <f>Q9*'HD FIX'!$B$17</f>
        <v>6.8505637394145882E-5</v>
      </c>
      <c r="AH9" s="38">
        <f>R9*'HD FIX'!$B$17</f>
        <v>4.6035788328866035E-5</v>
      </c>
      <c r="AI9" s="129">
        <f>S9*'HD FIX'!$B$17</f>
        <v>2.1820160685969258E-7</v>
      </c>
      <c r="AJ9" s="38">
        <f>T9*'HD FIX'!$B$17</f>
        <v>2.3783975147706497E-6</v>
      </c>
      <c r="AK9" s="38">
        <f>U9*'HD FIX'!$B$17</f>
        <v>1.6146918907617252E-5</v>
      </c>
      <c r="AL9" s="38">
        <f>V9*'HD FIX'!$B$17</f>
        <v>2.2332934462089538E-5</v>
      </c>
      <c r="AM9" s="38">
        <f>W9*'HD FIX'!$B$17</f>
        <v>1.707427573677095E-5</v>
      </c>
      <c r="AN9" s="38">
        <f>X9*'HD FIX'!$B$17</f>
        <v>2.7100639571973823E-5</v>
      </c>
      <c r="AO9" s="38">
        <f>Y9*'HD FIX'!$B$17</f>
        <v>2.38494356297644E-5</v>
      </c>
    </row>
    <row r="10" spans="1:41" x14ac:dyDescent="0.25">
      <c r="A10" s="13" t="s">
        <v>52</v>
      </c>
      <c r="B10" s="93">
        <v>645.57216968162379</v>
      </c>
      <c r="C10" s="13" t="s">
        <v>45</v>
      </c>
      <c r="D10" s="13"/>
      <c r="F10" s="4">
        <v>10</v>
      </c>
      <c r="G10" s="4">
        <f t="shared" si="15"/>
        <v>90</v>
      </c>
      <c r="H10" s="4">
        <v>7.1999999999999998E-3</v>
      </c>
      <c r="I10" s="4">
        <f t="shared" si="16"/>
        <v>0.99280000000000002</v>
      </c>
      <c r="J10" s="4">
        <f>'Fraksi Volume'!Y10</f>
        <v>270.92917671865212</v>
      </c>
      <c r="K10" s="4">
        <f>'Fraksi Volume'!W10</f>
        <v>10.527324587452439</v>
      </c>
      <c r="L10" s="38">
        <f t="shared" si="0"/>
        <v>1.5043316792353231E-4</v>
      </c>
      <c r="M10" s="38">
        <f t="shared" si="1"/>
        <v>2.0743062377011515E-2</v>
      </c>
      <c r="N10" s="38">
        <f t="shared" si="2"/>
        <v>1.0678897722966802E-4</v>
      </c>
      <c r="O10" s="38">
        <f t="shared" si="3"/>
        <v>1.1723572500213551E-3</v>
      </c>
      <c r="P10" s="38">
        <f t="shared" si="4"/>
        <v>5.5715988119826789E-4</v>
      </c>
      <c r="Q10" s="38">
        <f t="shared" si="5"/>
        <v>2.9018743812409789E-4</v>
      </c>
      <c r="R10" s="38">
        <f t="shared" si="6"/>
        <v>1.9500595841939378E-4</v>
      </c>
      <c r="S10" s="129">
        <f t="shared" si="7"/>
        <v>7.3943538310424306E-7</v>
      </c>
      <c r="T10" s="38">
        <f t="shared" si="8"/>
        <v>8.0598456758362503E-6</v>
      </c>
      <c r="U10" s="38">
        <f t="shared" si="9"/>
        <v>5.4718218349713995E-5</v>
      </c>
      <c r="V10" s="38">
        <f t="shared" si="10"/>
        <v>7.5681211460719279E-5</v>
      </c>
      <c r="W10" s="38">
        <f t="shared" si="11"/>
        <v>5.7860818727907022E-5</v>
      </c>
      <c r="X10" s="38">
        <f t="shared" si="12"/>
        <v>9.183787458154699E-5</v>
      </c>
      <c r="Y10" s="38">
        <f t="shared" si="13"/>
        <v>8.082028737329377E-5</v>
      </c>
      <c r="Z10" s="38">
        <f t="shared" si="14"/>
        <v>0.32889196646028684</v>
      </c>
      <c r="AA10" s="217"/>
      <c r="AB10" s="38">
        <f>L10*'HD FIX'!$B$17</f>
        <v>4.4424505904222852E-5</v>
      </c>
      <c r="AC10" s="38">
        <f>M10*'HD FIX'!$B$17</f>
        <v>6.1256457585711736E-3</v>
      </c>
      <c r="AD10" s="38">
        <f>N10*'HD FIX'!$B$17</f>
        <v>3.1535914685096473E-5</v>
      </c>
      <c r="AE10" s="38">
        <f>O10*'HD FIX'!$B$17</f>
        <v>3.462094981733416E-4</v>
      </c>
      <c r="AF10" s="38">
        <f>P10*'HD FIX'!$B$17</f>
        <v>1.6453520705267725E-4</v>
      </c>
      <c r="AG10" s="38">
        <f>Q10*'HD FIX'!$B$17</f>
        <v>8.5695420339936074E-5</v>
      </c>
      <c r="AH10" s="38">
        <f>R10*'HD FIX'!$B$17</f>
        <v>5.758732246843704E-5</v>
      </c>
      <c r="AI10" s="129">
        <f>S10*'HD FIX'!$B$17</f>
        <v>2.1836309103856305E-7</v>
      </c>
      <c r="AJ10" s="38">
        <f>T10*'HD FIX'!$B$17</f>
        <v>2.3801576923203376E-6</v>
      </c>
      <c r="AK10" s="38">
        <f>U10*'HD FIX'!$B$17</f>
        <v>1.6158868736853667E-5</v>
      </c>
      <c r="AL10" s="38">
        <f>V10*'HD FIX'!$B$17</f>
        <v>2.2349462367796928E-5</v>
      </c>
      <c r="AM10" s="38">
        <f>W10*'HD FIX'!$B$17</f>
        <v>1.7086911873767561E-5</v>
      </c>
      <c r="AN10" s="38">
        <f>X10*'HD FIX'!$B$17</f>
        <v>2.7120695906989533E-5</v>
      </c>
      <c r="AO10" s="38">
        <f>Y10*'HD FIX'!$B$17</f>
        <v>2.3867085850514943E-5</v>
      </c>
    </row>
    <row r="11" spans="1:41" x14ac:dyDescent="0.25">
      <c r="A11" s="4" t="s">
        <v>147</v>
      </c>
      <c r="B11" s="4">
        <v>7.41</v>
      </c>
      <c r="C11" s="4" t="s">
        <v>42</v>
      </c>
      <c r="D11" s="4"/>
      <c r="F11" s="4">
        <v>12</v>
      </c>
      <c r="G11" s="4">
        <f t="shared" si="15"/>
        <v>88</v>
      </c>
      <c r="H11" s="4">
        <v>7.1999999999999998E-3</v>
      </c>
      <c r="I11" s="4">
        <f t="shared" si="16"/>
        <v>0.99280000000000002</v>
      </c>
      <c r="J11" s="4">
        <f>'Fraksi Volume'!Y11</f>
        <v>270.96331379065765</v>
      </c>
      <c r="K11" s="4">
        <f>'Fraksi Volume'!W11</f>
        <v>10.536451027630475</v>
      </c>
      <c r="L11" s="38">
        <f t="shared" si="0"/>
        <v>1.4719917827056699E-4</v>
      </c>
      <c r="M11" s="38">
        <f t="shared" si="1"/>
        <v>2.0297131137085964E-2</v>
      </c>
      <c r="N11" s="38">
        <f t="shared" si="2"/>
        <v>1.2824170834178184E-4</v>
      </c>
      <c r="O11" s="38">
        <f t="shared" si="3"/>
        <v>1.4078709285347789E-3</v>
      </c>
      <c r="P11" s="38">
        <f t="shared" si="4"/>
        <v>6.6908717395712275E-4</v>
      </c>
      <c r="Q11" s="38">
        <f t="shared" si="5"/>
        <v>3.4848290310266812E-4</v>
      </c>
      <c r="R11" s="38">
        <f t="shared" si="6"/>
        <v>2.3418051088499296E-4</v>
      </c>
      <c r="S11" s="129">
        <f t="shared" si="7"/>
        <v>7.3998318301544278E-7</v>
      </c>
      <c r="T11" s="38">
        <f t="shared" si="8"/>
        <v>8.0658166948683271E-6</v>
      </c>
      <c r="U11" s="38">
        <f t="shared" si="9"/>
        <v>5.4758755543142773E-5</v>
      </c>
      <c r="V11" s="38">
        <f t="shared" si="10"/>
        <v>7.5737278781630576E-5</v>
      </c>
      <c r="W11" s="38">
        <f t="shared" si="11"/>
        <v>5.7903684070958398E-5</v>
      </c>
      <c r="X11" s="38">
        <f t="shared" si="12"/>
        <v>9.1905911330517989E-5</v>
      </c>
      <c r="Y11" s="38">
        <f t="shared" si="13"/>
        <v>8.0880161903587892E-5</v>
      </c>
      <c r="Z11" s="38">
        <f t="shared" si="14"/>
        <v>0.32913562127332124</v>
      </c>
      <c r="AA11" s="217"/>
      <c r="AB11" s="38">
        <f>L11*'HD FIX'!$B$17</f>
        <v>4.3469474547671327E-5</v>
      </c>
      <c r="AC11" s="38">
        <f>M11*'HD FIX'!$B$17</f>
        <v>5.9939575459622366E-3</v>
      </c>
      <c r="AD11" s="38">
        <f>N11*'HD FIX'!$B$17</f>
        <v>3.787113312865305E-5</v>
      </c>
      <c r="AE11" s="38">
        <f>O11*'HD FIX'!$B$17</f>
        <v>4.1575917891238672E-4</v>
      </c>
      <c r="AF11" s="38">
        <f>P11*'HD FIX'!$B$17</f>
        <v>1.9758852067123335E-4</v>
      </c>
      <c r="AG11" s="38">
        <f>Q11*'HD FIX'!$B$17</f>
        <v>1.029106878496007E-4</v>
      </c>
      <c r="AH11" s="38">
        <f>R11*'HD FIX'!$B$17</f>
        <v>6.9155982234931666E-5</v>
      </c>
      <c r="AI11" s="129">
        <f>S11*'HD FIX'!$B$17</f>
        <v>2.1852486214745704E-7</v>
      </c>
      <c r="AJ11" s="38">
        <f>T11*'HD FIX'!$B$17</f>
        <v>2.3819209974072821E-6</v>
      </c>
      <c r="AK11" s="38">
        <f>U11*'HD FIX'!$B$17</f>
        <v>1.6170839798911824E-5</v>
      </c>
      <c r="AL11" s="38">
        <f>V11*'HD FIX'!$B$17</f>
        <v>2.236601964079223E-5</v>
      </c>
      <c r="AM11" s="38">
        <f>W11*'HD FIX'!$B$17</f>
        <v>1.7099570463038512E-5</v>
      </c>
      <c r="AN11" s="38">
        <f>X11*'HD FIX'!$B$17</f>
        <v>2.7140787878714162E-5</v>
      </c>
      <c r="AO11" s="38">
        <f>Y11*'HD FIX'!$B$17</f>
        <v>2.3884767432717052E-5</v>
      </c>
    </row>
    <row r="12" spans="1:41" x14ac:dyDescent="0.25">
      <c r="F12" s="4">
        <v>14</v>
      </c>
      <c r="G12" s="4">
        <f t="shared" si="15"/>
        <v>86</v>
      </c>
      <c r="H12" s="4">
        <v>7.1999999999999998E-3</v>
      </c>
      <c r="I12" s="4">
        <f t="shared" si="16"/>
        <v>0.99280000000000002</v>
      </c>
      <c r="J12" s="4">
        <f>'Fraksi Volume'!Y12</f>
        <v>270.99745086266324</v>
      </c>
      <c r="K12" s="4">
        <f>'Fraksi Volume'!W12</f>
        <v>10.545593305485111</v>
      </c>
      <c r="L12" s="38">
        <f t="shared" si="0"/>
        <v>1.4396042482684877E-4</v>
      </c>
      <c r="M12" s="38">
        <f t="shared" si="1"/>
        <v>1.9850543023346594E-2</v>
      </c>
      <c r="N12" s="38">
        <f t="shared" si="2"/>
        <v>1.4972628163515924E-4</v>
      </c>
      <c r="O12" s="38">
        <f t="shared" si="3"/>
        <v>1.6437341788207698E-3</v>
      </c>
      <c r="P12" s="38">
        <f t="shared" si="4"/>
        <v>7.8118059983561339E-4</v>
      </c>
      <c r="Q12" s="38">
        <f t="shared" si="5"/>
        <v>4.0686489574771531E-4</v>
      </c>
      <c r="R12" s="38">
        <f t="shared" si="6"/>
        <v>2.7341320994246469E-4</v>
      </c>
      <c r="S12" s="129">
        <f t="shared" si="7"/>
        <v>7.405319570681415E-7</v>
      </c>
      <c r="T12" s="38">
        <f t="shared" si="8"/>
        <v>8.0717983320427437E-6</v>
      </c>
      <c r="U12" s="38">
        <f t="shared" si="9"/>
        <v>5.4799364823042478E-5</v>
      </c>
      <c r="V12" s="38">
        <f t="shared" si="10"/>
        <v>7.5793445805924278E-5</v>
      </c>
      <c r="W12" s="38">
        <f t="shared" si="11"/>
        <v>5.7946625640582084E-5</v>
      </c>
      <c r="X12" s="38">
        <f t="shared" si="12"/>
        <v>9.1974069067863175E-5</v>
      </c>
      <c r="Y12" s="38">
        <f t="shared" si="13"/>
        <v>8.0940142907547877E-5</v>
      </c>
      <c r="Z12" s="38">
        <f t="shared" si="14"/>
        <v>0.32937970937277999</v>
      </c>
      <c r="AA12" s="217"/>
      <c r="AB12" s="38">
        <f>L12*'HD FIX'!$B$17</f>
        <v>4.2513036393314846E-5</v>
      </c>
      <c r="AC12" s="38">
        <f>M12*'HD FIX'!$B$17</f>
        <v>5.8620753515670814E-3</v>
      </c>
      <c r="AD12" s="38">
        <f>N12*'HD FIX'!$B$17</f>
        <v>4.4215754905191793E-5</v>
      </c>
      <c r="AE12" s="38">
        <f>O12*'HD FIX'!$B$17</f>
        <v>4.8541209189395334E-4</v>
      </c>
      <c r="AF12" s="38">
        <f>P12*'HD FIX'!$B$17</f>
        <v>2.3069089515752238E-4</v>
      </c>
      <c r="AG12" s="38">
        <f>Q12*'HD FIX'!$B$17</f>
        <v>1.2015150789454292E-4</v>
      </c>
      <c r="AH12" s="38">
        <f>R12*'HD FIX'!$B$17</f>
        <v>8.074181330513284E-5</v>
      </c>
      <c r="AI12" s="129">
        <f>S12*'HD FIX'!$B$17</f>
        <v>2.1868692093064101E-7</v>
      </c>
      <c r="AJ12" s="38">
        <f>T12*'HD FIX'!$B$17</f>
        <v>2.3836874381439877E-6</v>
      </c>
      <c r="AK12" s="38">
        <f>U12*'HD FIX'!$B$17</f>
        <v>1.6182832148867438E-5</v>
      </c>
      <c r="AL12" s="38">
        <f>V12*'HD FIX'!$B$17</f>
        <v>2.2382606357251105E-5</v>
      </c>
      <c r="AM12" s="38">
        <f>W12*'HD FIX'!$B$17</f>
        <v>1.7112251562822661E-5</v>
      </c>
      <c r="AN12" s="38">
        <f>X12*'HD FIX'!$B$17</f>
        <v>2.7160915579585615E-5</v>
      </c>
      <c r="AO12" s="38">
        <f>Y12*'HD FIX'!$B$17</f>
        <v>2.3902480457719067E-5</v>
      </c>
    </row>
    <row r="13" spans="1:41" x14ac:dyDescent="0.25">
      <c r="A13" s="180" t="s">
        <v>113</v>
      </c>
      <c r="B13" s="180"/>
      <c r="C13" s="180"/>
      <c r="F13" s="4">
        <v>16</v>
      </c>
      <c r="G13" s="4">
        <f t="shared" si="15"/>
        <v>84</v>
      </c>
      <c r="H13" s="4">
        <v>7.1999999999999998E-3</v>
      </c>
      <c r="I13" s="4">
        <f t="shared" si="16"/>
        <v>0.99280000000000002</v>
      </c>
      <c r="J13" s="4">
        <f>'Fraksi Volume'!Y13</f>
        <v>271.03158793466878</v>
      </c>
      <c r="K13" s="4">
        <f>'Fraksi Volume'!W13</f>
        <v>10.554751462278295</v>
      </c>
      <c r="L13" s="38">
        <f t="shared" si="0"/>
        <v>1.4071689486042321E-4</v>
      </c>
      <c r="M13" s="38">
        <f t="shared" si="1"/>
        <v>1.9403296280198355E-2</v>
      </c>
      <c r="N13" s="38">
        <f t="shared" si="2"/>
        <v>1.7124278210527686E-4</v>
      </c>
      <c r="O13" s="38">
        <f t="shared" si="3"/>
        <v>1.8799479339818442E-3</v>
      </c>
      <c r="P13" s="38">
        <f t="shared" si="4"/>
        <v>8.9344060228840113E-4</v>
      </c>
      <c r="Q13" s="38">
        <f t="shared" si="5"/>
        <v>4.6533364702520898E-4</v>
      </c>
      <c r="R13" s="38">
        <f t="shared" si="6"/>
        <v>3.1270421080094047E-4</v>
      </c>
      <c r="S13" s="129">
        <f t="shared" si="7"/>
        <v>7.4108170779138205E-7</v>
      </c>
      <c r="T13" s="38">
        <f t="shared" si="8"/>
        <v>8.0777906149260654E-6</v>
      </c>
      <c r="U13" s="38">
        <f t="shared" si="9"/>
        <v>5.4840046376562289E-5</v>
      </c>
      <c r="V13" s="38">
        <f t="shared" si="10"/>
        <v>7.5849712792447948E-5</v>
      </c>
      <c r="W13" s="38">
        <f t="shared" si="11"/>
        <v>5.7989643634675657E-5</v>
      </c>
      <c r="X13" s="38">
        <f t="shared" si="12"/>
        <v>9.2042348107689671E-5</v>
      </c>
      <c r="Y13" s="38">
        <f t="shared" si="13"/>
        <v>8.1000230661598061E-5</v>
      </c>
      <c r="Z13" s="38">
        <f t="shared" si="14"/>
        <v>0.329624231883551</v>
      </c>
      <c r="AA13" s="217"/>
      <c r="AB13" s="38">
        <f>L13*'HD FIX'!$B$17</f>
        <v>4.1555187681272566E-5</v>
      </c>
      <c r="AC13" s="38">
        <f>M13*'HD FIX'!$B$17</f>
        <v>5.7299986569399166E-3</v>
      </c>
      <c r="AD13" s="38">
        <f>N13*'HD FIX'!$B$17</f>
        <v>5.0569805114776114E-5</v>
      </c>
      <c r="AE13" s="38">
        <f>O13*'HD FIX'!$B$17</f>
        <v>5.5516851267308571E-4</v>
      </c>
      <c r="AF13" s="38">
        <f>P13*'HD FIX'!$B$17</f>
        <v>2.6384246146839716E-4</v>
      </c>
      <c r="AG13" s="38">
        <f>Q13*'HD FIX'!$B$17</f>
        <v>1.3741794868145688E-4</v>
      </c>
      <c r="AH13" s="38">
        <f>R13*'HD FIX'!$B$17</f>
        <v>9.2344861513939027E-5</v>
      </c>
      <c r="AI13" s="129">
        <f>S13*'HD FIX'!$B$17</f>
        <v>2.1884926813496808E-7</v>
      </c>
      <c r="AJ13" s="38">
        <f>T13*'HD FIX'!$B$17</f>
        <v>2.3854570226711525E-6</v>
      </c>
      <c r="AK13" s="38">
        <f>U13*'HD FIX'!$B$17</f>
        <v>1.6194845841987642E-5</v>
      </c>
      <c r="AL13" s="38">
        <f>V13*'HD FIX'!$B$17</f>
        <v>2.2399222593613982E-5</v>
      </c>
      <c r="AM13" s="38">
        <f>W13*'HD FIX'!$B$17</f>
        <v>1.7124955231561257E-5</v>
      </c>
      <c r="AN13" s="38">
        <f>X13*'HD FIX'!$B$17</f>
        <v>2.7181079102363043E-5</v>
      </c>
      <c r="AO13" s="38">
        <f>Y13*'HD FIX'!$B$17</f>
        <v>2.3920225007152014E-5</v>
      </c>
    </row>
    <row r="14" spans="1:41" x14ac:dyDescent="0.25">
      <c r="A14" s="13" t="s">
        <v>2</v>
      </c>
      <c r="B14" s="179" t="s">
        <v>114</v>
      </c>
      <c r="C14" s="179"/>
      <c r="F14" s="4">
        <v>18</v>
      </c>
      <c r="G14" s="4">
        <f t="shared" si="15"/>
        <v>82</v>
      </c>
      <c r="H14" s="4">
        <v>7.1999999999999998E-3</v>
      </c>
      <c r="I14" s="4">
        <f t="shared" si="16"/>
        <v>0.99280000000000002</v>
      </c>
      <c r="J14" s="4">
        <f>'Fraksi Volume'!Y14</f>
        <v>271.06572500667437</v>
      </c>
      <c r="K14" s="4">
        <f>'Fraksi Volume'!W14</f>
        <v>10.563925539415443</v>
      </c>
      <c r="L14" s="38">
        <f t="shared" si="0"/>
        <v>1.3746857559523163E-4</v>
      </c>
      <c r="M14" s="38">
        <f t="shared" si="1"/>
        <v>1.8955389145964716E-2</v>
      </c>
      <c r="N14" s="38">
        <f t="shared" si="2"/>
        <v>1.9279129504209318E-4</v>
      </c>
      <c r="O14" s="38">
        <f t="shared" si="3"/>
        <v>2.1165131303534142E-3</v>
      </c>
      <c r="P14" s="38">
        <f t="shared" si="4"/>
        <v>1.0058676263065731E-3</v>
      </c>
      <c r="Q14" s="38">
        <f t="shared" si="5"/>
        <v>5.2388938870134014E-4</v>
      </c>
      <c r="R14" s="38">
        <f t="shared" si="6"/>
        <v>3.5205366920730059E-4</v>
      </c>
      <c r="S14" s="129">
        <f t="shared" si="7"/>
        <v>7.4163243772300515E-7</v>
      </c>
      <c r="T14" s="38">
        <f t="shared" si="8"/>
        <v>8.0837935711807552E-6</v>
      </c>
      <c r="U14" s="38">
        <f t="shared" si="9"/>
        <v>5.4880800391502374E-5</v>
      </c>
      <c r="V14" s="38">
        <f t="shared" si="10"/>
        <v>7.5906080000949565E-5</v>
      </c>
      <c r="W14" s="38">
        <f t="shared" si="11"/>
        <v>5.8032738251825146E-5</v>
      </c>
      <c r="X14" s="38">
        <f t="shared" si="12"/>
        <v>9.2110748765197235E-5</v>
      </c>
      <c r="Y14" s="38">
        <f t="shared" si="13"/>
        <v>8.1060425443124455E-5</v>
      </c>
      <c r="Z14" s="38">
        <f t="shared" si="14"/>
        <v>0.32986918993443515</v>
      </c>
      <c r="AA14" s="217"/>
      <c r="AB14" s="38">
        <f>L14*'HD FIX'!$B$17</f>
        <v>4.0595924638639194E-5</v>
      </c>
      <c r="AC14" s="38">
        <f>M14*'HD FIX'!$B$17</f>
        <v>5.597726941839026E-3</v>
      </c>
      <c r="AD14" s="38">
        <f>N14*'HD FIX'!$B$17</f>
        <v>5.6933308944433023E-5</v>
      </c>
      <c r="AE14" s="38">
        <f>O14*'HD FIX'!$B$17</f>
        <v>6.2502871775953651E-4</v>
      </c>
      <c r="AF14" s="38">
        <f>P14*'HD FIX'!$B$17</f>
        <v>2.9704335101443321E-4</v>
      </c>
      <c r="AG14" s="38">
        <f>Q14*'HD FIX'!$B$17</f>
        <v>1.5471007865335061E-4</v>
      </c>
      <c r="AH14" s="38">
        <f>R14*'HD FIX'!$B$17</f>
        <v>1.0396517285505161E-4</v>
      </c>
      <c r="AI14" s="129">
        <f>S14*'HD FIX'!$B$17</f>
        <v>2.1901190450988948E-7</v>
      </c>
      <c r="AJ14" s="38">
        <f>T14*'HD FIX'!$B$17</f>
        <v>2.3872297591577949E-6</v>
      </c>
      <c r="AK14" s="38">
        <f>U14*'HD FIX'!$B$17</f>
        <v>1.6206880933731819E-5</v>
      </c>
      <c r="AL14" s="38">
        <f>V14*'HD FIX'!$B$17</f>
        <v>2.2415868426587184E-5</v>
      </c>
      <c r="AM14" s="38">
        <f>W14*'HD FIX'!$B$17</f>
        <v>1.7137681527898849E-5</v>
      </c>
      <c r="AN14" s="38">
        <f>X14*'HD FIX'!$B$17</f>
        <v>2.7201278540128272E-5</v>
      </c>
      <c r="AO14" s="38">
        <f>Y14*'HD FIX'!$B$17</f>
        <v>2.3938001162930917E-5</v>
      </c>
    </row>
    <row r="15" spans="1:41" x14ac:dyDescent="0.25">
      <c r="A15" s="2" t="s">
        <v>76</v>
      </c>
      <c r="B15" s="27" t="s">
        <v>77</v>
      </c>
      <c r="C15" s="27" t="s">
        <v>78</v>
      </c>
      <c r="F15" s="4">
        <v>20</v>
      </c>
      <c r="G15" s="4">
        <f t="shared" si="15"/>
        <v>80</v>
      </c>
      <c r="H15" s="4">
        <v>7.1999999999999998E-3</v>
      </c>
      <c r="I15" s="4">
        <f t="shared" si="16"/>
        <v>0.99280000000000002</v>
      </c>
      <c r="J15" s="4">
        <f>'Fraksi Volume'!Y15</f>
        <v>271.09986207867996</v>
      </c>
      <c r="K15" s="4">
        <f>'Fraksi Volume'!W15</f>
        <v>10.573115578446044</v>
      </c>
      <c r="L15" s="38">
        <f t="shared" si="0"/>
        <v>1.3421545421091937E-4</v>
      </c>
      <c r="M15" s="38">
        <f t="shared" si="1"/>
        <v>1.8506819852861216E-2</v>
      </c>
      <c r="N15" s="38">
        <f t="shared" si="2"/>
        <v>2.1437190603132954E-4</v>
      </c>
      <c r="O15" s="38">
        <f t="shared" si="3"/>
        <v>2.3534307075178565E-3</v>
      </c>
      <c r="P15" s="38">
        <f t="shared" si="4"/>
        <v>1.1184621184243278E-3</v>
      </c>
      <c r="Q15" s="38">
        <f t="shared" si="5"/>
        <v>5.8253235334600412E-4</v>
      </c>
      <c r="R15" s="38">
        <f t="shared" si="6"/>
        <v>3.9146174144851485E-4</v>
      </c>
      <c r="S15" s="129">
        <f t="shared" si="7"/>
        <v>7.4218414940968597E-7</v>
      </c>
      <c r="T15" s="38">
        <f t="shared" si="8"/>
        <v>8.089807228565577E-6</v>
      </c>
      <c r="U15" s="38">
        <f t="shared" si="9"/>
        <v>5.4921627056316754E-5</v>
      </c>
      <c r="V15" s="38">
        <f t="shared" si="10"/>
        <v>7.5962547692081346E-5</v>
      </c>
      <c r="W15" s="38">
        <f t="shared" si="11"/>
        <v>5.8075909691307927E-5</v>
      </c>
      <c r="X15" s="38">
        <f t="shared" si="12"/>
        <v>9.2179271356682986E-5</v>
      </c>
      <c r="Y15" s="38">
        <f t="shared" si="13"/>
        <v>8.112072753047866E-5</v>
      </c>
      <c r="Z15" s="38">
        <f t="shared" si="14"/>
        <v>0.33011458465816318</v>
      </c>
      <c r="AA15" s="217"/>
      <c r="AB15" s="38">
        <f>L15*'HD FIX'!$B$17</f>
        <v>3.963524347942838E-5</v>
      </c>
      <c r="AC15" s="38">
        <f>M15*'HD FIX'!$B$17</f>
        <v>5.4652596842189585E-3</v>
      </c>
      <c r="AD15" s="38">
        <f>N15*'HD FIX'!$B$17</f>
        <v>6.3306291668531443E-5</v>
      </c>
      <c r="AE15" s="38">
        <f>O15*'HD FIX'!$B$17</f>
        <v>6.9499298462192118E-4</v>
      </c>
      <c r="AF15" s="38">
        <f>P15*'HD FIX'!$B$17</f>
        <v>3.3029369566190309E-4</v>
      </c>
      <c r="AG15" s="38">
        <f>Q15*'HD FIX'!$B$17</f>
        <v>1.7202796649057455E-4</v>
      </c>
      <c r="AH15" s="38">
        <f>R15*'HD FIX'!$B$17</f>
        <v>1.1560279348166612E-4</v>
      </c>
      <c r="AI15" s="129">
        <f>S15*'HD FIX'!$B$17</f>
        <v>2.1917483080746528E-7</v>
      </c>
      <c r="AJ15" s="38">
        <f>T15*'HD FIX'!$B$17</f>
        <v>2.3890056558013713E-6</v>
      </c>
      <c r="AK15" s="38">
        <f>U15*'HD FIX'!$B$17</f>
        <v>1.6218937479752427E-5</v>
      </c>
      <c r="AL15" s="38">
        <f>V15*'HD FIX'!$B$17</f>
        <v>2.2432543933144068E-5</v>
      </c>
      <c r="AM15" s="38">
        <f>W15*'HD FIX'!$B$17</f>
        <v>1.715043051068416E-5</v>
      </c>
      <c r="AN15" s="38">
        <f>X15*'HD FIX'!$B$17</f>
        <v>2.7221513986287186E-5</v>
      </c>
      <c r="AO15" s="38">
        <f>Y15*'HD FIX'!$B$17</f>
        <v>2.3955809007255948E-5</v>
      </c>
    </row>
    <row r="16" spans="1:41" x14ac:dyDescent="0.25">
      <c r="A16" s="13" t="s">
        <v>53</v>
      </c>
      <c r="B16" s="4">
        <f>4.6/100</f>
        <v>4.5999999999999999E-2</v>
      </c>
      <c r="C16" s="4">
        <v>238.04955989999999</v>
      </c>
      <c r="D16">
        <f>B16*C16</f>
        <v>10.950279755399999</v>
      </c>
      <c r="F16" s="127"/>
      <c r="G16" s="127"/>
      <c r="H16" s="127"/>
      <c r="I16" s="127"/>
      <c r="J16" s="39"/>
      <c r="K16" s="3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</row>
    <row r="17" spans="1:22" x14ac:dyDescent="0.25">
      <c r="A17" s="13" t="s">
        <v>54</v>
      </c>
      <c r="B17" s="4">
        <f>50.5/100</f>
        <v>0.505</v>
      </c>
      <c r="C17" s="4">
        <v>239.05216340000001</v>
      </c>
      <c r="D17">
        <f>B17*C17</f>
        <v>120.72134251700001</v>
      </c>
      <c r="F17" s="218" t="s">
        <v>68</v>
      </c>
      <c r="G17" s="219"/>
      <c r="H17" s="19" t="s">
        <v>69</v>
      </c>
      <c r="J17" s="218" t="s">
        <v>30</v>
      </c>
      <c r="K17" s="223"/>
      <c r="L17" s="19" t="s">
        <v>79</v>
      </c>
      <c r="M17" s="16"/>
      <c r="N17" s="218" t="s">
        <v>80</v>
      </c>
      <c r="O17" s="219"/>
      <c r="P17" s="19" t="s">
        <v>81</v>
      </c>
    </row>
    <row r="18" spans="1:22" ht="15" customHeight="1" x14ac:dyDescent="0.25">
      <c r="A18" s="13" t="s">
        <v>55</v>
      </c>
      <c r="B18" s="4">
        <f>24/100</f>
        <v>0.24</v>
      </c>
      <c r="C18" s="4">
        <v>240.05381349999999</v>
      </c>
      <c r="D18">
        <f>B18*C18</f>
        <v>57.612915239999992</v>
      </c>
      <c r="F18" s="27" t="s">
        <v>70</v>
      </c>
      <c r="G18" s="20"/>
      <c r="H18" s="21"/>
      <c r="J18" s="27" t="s">
        <v>83</v>
      </c>
      <c r="K18" s="20"/>
      <c r="L18" s="25"/>
      <c r="M18" s="20"/>
      <c r="N18" s="27" t="s">
        <v>83</v>
      </c>
      <c r="O18" s="20"/>
      <c r="P18" s="25"/>
      <c r="R18" s="179" t="s">
        <v>349</v>
      </c>
      <c r="S18" s="179"/>
      <c r="T18" s="179"/>
      <c r="U18" s="179"/>
      <c r="V18" s="179"/>
    </row>
    <row r="19" spans="1:22" x14ac:dyDescent="0.25">
      <c r="A19" s="13" t="s">
        <v>56</v>
      </c>
      <c r="B19" s="4">
        <f>12.5/100</f>
        <v>0.125</v>
      </c>
      <c r="C19" s="42">
        <v>241.05685149999999</v>
      </c>
      <c r="D19">
        <f>B19*C19</f>
        <v>30.132106437499999</v>
      </c>
      <c r="F19" s="4">
        <v>4.0026018980937002</v>
      </c>
      <c r="G19" s="17"/>
      <c r="H19" s="21"/>
      <c r="J19" s="4">
        <f>D49</f>
        <v>91.524026957999979</v>
      </c>
      <c r="K19" s="17"/>
      <c r="L19" s="21"/>
      <c r="N19" s="4">
        <f>D32</f>
        <v>0</v>
      </c>
      <c r="O19" s="17"/>
      <c r="P19" s="21"/>
      <c r="R19" s="4">
        <v>1000</v>
      </c>
      <c r="S19" s="4">
        <v>2000</v>
      </c>
      <c r="T19" s="108">
        <v>3000</v>
      </c>
      <c r="U19" s="108">
        <v>4000</v>
      </c>
      <c r="V19" s="108">
        <v>5000</v>
      </c>
    </row>
    <row r="20" spans="1:22" x14ac:dyDescent="0.25">
      <c r="A20" s="13" t="s">
        <v>57</v>
      </c>
      <c r="B20" s="4">
        <f>8.4/100</f>
        <v>8.4000000000000005E-2</v>
      </c>
      <c r="C20" s="42">
        <v>242.05874259999999</v>
      </c>
      <c r="D20">
        <f>B20*C20</f>
        <v>20.332934378400001</v>
      </c>
      <c r="F20" s="226"/>
      <c r="G20" s="227"/>
      <c r="H20" s="228"/>
      <c r="J20" s="89"/>
      <c r="K20" s="90"/>
      <c r="L20" s="91"/>
      <c r="N20" s="180"/>
      <c r="O20" s="222"/>
      <c r="P20" s="222"/>
      <c r="R20" s="4">
        <v>6000</v>
      </c>
      <c r="S20" s="4">
        <v>8000</v>
      </c>
      <c r="T20" s="4">
        <v>10000</v>
      </c>
      <c r="U20" s="4">
        <v>12000</v>
      </c>
      <c r="V20" s="4">
        <v>14000</v>
      </c>
    </row>
    <row r="21" spans="1:22" x14ac:dyDescent="0.25">
      <c r="D21">
        <f>SUM(D16:D20)</f>
        <v>239.7495783283</v>
      </c>
      <c r="F21" s="27" t="s">
        <v>59</v>
      </c>
      <c r="G21" s="27" t="s">
        <v>60</v>
      </c>
      <c r="H21" s="27" t="s">
        <v>61</v>
      </c>
      <c r="J21" s="27" t="s">
        <v>59</v>
      </c>
      <c r="K21" s="27" t="s">
        <v>60</v>
      </c>
      <c r="L21" s="27" t="s">
        <v>61</v>
      </c>
      <c r="N21" s="27" t="s">
        <v>59</v>
      </c>
      <c r="O21" s="27" t="s">
        <v>60</v>
      </c>
      <c r="P21" s="27" t="s">
        <v>61</v>
      </c>
      <c r="R21" s="4">
        <v>16000</v>
      </c>
      <c r="S21" s="4">
        <v>20000</v>
      </c>
      <c r="T21" s="4">
        <v>24000</v>
      </c>
      <c r="U21" s="4">
        <v>28000</v>
      </c>
      <c r="V21" s="4">
        <v>32000</v>
      </c>
    </row>
    <row r="22" spans="1:22" x14ac:dyDescent="0.25">
      <c r="F22" s="4" t="s">
        <v>74</v>
      </c>
      <c r="G22" s="4" t="s">
        <v>75</v>
      </c>
      <c r="H22" s="18">
        <f>B3*B7/F19*1E-24</f>
        <v>1.3582233696129912E-3</v>
      </c>
      <c r="J22" s="4" t="s">
        <v>82</v>
      </c>
      <c r="K22" s="4" t="s">
        <v>88</v>
      </c>
      <c r="L22" s="26">
        <f>$B$3*$B$41*B44*1E-24/$J$19</f>
        <v>4.2324966675679684E-2</v>
      </c>
      <c r="N22" s="4" t="s">
        <v>82</v>
      </c>
      <c r="O22" s="4" t="s">
        <v>88</v>
      </c>
      <c r="P22" s="18">
        <f>L22</f>
        <v>4.2324966675679684E-2</v>
      </c>
      <c r="R22" s="4">
        <v>40000</v>
      </c>
      <c r="S22" s="4">
        <v>48000</v>
      </c>
      <c r="T22" s="4">
        <v>56000</v>
      </c>
      <c r="U22" s="4">
        <v>64000</v>
      </c>
      <c r="V22" s="4">
        <v>72000</v>
      </c>
    </row>
    <row r="23" spans="1:22" x14ac:dyDescent="0.25">
      <c r="A23" s="212" t="s">
        <v>126</v>
      </c>
      <c r="B23" s="213"/>
      <c r="J23" s="4" t="s">
        <v>84</v>
      </c>
      <c r="K23" s="4" t="s">
        <v>89</v>
      </c>
      <c r="L23" s="26">
        <f>$B$3*$B$41*B45*1E-24/$J$19</f>
        <v>6.4655779957348823E-4</v>
      </c>
      <c r="N23" s="4" t="s">
        <v>84</v>
      </c>
      <c r="O23" s="4" t="s">
        <v>89</v>
      </c>
      <c r="P23" s="18">
        <f t="shared" ref="P23:P26" si="17">L23</f>
        <v>6.4655779957348823E-4</v>
      </c>
      <c r="R23" s="4">
        <v>80000</v>
      </c>
      <c r="S23" s="4">
        <v>104000</v>
      </c>
      <c r="T23" s="4">
        <v>128000</v>
      </c>
      <c r="U23" s="4">
        <v>152000</v>
      </c>
      <c r="V23" s="4">
        <v>176000</v>
      </c>
    </row>
    <row r="24" spans="1:22" x14ac:dyDescent="0.25">
      <c r="A24" s="4" t="s">
        <v>113</v>
      </c>
      <c r="B24" s="33">
        <v>0.99209999999999998</v>
      </c>
      <c r="J24" s="4" t="s">
        <v>85</v>
      </c>
      <c r="K24" s="4" t="s">
        <v>90</v>
      </c>
      <c r="L24" s="26">
        <f>$B$3*$B$41*B46*1E-24/$J$19</f>
        <v>8.6207706609798434E-5</v>
      </c>
      <c r="N24" s="4" t="s">
        <v>85</v>
      </c>
      <c r="O24" s="4" t="s">
        <v>90</v>
      </c>
      <c r="P24" s="18">
        <f t="shared" si="17"/>
        <v>8.6207706609798434E-5</v>
      </c>
    </row>
    <row r="25" spans="1:22" x14ac:dyDescent="0.25">
      <c r="A25" s="4" t="s">
        <v>127</v>
      </c>
      <c r="B25" s="4">
        <v>7.9000000000000008E-3</v>
      </c>
      <c r="J25" s="4" t="s">
        <v>86</v>
      </c>
      <c r="K25" s="4" t="s">
        <v>92</v>
      </c>
      <c r="L25" s="26">
        <f>$B$3*$B$41*B47*1E-24/$J$19</f>
        <v>4.3103853304899217E-5</v>
      </c>
      <c r="N25" s="4" t="s">
        <v>86</v>
      </c>
      <c r="O25" s="4" t="s">
        <v>92</v>
      </c>
      <c r="P25" s="18">
        <f t="shared" si="17"/>
        <v>4.3103853304899217E-5</v>
      </c>
    </row>
    <row r="26" spans="1:22" x14ac:dyDescent="0.25">
      <c r="J26" s="4" t="s">
        <v>87</v>
      </c>
      <c r="K26" s="4" t="s">
        <v>94</v>
      </c>
      <c r="L26" s="26">
        <f>$B$3*$B$41*B48*1E-24/$J$19</f>
        <v>3.0172697313429449E-6</v>
      </c>
      <c r="N26" s="4" t="s">
        <v>87</v>
      </c>
      <c r="O26" s="4" t="s">
        <v>94</v>
      </c>
      <c r="P26" s="18">
        <f t="shared" si="17"/>
        <v>3.0172697313429449E-6</v>
      </c>
    </row>
    <row r="27" spans="1:22" x14ac:dyDescent="0.25">
      <c r="A27" s="4" t="s">
        <v>128</v>
      </c>
      <c r="B27" s="4">
        <v>157.25209770539999</v>
      </c>
      <c r="C27">
        <f>2*B27</f>
        <v>314.50419541079998</v>
      </c>
    </row>
    <row r="28" spans="1:22" x14ac:dyDescent="0.25">
      <c r="A28" s="4" t="s">
        <v>129</v>
      </c>
      <c r="B28" s="34">
        <v>15.999404928358299</v>
      </c>
      <c r="C28">
        <f>B28*3</f>
        <v>47.998214785074893</v>
      </c>
      <c r="F28" s="218" t="s">
        <v>31</v>
      </c>
      <c r="G28" s="223"/>
      <c r="H28" s="19" t="s">
        <v>96</v>
      </c>
      <c r="J28" s="218" t="s">
        <v>91</v>
      </c>
      <c r="K28" s="223"/>
      <c r="L28" s="27" t="s">
        <v>105</v>
      </c>
      <c r="N28" s="218" t="s">
        <v>211</v>
      </c>
      <c r="O28" s="219"/>
      <c r="P28" s="43" t="s">
        <v>212</v>
      </c>
    </row>
    <row r="29" spans="1:22" x14ac:dyDescent="0.25">
      <c r="B29" s="17"/>
      <c r="C29">
        <f>SUM(C27:C28)</f>
        <v>362.50241019587486</v>
      </c>
      <c r="F29" s="27" t="s">
        <v>98</v>
      </c>
      <c r="G29" s="20"/>
      <c r="H29" s="25"/>
      <c r="J29" s="27" t="s">
        <v>107</v>
      </c>
      <c r="K29" s="17"/>
      <c r="L29" s="21"/>
      <c r="N29" s="43" t="s">
        <v>213</v>
      </c>
      <c r="O29" s="20"/>
      <c r="P29" s="21"/>
    </row>
    <row r="30" spans="1:22" x14ac:dyDescent="0.25">
      <c r="A30" s="27" t="s">
        <v>130</v>
      </c>
      <c r="B30" s="35" t="s">
        <v>77</v>
      </c>
      <c r="F30" s="4">
        <f>(2*1.00790548)+15.99940493</f>
        <v>18.01521589</v>
      </c>
      <c r="G30" s="17"/>
      <c r="H30" s="21"/>
      <c r="J30" s="4">
        <f>D64</f>
        <v>55.032952715149506</v>
      </c>
      <c r="K30" s="17"/>
      <c r="L30" s="21"/>
      <c r="N30" s="4">
        <f>D82</f>
        <v>55.235364606774297</v>
      </c>
      <c r="O30" s="17"/>
      <c r="P30" s="21"/>
    </row>
    <row r="31" spans="1:22" x14ac:dyDescent="0.25">
      <c r="A31" s="36" t="s">
        <v>131</v>
      </c>
      <c r="B31" s="37">
        <v>2E-3</v>
      </c>
      <c r="F31" s="226"/>
      <c r="G31" s="227"/>
      <c r="H31" s="228"/>
      <c r="J31" s="22"/>
      <c r="K31" s="17"/>
      <c r="L31" s="21"/>
      <c r="N31" s="226"/>
      <c r="O31" s="227"/>
      <c r="P31" s="228"/>
    </row>
    <row r="32" spans="1:22" x14ac:dyDescent="0.25">
      <c r="A32" s="36" t="s">
        <v>132</v>
      </c>
      <c r="B32" s="37">
        <v>2.18E-2</v>
      </c>
      <c r="F32" s="27" t="s">
        <v>59</v>
      </c>
      <c r="G32" s="27" t="s">
        <v>60</v>
      </c>
      <c r="H32" s="27" t="s">
        <v>61</v>
      </c>
      <c r="J32" s="27" t="s">
        <v>59</v>
      </c>
      <c r="K32" s="27" t="s">
        <v>60</v>
      </c>
      <c r="L32" s="27" t="s">
        <v>61</v>
      </c>
      <c r="N32" s="43" t="s">
        <v>59</v>
      </c>
      <c r="O32" s="43" t="s">
        <v>60</v>
      </c>
      <c r="P32" s="43" t="s">
        <v>61</v>
      </c>
    </row>
    <row r="33" spans="1:16" x14ac:dyDescent="0.25">
      <c r="A33" s="36" t="s">
        <v>133</v>
      </c>
      <c r="B33" s="37">
        <v>0.14800000000000002</v>
      </c>
      <c r="F33" s="4" t="s">
        <v>101</v>
      </c>
      <c r="G33" s="4" t="s">
        <v>102</v>
      </c>
      <c r="H33" s="18">
        <f>2*$B$3/$F$30*$B$5*1E-24</f>
        <v>5.0356327781491024E-2</v>
      </c>
      <c r="J33" s="4" t="s">
        <v>85</v>
      </c>
      <c r="K33" s="4" t="s">
        <v>90</v>
      </c>
      <c r="L33" s="18">
        <f t="shared" ref="L33:L40" si="18">B56*$B$3*$B$53*1E-24/$J$30</f>
        <v>5.8561438956644285E-2</v>
      </c>
      <c r="N33" s="4" t="s">
        <v>99</v>
      </c>
      <c r="O33" s="4" t="s">
        <v>108</v>
      </c>
      <c r="P33" s="18">
        <f t="shared" ref="P33:P40" si="19">B74*$B$3*$B$71/$N$30*1E-24</f>
        <v>1.2211013374957949E-5</v>
      </c>
    </row>
    <row r="34" spans="1:16" x14ac:dyDescent="0.25">
      <c r="A34" s="36" t="s">
        <v>134</v>
      </c>
      <c r="B34" s="37">
        <v>0.20469999999999999</v>
      </c>
      <c r="F34" s="4" t="s">
        <v>66</v>
      </c>
      <c r="G34" s="4" t="s">
        <v>67</v>
      </c>
      <c r="H34" s="18">
        <f>1*$B$3/$F$30*$B$5*1E-24</f>
        <v>2.5178163890745512E-2</v>
      </c>
      <c r="J34" s="4" t="s">
        <v>99</v>
      </c>
      <c r="K34" s="4" t="s">
        <v>108</v>
      </c>
      <c r="L34" s="18">
        <f t="shared" si="18"/>
        <v>2.626269779055727E-5</v>
      </c>
      <c r="N34" s="13" t="s">
        <v>106</v>
      </c>
      <c r="O34" s="4" t="s">
        <v>112</v>
      </c>
      <c r="P34" s="18">
        <f t="shared" si="19"/>
        <v>4.3610762053421259E-4</v>
      </c>
    </row>
    <row r="35" spans="1:16" x14ac:dyDescent="0.25">
      <c r="A35" s="36" t="s">
        <v>135</v>
      </c>
      <c r="B35" s="37">
        <v>0.1565</v>
      </c>
      <c r="J35" s="4" t="s">
        <v>86</v>
      </c>
      <c r="K35" s="4" t="s">
        <v>92</v>
      </c>
      <c r="L35" s="18">
        <f t="shared" si="18"/>
        <v>1.7508465193704852E-2</v>
      </c>
      <c r="N35" s="13" t="s">
        <v>103</v>
      </c>
      <c r="O35" s="4" t="s">
        <v>340</v>
      </c>
      <c r="P35" s="18">
        <f t="shared" si="19"/>
        <v>2.0060950544573778E-5</v>
      </c>
    </row>
    <row r="36" spans="1:16" x14ac:dyDescent="0.25">
      <c r="A36" s="36" t="s">
        <v>136</v>
      </c>
      <c r="B36" s="37">
        <v>0.24840000000000001</v>
      </c>
      <c r="J36" s="4" t="s">
        <v>100</v>
      </c>
      <c r="K36" s="4" t="s">
        <v>109</v>
      </c>
      <c r="L36" s="18">
        <f t="shared" si="18"/>
        <v>1.7508465193704851E-3</v>
      </c>
      <c r="N36" s="13" t="s">
        <v>104</v>
      </c>
      <c r="O36" s="4" t="s">
        <v>111</v>
      </c>
      <c r="P36" s="18">
        <f t="shared" si="19"/>
        <v>1.3083228616026375E-5</v>
      </c>
    </row>
    <row r="37" spans="1:16" x14ac:dyDescent="0.25">
      <c r="A37" s="36" t="s">
        <v>137</v>
      </c>
      <c r="B37" s="37">
        <v>0.21859999999999999</v>
      </c>
      <c r="J37" s="4" t="s">
        <v>87</v>
      </c>
      <c r="K37" s="4" t="s">
        <v>94</v>
      </c>
      <c r="L37" s="18">
        <f t="shared" si="18"/>
        <v>8.7542325968524258E-3</v>
      </c>
      <c r="N37" s="13" t="s">
        <v>86</v>
      </c>
      <c r="O37" s="4" t="s">
        <v>92</v>
      </c>
      <c r="P37" s="18">
        <f t="shared" si="19"/>
        <v>1.6572089580300077E-2</v>
      </c>
    </row>
    <row r="38" spans="1:16" x14ac:dyDescent="0.25">
      <c r="J38" s="4" t="s">
        <v>103</v>
      </c>
      <c r="K38" s="4" t="s">
        <v>340</v>
      </c>
      <c r="L38" s="18">
        <f t="shared" si="18"/>
        <v>3.9394046685835918E-5</v>
      </c>
      <c r="N38" s="13" t="s">
        <v>100</v>
      </c>
      <c r="O38" s="4" t="s">
        <v>109</v>
      </c>
      <c r="P38" s="18">
        <f t="shared" si="19"/>
        <v>8.7221524106842517E-4</v>
      </c>
    </row>
    <row r="39" spans="1:16" x14ac:dyDescent="0.25">
      <c r="A39" s="212" t="s">
        <v>71</v>
      </c>
      <c r="B39" s="231"/>
      <c r="C39" s="213"/>
      <c r="J39" s="4" t="s">
        <v>104</v>
      </c>
      <c r="K39" s="4" t="s">
        <v>111</v>
      </c>
      <c r="L39" s="18">
        <f t="shared" si="18"/>
        <v>2.626269779055727E-5</v>
      </c>
      <c r="N39" s="13" t="s">
        <v>85</v>
      </c>
      <c r="O39" s="4" t="s">
        <v>90</v>
      </c>
      <c r="P39" s="18">
        <f t="shared" si="19"/>
        <v>6.0573604061719979E-2</v>
      </c>
    </row>
    <row r="40" spans="1:16" x14ac:dyDescent="0.25">
      <c r="A40" s="13" t="s">
        <v>2</v>
      </c>
      <c r="B40" s="224" t="s">
        <v>72</v>
      </c>
      <c r="C40" s="225"/>
      <c r="J40" s="4" t="s">
        <v>106</v>
      </c>
      <c r="K40" s="4" t="s">
        <v>112</v>
      </c>
      <c r="L40" s="18">
        <f t="shared" si="18"/>
        <v>8.7542325968524256E-4</v>
      </c>
      <c r="N40" s="13" t="s">
        <v>87</v>
      </c>
      <c r="O40" s="4" t="s">
        <v>94</v>
      </c>
      <c r="P40" s="18">
        <f t="shared" si="19"/>
        <v>8.7221524106842509E-3</v>
      </c>
    </row>
    <row r="41" spans="1:16" x14ac:dyDescent="0.25">
      <c r="A41" s="4" t="s">
        <v>73</v>
      </c>
      <c r="B41" s="4">
        <v>6.5508899999999999</v>
      </c>
      <c r="C41" s="4" t="s">
        <v>42</v>
      </c>
    </row>
    <row r="42" spans="1:16" x14ac:dyDescent="0.25">
      <c r="A42" s="22"/>
      <c r="B42" s="17"/>
      <c r="C42" s="21"/>
    </row>
    <row r="43" spans="1:16" x14ac:dyDescent="0.25">
      <c r="A43" s="2" t="s">
        <v>76</v>
      </c>
      <c r="B43" s="27" t="s">
        <v>77</v>
      </c>
      <c r="C43" s="27" t="s">
        <v>78</v>
      </c>
    </row>
    <row r="44" spans="1:16" x14ac:dyDescent="0.25">
      <c r="A44" s="2" t="s">
        <v>82</v>
      </c>
      <c r="B44" s="24">
        <v>0.98192999999999997</v>
      </c>
      <c r="C44" s="24">
        <v>91.224000000000004</v>
      </c>
      <c r="D44">
        <f>B44*C44</f>
        <v>89.575582319999995</v>
      </c>
    </row>
    <row r="45" spans="1:16" x14ac:dyDescent="0.25">
      <c r="A45" s="14" t="s">
        <v>84</v>
      </c>
      <c r="B45" s="24">
        <v>1.4999999999999999E-2</v>
      </c>
      <c r="C45" s="24">
        <v>118.71</v>
      </c>
      <c r="D45">
        <f t="shared" ref="D45:D48" si="20">B45*C45</f>
        <v>1.7806499999999998</v>
      </c>
    </row>
    <row r="46" spans="1:16" x14ac:dyDescent="0.25">
      <c r="A46" s="14" t="s">
        <v>85</v>
      </c>
      <c r="B46" s="24">
        <v>2E-3</v>
      </c>
      <c r="C46" s="24">
        <v>55.844999999999999</v>
      </c>
      <c r="D46">
        <f t="shared" si="20"/>
        <v>0.11169</v>
      </c>
    </row>
    <row r="47" spans="1:16" x14ac:dyDescent="0.25">
      <c r="A47" s="14" t="s">
        <v>86</v>
      </c>
      <c r="B47" s="24">
        <v>1E-3</v>
      </c>
      <c r="C47" s="24">
        <v>51.996099999999998</v>
      </c>
      <c r="D47">
        <f t="shared" si="20"/>
        <v>5.1996099999999996E-2</v>
      </c>
    </row>
    <row r="48" spans="1:16" x14ac:dyDescent="0.25">
      <c r="A48" s="14" t="s">
        <v>87</v>
      </c>
      <c r="B48" s="24">
        <v>6.9999999999999994E-5</v>
      </c>
      <c r="C48" s="24">
        <v>58.693399999999997</v>
      </c>
      <c r="D48">
        <f t="shared" si="20"/>
        <v>4.1085379999999993E-3</v>
      </c>
    </row>
    <row r="49" spans="1:4" x14ac:dyDescent="0.25">
      <c r="D49">
        <f>SUM(D44:D48)</f>
        <v>91.524026957999979</v>
      </c>
    </row>
    <row r="51" spans="1:4" x14ac:dyDescent="0.25">
      <c r="A51" s="179" t="s">
        <v>91</v>
      </c>
      <c r="B51" s="179"/>
      <c r="C51" s="179"/>
    </row>
    <row r="52" spans="1:4" x14ac:dyDescent="0.25">
      <c r="A52" s="28" t="s">
        <v>2</v>
      </c>
      <c r="B52" s="179" t="s">
        <v>93</v>
      </c>
      <c r="C52" s="179"/>
    </row>
    <row r="53" spans="1:4" x14ac:dyDescent="0.25">
      <c r="A53" s="4" t="s">
        <v>73</v>
      </c>
      <c r="B53" s="4">
        <v>8</v>
      </c>
      <c r="C53" s="4" t="s">
        <v>95</v>
      </c>
    </row>
    <row r="54" spans="1:4" x14ac:dyDescent="0.25">
      <c r="A54" s="22"/>
      <c r="B54" s="17"/>
      <c r="C54" s="21"/>
    </row>
    <row r="55" spans="1:4" x14ac:dyDescent="0.25">
      <c r="A55" s="27" t="s">
        <v>97</v>
      </c>
      <c r="B55" s="27" t="s">
        <v>77</v>
      </c>
      <c r="C55" s="27" t="s">
        <v>78</v>
      </c>
    </row>
    <row r="56" spans="1:4" x14ac:dyDescent="0.25">
      <c r="A56" s="4" t="s">
        <v>85</v>
      </c>
      <c r="B56" s="4">
        <f>1-(SUM(B57:B63))</f>
        <v>0.66894999999999993</v>
      </c>
      <c r="C56" s="4">
        <v>55.845150199999999</v>
      </c>
      <c r="D56">
        <f>C56*B56</f>
        <v>37.357613226289999</v>
      </c>
    </row>
    <row r="57" spans="1:4" x14ac:dyDescent="0.25">
      <c r="A57" s="4" t="s">
        <v>99</v>
      </c>
      <c r="B57" s="4">
        <f>0.03/100</f>
        <v>2.9999999999999997E-4</v>
      </c>
      <c r="C57" s="4">
        <v>12.0107359</v>
      </c>
      <c r="D57">
        <f t="shared" ref="D57:D61" si="21">C57*B57</f>
        <v>3.6032207699999998E-3</v>
      </c>
    </row>
    <row r="58" spans="1:4" x14ac:dyDescent="0.25">
      <c r="A58" s="4" t="s">
        <v>86</v>
      </c>
      <c r="B58" s="4">
        <f>20/100</f>
        <v>0.2</v>
      </c>
      <c r="C58" s="4">
        <v>51.996137500000003</v>
      </c>
      <c r="D58">
        <f t="shared" si="21"/>
        <v>10.399227500000002</v>
      </c>
    </row>
    <row r="59" spans="1:4" x14ac:dyDescent="0.25">
      <c r="A59" s="4" t="s">
        <v>100</v>
      </c>
      <c r="B59" s="4">
        <f>2/100</f>
        <v>0.02</v>
      </c>
      <c r="C59" s="29">
        <v>54.938049599999999</v>
      </c>
      <c r="D59">
        <f t="shared" si="21"/>
        <v>1.0987609920000001</v>
      </c>
    </row>
    <row r="60" spans="1:4" x14ac:dyDescent="0.25">
      <c r="A60" s="4" t="s">
        <v>87</v>
      </c>
      <c r="B60" s="4">
        <f>10/100</f>
        <v>0.1</v>
      </c>
      <c r="C60" s="4">
        <v>58.693356299999998</v>
      </c>
      <c r="D60">
        <f t="shared" si="21"/>
        <v>5.8693356300000001</v>
      </c>
    </row>
    <row r="61" spans="1:4" x14ac:dyDescent="0.25">
      <c r="A61" s="4" t="s">
        <v>103</v>
      </c>
      <c r="B61" s="4">
        <f>0.045/100</f>
        <v>4.4999999999999999E-4</v>
      </c>
      <c r="C61" s="29">
        <v>30.973761509999999</v>
      </c>
      <c r="D61">
        <f t="shared" si="21"/>
        <v>1.39381926795E-2</v>
      </c>
    </row>
    <row r="62" spans="1:4" x14ac:dyDescent="0.25">
      <c r="A62" s="4" t="s">
        <v>104</v>
      </c>
      <c r="B62" s="4">
        <f>0.03/100</f>
        <v>2.9999999999999997E-4</v>
      </c>
      <c r="C62" s="4">
        <v>32.066084699999998</v>
      </c>
      <c r="D62">
        <f>C62*B62</f>
        <v>9.6198254099999977E-3</v>
      </c>
    </row>
    <row r="63" spans="1:4" x14ac:dyDescent="0.25">
      <c r="A63" s="4" t="s">
        <v>106</v>
      </c>
      <c r="B63" s="4">
        <f>1/100</f>
        <v>0.01</v>
      </c>
      <c r="C63" s="4">
        <v>28.0854128</v>
      </c>
      <c r="D63">
        <f>C63*B63</f>
        <v>0.28085412800000004</v>
      </c>
    </row>
    <row r="64" spans="1:4" x14ac:dyDescent="0.25">
      <c r="D64">
        <f>SUM(D56:D63)</f>
        <v>55.032952715149506</v>
      </c>
    </row>
    <row r="66" spans="1:6" x14ac:dyDescent="0.25">
      <c r="A66" s="179" t="s">
        <v>138</v>
      </c>
      <c r="B66" s="179"/>
      <c r="C66" s="179"/>
    </row>
    <row r="67" spans="1:6" x14ac:dyDescent="0.25">
      <c r="A67" s="87" t="s">
        <v>337</v>
      </c>
      <c r="B67" s="107">
        <f>200+25+15</f>
        <v>240</v>
      </c>
      <c r="C67" s="107" t="s">
        <v>154</v>
      </c>
    </row>
    <row r="68" spans="1:6" x14ac:dyDescent="0.25">
      <c r="A68" s="87" t="s">
        <v>345</v>
      </c>
      <c r="B68" s="107">
        <v>12.5</v>
      </c>
      <c r="C68" s="107" t="s">
        <v>154</v>
      </c>
    </row>
    <row r="69" spans="1:6" x14ac:dyDescent="0.25">
      <c r="A69" s="87" t="s">
        <v>346</v>
      </c>
      <c r="B69" s="107">
        <v>14</v>
      </c>
      <c r="C69" s="107" t="s">
        <v>154</v>
      </c>
      <c r="F69">
        <f>(7*21.50364)+20</f>
        <v>170.52548000000002</v>
      </c>
    </row>
    <row r="70" spans="1:6" x14ac:dyDescent="0.25">
      <c r="A70" s="28" t="s">
        <v>2</v>
      </c>
      <c r="B70" s="179" t="s">
        <v>338</v>
      </c>
      <c r="C70" s="179"/>
    </row>
    <row r="71" spans="1:6" x14ac:dyDescent="0.25">
      <c r="A71" s="4" t="s">
        <v>73</v>
      </c>
      <c r="B71" s="4">
        <v>8</v>
      </c>
      <c r="C71" s="4" t="s">
        <v>95</v>
      </c>
    </row>
    <row r="73" spans="1:6" x14ac:dyDescent="0.25">
      <c r="A73" s="86" t="s">
        <v>97</v>
      </c>
      <c r="B73" s="86" t="s">
        <v>77</v>
      </c>
      <c r="C73" s="86" t="s">
        <v>78</v>
      </c>
    </row>
    <row r="74" spans="1:6" x14ac:dyDescent="0.25">
      <c r="A74" s="4" t="s">
        <v>99</v>
      </c>
      <c r="B74" s="4">
        <v>1.3999999999999999E-4</v>
      </c>
      <c r="C74" s="4">
        <v>12.0107359</v>
      </c>
      <c r="D74">
        <f>B74*C74</f>
        <v>1.6815030259999999E-3</v>
      </c>
    </row>
    <row r="75" spans="1:6" x14ac:dyDescent="0.25">
      <c r="A75" s="13" t="s">
        <v>106</v>
      </c>
      <c r="B75" s="4">
        <v>5.0000000000000001E-3</v>
      </c>
      <c r="C75" s="4">
        <v>28.0854128</v>
      </c>
      <c r="D75">
        <f t="shared" ref="D75:D81" si="22">B75*C75</f>
        <v>0.14042706400000002</v>
      </c>
    </row>
    <row r="76" spans="1:6" x14ac:dyDescent="0.25">
      <c r="A76" s="13" t="s">
        <v>103</v>
      </c>
      <c r="B76" s="4">
        <v>2.3000000000000001E-4</v>
      </c>
      <c r="C76" s="29">
        <v>30.973761509999999</v>
      </c>
      <c r="D76">
        <f t="shared" si="22"/>
        <v>7.1239651472999998E-3</v>
      </c>
    </row>
    <row r="77" spans="1:6" x14ac:dyDescent="0.25">
      <c r="A77" s="13" t="s">
        <v>104</v>
      </c>
      <c r="B77" s="4">
        <v>1.4999999999999999E-4</v>
      </c>
      <c r="C77" s="4">
        <v>32.066084699999998</v>
      </c>
      <c r="D77">
        <f t="shared" si="22"/>
        <v>4.8099127049999989E-3</v>
      </c>
    </row>
    <row r="78" spans="1:6" x14ac:dyDescent="0.25">
      <c r="A78" s="13" t="s">
        <v>86</v>
      </c>
      <c r="B78" s="4">
        <v>0.19</v>
      </c>
      <c r="C78" s="4">
        <v>51.996137500000003</v>
      </c>
      <c r="D78">
        <f t="shared" si="22"/>
        <v>9.8792661250000009</v>
      </c>
    </row>
    <row r="79" spans="1:6" x14ac:dyDescent="0.25">
      <c r="A79" s="13" t="s">
        <v>100</v>
      </c>
      <c r="B79" s="4">
        <v>0.01</v>
      </c>
      <c r="C79" s="29">
        <v>54.938049599999999</v>
      </c>
      <c r="D79">
        <f t="shared" si="22"/>
        <v>0.54938049600000005</v>
      </c>
    </row>
    <row r="80" spans="1:6" x14ac:dyDescent="0.25">
      <c r="A80" s="13" t="s">
        <v>85</v>
      </c>
      <c r="B80" s="4">
        <v>0.69447999999999999</v>
      </c>
      <c r="C80" s="4">
        <v>55.845150199999999</v>
      </c>
      <c r="D80">
        <f t="shared" si="22"/>
        <v>38.783339910895997</v>
      </c>
    </row>
    <row r="81" spans="1:4" x14ac:dyDescent="0.25">
      <c r="A81" s="13" t="s">
        <v>87</v>
      </c>
      <c r="B81" s="4">
        <v>0.1</v>
      </c>
      <c r="C81" s="4">
        <v>58.693356299999998</v>
      </c>
      <c r="D81">
        <f t="shared" si="22"/>
        <v>5.8693356300000001</v>
      </c>
    </row>
    <row r="82" spans="1:4" x14ac:dyDescent="0.25">
      <c r="D82">
        <f>SUM(D74:D81)</f>
        <v>55.235364606774297</v>
      </c>
    </row>
  </sheetData>
  <mergeCells count="31">
    <mergeCell ref="B70:C70"/>
    <mergeCell ref="A1:D1"/>
    <mergeCell ref="A13:C13"/>
    <mergeCell ref="B14:C14"/>
    <mergeCell ref="A23:B23"/>
    <mergeCell ref="A39:C39"/>
    <mergeCell ref="L3:Z3"/>
    <mergeCell ref="B40:C40"/>
    <mergeCell ref="A51:C51"/>
    <mergeCell ref="B52:C52"/>
    <mergeCell ref="A66:C66"/>
    <mergeCell ref="J3:K3"/>
    <mergeCell ref="F3:I3"/>
    <mergeCell ref="F4:F5"/>
    <mergeCell ref="G4:G5"/>
    <mergeCell ref="H4:H5"/>
    <mergeCell ref="I4:I5"/>
    <mergeCell ref="K4:K5"/>
    <mergeCell ref="F17:G17"/>
    <mergeCell ref="N17:O17"/>
    <mergeCell ref="J4:J5"/>
    <mergeCell ref="J17:K17"/>
    <mergeCell ref="AA4:AA15"/>
    <mergeCell ref="R18:V18"/>
    <mergeCell ref="J28:K28"/>
    <mergeCell ref="F31:H31"/>
    <mergeCell ref="F20:H20"/>
    <mergeCell ref="N20:P20"/>
    <mergeCell ref="F28:G28"/>
    <mergeCell ref="N28:O28"/>
    <mergeCell ref="N31:P3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95"/>
  <sheetViews>
    <sheetView tabSelected="1" topLeftCell="AM39" zoomScaleNormal="100" workbookViewId="0">
      <selection activeCell="AO3" sqref="AO3:AX60"/>
    </sheetView>
  </sheetViews>
  <sheetFormatPr defaultRowHeight="15" x14ac:dyDescent="0.25"/>
  <cols>
    <col min="1" max="1" width="6.140625" bestFit="1" customWidth="1"/>
    <col min="2" max="2" width="5" bestFit="1" customWidth="1"/>
    <col min="3" max="3" width="8.42578125" customWidth="1"/>
    <col min="5" max="5" width="8" bestFit="1" customWidth="1"/>
    <col min="7" max="8" width="10.85546875" bestFit="1" customWidth="1"/>
    <col min="9" max="18" width="9.5703125" bestFit="1" customWidth="1"/>
    <col min="19" max="19" width="12" bestFit="1" customWidth="1"/>
    <col min="28" max="28" width="10.85546875" bestFit="1" customWidth="1"/>
    <col min="29" max="32" width="8.5703125" bestFit="1" customWidth="1"/>
    <col min="33" max="38" width="9.28515625" bestFit="1" customWidth="1"/>
    <col min="39" max="39" width="12" bestFit="1" customWidth="1"/>
    <col min="40" max="41" width="10.28515625" bestFit="1" customWidth="1"/>
    <col min="42" max="42" width="10.85546875" bestFit="1" customWidth="1"/>
    <col min="43" max="43" width="6.42578125" bestFit="1" customWidth="1"/>
    <col min="44" max="45" width="11.7109375" bestFit="1" customWidth="1"/>
    <col min="46" max="46" width="12.7109375" bestFit="1" customWidth="1"/>
    <col min="47" max="50" width="11.7109375" bestFit="1" customWidth="1"/>
    <col min="51" max="51" width="12.7109375" bestFit="1" customWidth="1"/>
    <col min="53" max="53" width="3" bestFit="1" customWidth="1"/>
    <col min="54" max="54" width="10.85546875" bestFit="1" customWidth="1"/>
    <col min="55" max="55" width="12.5703125" bestFit="1" customWidth="1"/>
    <col min="56" max="56" width="3" bestFit="1" customWidth="1"/>
    <col min="57" max="57" width="10.85546875" bestFit="1" customWidth="1"/>
    <col min="58" max="58" width="12.5703125" bestFit="1" customWidth="1"/>
    <col min="59" max="59" width="3" bestFit="1" customWidth="1"/>
    <col min="60" max="60" width="10.85546875" bestFit="1" customWidth="1"/>
    <col min="61" max="61" width="12.5703125" bestFit="1" customWidth="1"/>
    <col min="62" max="62" width="3" bestFit="1" customWidth="1"/>
    <col min="63" max="63" width="10.85546875" bestFit="1" customWidth="1"/>
    <col min="64" max="64" width="12.5703125" bestFit="1" customWidth="1"/>
    <col min="65" max="65" width="3" bestFit="1" customWidth="1"/>
    <col min="66" max="66" width="10.85546875" bestFit="1" customWidth="1"/>
    <col min="67" max="75" width="12.5703125" bestFit="1" customWidth="1"/>
    <col min="77" max="77" width="10.5703125" bestFit="1" customWidth="1"/>
    <col min="78" max="78" width="12" bestFit="1" customWidth="1"/>
    <col min="79" max="79" width="10.85546875" bestFit="1" customWidth="1"/>
    <col min="80" max="89" width="10.5703125" bestFit="1" customWidth="1"/>
    <col min="106" max="106" width="10.85546875" bestFit="1" customWidth="1"/>
    <col min="107" max="107" width="15.5703125" bestFit="1" customWidth="1"/>
    <col min="108" max="108" width="9.85546875" bestFit="1" customWidth="1"/>
  </cols>
  <sheetData>
    <row r="1" spans="1:108" x14ac:dyDescent="0.25">
      <c r="A1" s="45"/>
      <c r="B1" s="45"/>
      <c r="C1" s="45"/>
      <c r="D1" s="45"/>
      <c r="E1" s="45"/>
      <c r="F1" s="45"/>
      <c r="G1" s="44"/>
    </row>
    <row r="3" spans="1:108" ht="15" customHeight="1" x14ac:dyDescent="0.25">
      <c r="A3" s="50"/>
      <c r="B3" s="50"/>
      <c r="C3" s="50"/>
      <c r="D3" s="50"/>
      <c r="E3" s="50"/>
      <c r="F3" s="51"/>
      <c r="G3" s="48" t="s">
        <v>239</v>
      </c>
      <c r="H3" s="46">
        <v>0</v>
      </c>
      <c r="I3" s="4">
        <v>2</v>
      </c>
      <c r="J3" s="4">
        <v>4</v>
      </c>
      <c r="K3" s="4">
        <v>6</v>
      </c>
      <c r="L3" s="4">
        <v>8</v>
      </c>
      <c r="M3" s="4">
        <v>10</v>
      </c>
      <c r="N3" s="11">
        <v>12</v>
      </c>
      <c r="O3" s="13">
        <v>14</v>
      </c>
      <c r="P3" s="4">
        <v>16</v>
      </c>
      <c r="Q3" s="4">
        <v>18</v>
      </c>
      <c r="R3" s="47">
        <v>20</v>
      </c>
      <c r="S3" s="22"/>
      <c r="U3" s="50"/>
      <c r="V3" s="50"/>
      <c r="W3" s="50"/>
      <c r="X3" s="50"/>
      <c r="Y3" s="50"/>
      <c r="Z3" s="51"/>
      <c r="AA3" s="48" t="s">
        <v>239</v>
      </c>
      <c r="AB3" s="138">
        <v>0</v>
      </c>
      <c r="AC3" s="13">
        <v>2</v>
      </c>
      <c r="AD3" s="13">
        <v>4</v>
      </c>
      <c r="AE3" s="13">
        <v>6</v>
      </c>
      <c r="AF3" s="13">
        <v>8</v>
      </c>
      <c r="AG3" s="13">
        <v>10</v>
      </c>
      <c r="AH3" s="11">
        <v>12</v>
      </c>
      <c r="AI3" s="13">
        <v>14</v>
      </c>
      <c r="AJ3" s="13">
        <v>16</v>
      </c>
      <c r="AK3" s="13">
        <v>18</v>
      </c>
      <c r="AL3" s="13">
        <v>20</v>
      </c>
      <c r="AP3" s="207" t="s">
        <v>247</v>
      </c>
      <c r="AQ3" s="207"/>
      <c r="AR3" s="207"/>
      <c r="AS3" s="207"/>
      <c r="AT3" s="207"/>
      <c r="AU3" s="207"/>
      <c r="AV3" s="207"/>
      <c r="AW3" s="207"/>
      <c r="AX3" s="207"/>
      <c r="BA3" s="232" t="s">
        <v>356</v>
      </c>
      <c r="BB3" s="232"/>
      <c r="BC3" s="232"/>
      <c r="BD3" s="232"/>
      <c r="BE3" s="232"/>
      <c r="BF3" s="232"/>
      <c r="BG3" s="232"/>
      <c r="BH3" s="232"/>
      <c r="BI3" s="232"/>
      <c r="BJ3" s="232"/>
      <c r="BK3" s="232"/>
      <c r="BL3" s="232"/>
      <c r="BM3" s="232"/>
      <c r="BN3" s="232"/>
      <c r="BO3" s="232"/>
      <c r="BP3" s="232"/>
      <c r="BQ3" s="232"/>
      <c r="BR3" s="232"/>
      <c r="BS3" s="232"/>
      <c r="BT3" s="232"/>
      <c r="BU3" s="232"/>
      <c r="BV3" s="232"/>
      <c r="BW3" s="232"/>
      <c r="BZ3" s="232" t="s">
        <v>358</v>
      </c>
      <c r="CA3" s="232"/>
      <c r="CB3" s="232"/>
      <c r="CC3" s="232"/>
      <c r="CD3" s="232"/>
      <c r="CE3" s="232"/>
      <c r="CF3" s="232"/>
      <c r="CG3" s="232"/>
      <c r="CH3" s="232"/>
      <c r="CI3" s="232"/>
      <c r="CJ3" s="232"/>
      <c r="CK3" s="232"/>
      <c r="DB3" s="172" t="s">
        <v>219</v>
      </c>
      <c r="DC3" s="172" t="s">
        <v>395</v>
      </c>
      <c r="DD3" s="172" t="s">
        <v>396</v>
      </c>
    </row>
    <row r="4" spans="1:108" ht="15" customHeight="1" x14ac:dyDescent="0.25">
      <c r="A4" s="236" t="s">
        <v>219</v>
      </c>
      <c r="B4" s="49"/>
      <c r="C4" s="236" t="s">
        <v>221</v>
      </c>
      <c r="D4" s="221" t="s">
        <v>225</v>
      </c>
      <c r="E4" s="236" t="s">
        <v>226</v>
      </c>
      <c r="F4" s="236" t="s">
        <v>227</v>
      </c>
      <c r="G4" s="207" t="s">
        <v>228</v>
      </c>
      <c r="H4" s="224" t="s">
        <v>246</v>
      </c>
      <c r="I4" s="237"/>
      <c r="J4" s="237"/>
      <c r="K4" s="237"/>
      <c r="L4" s="237"/>
      <c r="M4" s="237"/>
      <c r="N4" s="237"/>
      <c r="O4" s="237"/>
      <c r="P4" s="237"/>
      <c r="Q4" s="237"/>
      <c r="R4" s="237"/>
      <c r="U4" s="236" t="s">
        <v>219</v>
      </c>
      <c r="V4" s="49"/>
      <c r="W4" s="236" t="s">
        <v>221</v>
      </c>
      <c r="X4" s="221" t="s">
        <v>225</v>
      </c>
      <c r="Y4" s="236" t="s">
        <v>226</v>
      </c>
      <c r="Z4" s="236" t="s">
        <v>227</v>
      </c>
      <c r="AB4" s="206" t="s">
        <v>360</v>
      </c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54"/>
      <c r="AN4" s="54"/>
      <c r="AP4" s="207" t="s">
        <v>219</v>
      </c>
      <c r="AQ4" s="207" t="s">
        <v>228</v>
      </c>
      <c r="AR4" s="207" t="s">
        <v>244</v>
      </c>
      <c r="AS4" s="207"/>
      <c r="AT4" s="207"/>
      <c r="AU4" s="207"/>
      <c r="AV4" s="207"/>
      <c r="AW4" s="207"/>
      <c r="AX4" s="207"/>
      <c r="BA4" s="232" t="s">
        <v>248</v>
      </c>
      <c r="BB4" s="232"/>
      <c r="BC4" s="232"/>
      <c r="BD4" s="232"/>
      <c r="BE4" s="232"/>
      <c r="BF4" s="232"/>
      <c r="BG4" s="232"/>
      <c r="BH4" s="232"/>
      <c r="BI4" s="232"/>
      <c r="BJ4" s="232"/>
      <c r="BK4" s="232"/>
      <c r="BL4" s="232"/>
      <c r="BM4" s="232"/>
      <c r="BN4" s="232"/>
      <c r="BO4" s="232"/>
      <c r="BR4" s="207" t="s">
        <v>249</v>
      </c>
      <c r="BS4" s="207"/>
      <c r="BT4" s="207"/>
      <c r="BU4" s="207"/>
      <c r="BV4" s="207"/>
      <c r="BW4" s="207"/>
      <c r="BZ4" s="141" t="s">
        <v>228</v>
      </c>
      <c r="CA4" s="141" t="s">
        <v>240</v>
      </c>
      <c r="CB4" s="141" t="s">
        <v>229</v>
      </c>
      <c r="CC4" s="141" t="s">
        <v>230</v>
      </c>
      <c r="CD4" s="141" t="s">
        <v>231</v>
      </c>
      <c r="CE4" s="140" t="s">
        <v>232</v>
      </c>
      <c r="CF4" s="140" t="s">
        <v>233</v>
      </c>
      <c r="CG4" s="139" t="s">
        <v>234</v>
      </c>
      <c r="CH4" s="140" t="s">
        <v>235</v>
      </c>
      <c r="CI4" s="140" t="s">
        <v>236</v>
      </c>
      <c r="CJ4" s="141" t="s">
        <v>237</v>
      </c>
      <c r="CK4" s="141" t="s">
        <v>238</v>
      </c>
      <c r="DB4" s="173" t="s">
        <v>240</v>
      </c>
      <c r="DC4" s="4">
        <v>0</v>
      </c>
      <c r="DD4" s="12">
        <v>0.51829999999999998</v>
      </c>
    </row>
    <row r="5" spans="1:108" ht="15" customHeight="1" x14ac:dyDescent="0.25">
      <c r="A5" s="207"/>
      <c r="B5" s="2"/>
      <c r="C5" s="207"/>
      <c r="D5" s="178"/>
      <c r="E5" s="207"/>
      <c r="F5" s="207"/>
      <c r="G5" s="207"/>
      <c r="H5" s="2" t="s">
        <v>240</v>
      </c>
      <c r="I5" s="2" t="s">
        <v>380</v>
      </c>
      <c r="J5" s="2" t="s">
        <v>381</v>
      </c>
      <c r="K5" s="2" t="s">
        <v>382</v>
      </c>
      <c r="L5" s="94" t="s">
        <v>383</v>
      </c>
      <c r="M5" s="114" t="s">
        <v>384</v>
      </c>
      <c r="N5" s="139" t="s">
        <v>385</v>
      </c>
      <c r="O5" s="137" t="s">
        <v>386</v>
      </c>
      <c r="P5" s="135" t="s">
        <v>387</v>
      </c>
      <c r="Q5" s="2" t="s">
        <v>388</v>
      </c>
      <c r="R5" s="2" t="s">
        <v>389</v>
      </c>
      <c r="S5" s="52" t="s">
        <v>241</v>
      </c>
      <c r="U5" s="207"/>
      <c r="V5" s="2"/>
      <c r="W5" s="207"/>
      <c r="X5" s="178"/>
      <c r="Y5" s="207"/>
      <c r="Z5" s="207"/>
      <c r="AA5" s="169" t="s">
        <v>228</v>
      </c>
      <c r="AB5" s="137" t="s">
        <v>240</v>
      </c>
      <c r="AC5" s="169" t="s">
        <v>380</v>
      </c>
      <c r="AD5" s="169" t="s">
        <v>381</v>
      </c>
      <c r="AE5" s="169" t="s">
        <v>382</v>
      </c>
      <c r="AF5" s="168" t="s">
        <v>383</v>
      </c>
      <c r="AG5" s="168" t="s">
        <v>384</v>
      </c>
      <c r="AH5" s="139" t="s">
        <v>385</v>
      </c>
      <c r="AI5" s="168" t="s">
        <v>386</v>
      </c>
      <c r="AJ5" s="168" t="s">
        <v>387</v>
      </c>
      <c r="AK5" s="169" t="s">
        <v>388</v>
      </c>
      <c r="AL5" s="169" t="s">
        <v>389</v>
      </c>
      <c r="AM5" s="52" t="s">
        <v>241</v>
      </c>
      <c r="AN5" s="54"/>
      <c r="AP5" s="207"/>
      <c r="AQ5" s="207"/>
      <c r="AR5" s="2" t="s">
        <v>62</v>
      </c>
      <c r="AS5" s="2" t="s">
        <v>245</v>
      </c>
      <c r="AT5" s="2" t="s">
        <v>64</v>
      </c>
      <c r="AU5" s="2" t="s">
        <v>54</v>
      </c>
      <c r="AV5" s="2" t="s">
        <v>55</v>
      </c>
      <c r="AW5" s="2" t="s">
        <v>56</v>
      </c>
      <c r="AX5" s="2" t="s">
        <v>57</v>
      </c>
      <c r="BB5" s="113" t="s">
        <v>350</v>
      </c>
      <c r="BC5" s="18">
        <v>131.11959999999999</v>
      </c>
      <c r="BE5" s="113" t="s">
        <v>350</v>
      </c>
      <c r="BF5" s="18">
        <v>103.6721</v>
      </c>
      <c r="BH5" s="113" t="s">
        <v>350</v>
      </c>
      <c r="BI5" s="18">
        <v>79.897580000000005</v>
      </c>
      <c r="BJ5" s="121"/>
      <c r="BK5" s="113" t="s">
        <v>350</v>
      </c>
      <c r="BL5" s="18">
        <v>66.338999999999999</v>
      </c>
      <c r="BN5" s="113" t="s">
        <v>350</v>
      </c>
      <c r="BO5" s="18">
        <v>58.737050000000004</v>
      </c>
      <c r="BR5" s="170" t="s">
        <v>250</v>
      </c>
      <c r="BS5" s="170" t="s">
        <v>390</v>
      </c>
      <c r="BT5" s="170" t="s">
        <v>391</v>
      </c>
      <c r="BU5" s="170" t="s">
        <v>392</v>
      </c>
      <c r="BV5" s="170" t="s">
        <v>393</v>
      </c>
      <c r="BW5" s="170" t="s">
        <v>394</v>
      </c>
      <c r="BX5" s="171"/>
      <c r="BZ5" s="141">
        <v>0</v>
      </c>
      <c r="CA5" s="110">
        <v>1321200</v>
      </c>
      <c r="CB5" s="53">
        <v>220080</v>
      </c>
      <c r="CC5" s="53">
        <v>215750</v>
      </c>
      <c r="CD5" s="53">
        <v>211410</v>
      </c>
      <c r="CE5" s="53">
        <v>207060</v>
      </c>
      <c r="CF5" s="53">
        <v>202710</v>
      </c>
      <c r="CG5" s="143">
        <v>198360</v>
      </c>
      <c r="CH5" s="53">
        <v>193990</v>
      </c>
      <c r="CI5" s="53">
        <v>189620</v>
      </c>
      <c r="CJ5" s="53">
        <v>185250</v>
      </c>
      <c r="CK5" s="53">
        <v>180870</v>
      </c>
      <c r="DB5" s="23" t="s">
        <v>380</v>
      </c>
      <c r="DC5" s="4">
        <v>2</v>
      </c>
      <c r="DD5" s="62">
        <v>0.81023500000000004</v>
      </c>
    </row>
    <row r="6" spans="1:108" x14ac:dyDescent="0.25">
      <c r="A6" s="4" t="s">
        <v>220</v>
      </c>
      <c r="B6" s="4">
        <v>1</v>
      </c>
      <c r="C6" s="4">
        <v>1</v>
      </c>
      <c r="D6" s="4">
        <v>0</v>
      </c>
      <c r="E6" s="4">
        <f>D6</f>
        <v>0</v>
      </c>
      <c r="F6" s="4">
        <f>E6</f>
        <v>0</v>
      </c>
      <c r="G6" s="4">
        <f>F6/365.25</f>
        <v>0</v>
      </c>
      <c r="H6" s="4">
        <v>1.1035820999999999</v>
      </c>
      <c r="I6" s="55">
        <v>0.92837840000000005</v>
      </c>
      <c r="J6" s="55">
        <v>0.97849830000000004</v>
      </c>
      <c r="K6" s="57">
        <v>1.0073106999999999</v>
      </c>
      <c r="L6" s="58">
        <v>1.0311588</v>
      </c>
      <c r="M6" s="55">
        <v>1.0532931000000001</v>
      </c>
      <c r="N6" s="136">
        <v>1.0745932</v>
      </c>
      <c r="O6" s="55">
        <v>1.0952926000000001</v>
      </c>
      <c r="P6" s="55">
        <v>1.1155086000000001</v>
      </c>
      <c r="Q6" s="55">
        <v>1.1352656999999999</v>
      </c>
      <c r="R6" s="55">
        <v>1.1545848999999999</v>
      </c>
      <c r="S6" t="s">
        <v>242</v>
      </c>
      <c r="U6" s="4" t="s">
        <v>220</v>
      </c>
      <c r="V6" s="4">
        <v>1</v>
      </c>
      <c r="W6" s="4">
        <v>1</v>
      </c>
      <c r="X6" s="4">
        <v>0</v>
      </c>
      <c r="Y6" s="4">
        <f>X6</f>
        <v>0</v>
      </c>
      <c r="Z6" s="4">
        <f>Y6</f>
        <v>0</v>
      </c>
      <c r="AA6" s="4">
        <f>Z6/365.25</f>
        <v>0</v>
      </c>
      <c r="AB6" s="12">
        <v>0.45779999999999998</v>
      </c>
      <c r="AC6" s="60">
        <v>0.76747299999999996</v>
      </c>
      <c r="AD6" s="60">
        <v>0.71327399999999996</v>
      </c>
      <c r="AE6" s="61">
        <v>0.68591299999999999</v>
      </c>
      <c r="AF6" s="62">
        <v>0.66342599999999996</v>
      </c>
      <c r="AG6" s="60">
        <v>0.64234199999999997</v>
      </c>
      <c r="AH6" s="60">
        <v>0.622004</v>
      </c>
      <c r="AI6" s="60">
        <v>0.60233599999999998</v>
      </c>
      <c r="AJ6" s="60">
        <v>0.58335700000000001</v>
      </c>
      <c r="AK6" s="60">
        <v>0.56510099999999996</v>
      </c>
      <c r="AL6" s="60">
        <v>0.54757900000000004</v>
      </c>
      <c r="AM6" t="s">
        <v>242</v>
      </c>
      <c r="AO6" s="146">
        <f>AR6/(AR6+AT6)</f>
        <v>4.1862521150138353E-2</v>
      </c>
      <c r="AP6" s="200" t="s">
        <v>240</v>
      </c>
      <c r="AQ6" s="4">
        <v>0</v>
      </c>
      <c r="AR6" s="150">
        <v>390170</v>
      </c>
      <c r="AS6" s="151">
        <v>0</v>
      </c>
      <c r="AT6" s="151">
        <v>8930100</v>
      </c>
      <c r="AU6" s="150">
        <v>0</v>
      </c>
      <c r="AV6" s="151">
        <v>0</v>
      </c>
      <c r="AW6" s="151">
        <v>0</v>
      </c>
      <c r="AX6" s="151">
        <v>0</v>
      </c>
      <c r="AY6" s="167"/>
      <c r="BB6" s="113" t="s">
        <v>250</v>
      </c>
      <c r="BC6" s="113" t="s">
        <v>351</v>
      </c>
      <c r="BD6" s="115"/>
      <c r="BE6" s="113" t="s">
        <v>250</v>
      </c>
      <c r="BF6" s="113" t="s">
        <v>222</v>
      </c>
      <c r="BG6" s="115"/>
      <c r="BH6" s="113" t="s">
        <v>250</v>
      </c>
      <c r="BI6" s="113" t="s">
        <v>223</v>
      </c>
      <c r="BJ6" s="20"/>
      <c r="BK6" s="113" t="s">
        <v>250</v>
      </c>
      <c r="BL6" s="113" t="s">
        <v>224</v>
      </c>
      <c r="BM6" s="115"/>
      <c r="BN6" s="113" t="s">
        <v>250</v>
      </c>
      <c r="BO6" s="113" t="s">
        <v>355</v>
      </c>
      <c r="BQ6" s="71" t="s">
        <v>251</v>
      </c>
      <c r="BR6" s="96">
        <v>0</v>
      </c>
      <c r="BS6" s="18">
        <f>$BC$5*BC7</f>
        <v>0</v>
      </c>
      <c r="BT6" s="18">
        <f>$BF$5*BF7</f>
        <v>0</v>
      </c>
      <c r="BU6" s="18">
        <f>$BI$5*BI7</f>
        <v>0</v>
      </c>
      <c r="BV6" s="18">
        <f>$BL$5*BL7</f>
        <v>0</v>
      </c>
      <c r="BW6" s="18">
        <f>$BO$5*BO7</f>
        <v>0</v>
      </c>
      <c r="BZ6" s="141">
        <v>1</v>
      </c>
      <c r="CA6" s="53">
        <v>330170</v>
      </c>
      <c r="CB6" s="53">
        <v>53601</v>
      </c>
      <c r="CC6" s="53">
        <v>56490</v>
      </c>
      <c r="CD6" s="53">
        <v>57004</v>
      </c>
      <c r="CE6" s="53">
        <v>56737</v>
      </c>
      <c r="CF6" s="53">
        <v>56121</v>
      </c>
      <c r="CG6" s="143">
        <v>55318</v>
      </c>
      <c r="CH6" s="53">
        <v>54402</v>
      </c>
      <c r="CI6" s="53">
        <v>53410</v>
      </c>
      <c r="CJ6" s="53">
        <v>52366</v>
      </c>
      <c r="CK6" s="53">
        <v>51282</v>
      </c>
      <c r="DB6" s="23" t="s">
        <v>381</v>
      </c>
      <c r="DC6" s="4">
        <v>4</v>
      </c>
      <c r="DD6" s="62">
        <v>0.74378200000000005</v>
      </c>
    </row>
    <row r="7" spans="1:108" x14ac:dyDescent="0.25">
      <c r="A7" s="4"/>
      <c r="B7" s="4">
        <v>2</v>
      </c>
      <c r="C7" s="4">
        <v>2</v>
      </c>
      <c r="D7" s="4">
        <v>24</v>
      </c>
      <c r="E7" s="4">
        <f>E6+D7</f>
        <v>24</v>
      </c>
      <c r="F7" s="4">
        <f>E7/24</f>
        <v>1</v>
      </c>
      <c r="G7" s="4">
        <f>F7/365.25</f>
        <v>2.7378507871321013E-3</v>
      </c>
      <c r="H7" s="4">
        <v>1.0720516</v>
      </c>
      <c r="I7" s="55">
        <v>0.90454429999999997</v>
      </c>
      <c r="J7" s="55">
        <v>0.95866589999999996</v>
      </c>
      <c r="K7" s="58">
        <v>0.99132940000000003</v>
      </c>
      <c r="L7" s="58">
        <v>1.0182106</v>
      </c>
      <c r="M7" s="55">
        <v>1.0426344999999999</v>
      </c>
      <c r="N7" s="55">
        <v>1.0656914</v>
      </c>
      <c r="O7" s="55">
        <v>1.0877703000000001</v>
      </c>
      <c r="P7" s="55">
        <v>1.1090682000000001</v>
      </c>
      <c r="Q7" s="55">
        <v>1.1296911000000001</v>
      </c>
      <c r="R7" s="55">
        <v>1.1497185000000001</v>
      </c>
      <c r="U7" s="4"/>
      <c r="V7" s="4">
        <v>2</v>
      </c>
      <c r="W7" s="4">
        <v>2</v>
      </c>
      <c r="X7" s="4">
        <v>24</v>
      </c>
      <c r="Y7" s="4">
        <f>Y6+X7</f>
        <v>24</v>
      </c>
      <c r="Z7" s="4">
        <f>Y7/24</f>
        <v>1</v>
      </c>
      <c r="AA7" s="4">
        <f>Z7/365.25</f>
        <v>2.7378507871321013E-3</v>
      </c>
      <c r="AB7" s="12">
        <v>0.46750000000000003</v>
      </c>
      <c r="AC7" s="62">
        <v>0.78282399999999996</v>
      </c>
      <c r="AD7" s="62">
        <v>0.724441</v>
      </c>
      <c r="AE7" s="62">
        <v>0.69417499999999999</v>
      </c>
      <c r="AF7" s="62">
        <v>0.66966599999999998</v>
      </c>
      <c r="AG7" s="62">
        <v>0.64715299999999998</v>
      </c>
      <c r="AH7" s="62">
        <v>0.62578400000000001</v>
      </c>
      <c r="AI7" s="62">
        <v>0.60535099999999997</v>
      </c>
      <c r="AJ7" s="62">
        <v>0.58579700000000001</v>
      </c>
      <c r="AK7" s="62">
        <v>0.56710199999999999</v>
      </c>
      <c r="AL7" s="62">
        <v>0.54923500000000003</v>
      </c>
      <c r="AP7" s="200"/>
      <c r="AQ7" s="4">
        <v>1</v>
      </c>
      <c r="AR7" s="151">
        <v>334300</v>
      </c>
      <c r="AS7" s="151">
        <v>10651</v>
      </c>
      <c r="AT7" s="151">
        <v>8895500</v>
      </c>
      <c r="AU7" s="151">
        <v>21006</v>
      </c>
      <c r="AV7" s="151">
        <v>2309</v>
      </c>
      <c r="AW7" s="151">
        <v>865.22</v>
      </c>
      <c r="AX7" s="151">
        <v>72.168999999999997</v>
      </c>
      <c r="AY7" s="167"/>
      <c r="BA7" s="66">
        <v>1</v>
      </c>
      <c r="BB7" s="97">
        <v>0</v>
      </c>
      <c r="BC7" s="98">
        <v>0</v>
      </c>
      <c r="BD7" s="66">
        <v>1</v>
      </c>
      <c r="BE7" s="97">
        <v>0</v>
      </c>
      <c r="BF7" s="99">
        <v>0</v>
      </c>
      <c r="BG7" s="66">
        <v>1</v>
      </c>
      <c r="BH7" s="97">
        <v>0</v>
      </c>
      <c r="BI7" s="104">
        <v>0</v>
      </c>
      <c r="BJ7" s="66">
        <v>1</v>
      </c>
      <c r="BK7" s="97">
        <v>0</v>
      </c>
      <c r="BL7" s="104">
        <v>0</v>
      </c>
      <c r="BM7" s="66">
        <v>1</v>
      </c>
      <c r="BN7" s="97">
        <v>0</v>
      </c>
      <c r="BO7" s="99">
        <v>0</v>
      </c>
      <c r="BR7" s="98">
        <f>14.7624/2</f>
        <v>7.3811999999999998</v>
      </c>
      <c r="BS7" s="18">
        <f t="shared" ref="BS7:BS44" si="0">$BC$5*BC8</f>
        <v>0</v>
      </c>
      <c r="BT7" s="18">
        <f t="shared" ref="BT7:BT44" si="1">$BF$5*BF8</f>
        <v>0</v>
      </c>
      <c r="BU7" s="18">
        <f t="shared" ref="BU7:BU44" si="2">$BI$5*BI8</f>
        <v>0</v>
      </c>
      <c r="BV7" s="18">
        <f t="shared" ref="BV7:BV44" si="3">$BL$5*BL8</f>
        <v>0</v>
      </c>
      <c r="BW7" s="18">
        <f t="shared" ref="BW7:BW44" si="4">$BO$5*BO8</f>
        <v>0</v>
      </c>
      <c r="BZ7" s="141">
        <v>3</v>
      </c>
      <c r="CA7" s="53">
        <v>232040</v>
      </c>
      <c r="CB7" s="53">
        <v>35718</v>
      </c>
      <c r="CC7" s="53">
        <v>43446</v>
      </c>
      <c r="CD7" s="53">
        <v>46792</v>
      </c>
      <c r="CE7" s="53">
        <v>48269</v>
      </c>
      <c r="CF7" s="53">
        <v>48845</v>
      </c>
      <c r="CG7" s="143">
        <v>48923</v>
      </c>
      <c r="CH7" s="53">
        <v>48695</v>
      </c>
      <c r="CI7" s="53">
        <v>48264</v>
      </c>
      <c r="CJ7" s="110">
        <v>47689</v>
      </c>
      <c r="CK7" s="53">
        <v>47008</v>
      </c>
      <c r="DB7" s="23" t="s">
        <v>382</v>
      </c>
      <c r="DC7" s="4">
        <v>6</v>
      </c>
      <c r="DD7" s="62">
        <v>0.70946600000000004</v>
      </c>
    </row>
    <row r="8" spans="1:108" x14ac:dyDescent="0.25">
      <c r="A8" s="4"/>
      <c r="B8" s="4">
        <v>3</v>
      </c>
      <c r="C8" s="4">
        <v>3</v>
      </c>
      <c r="D8" s="4">
        <v>96</v>
      </c>
      <c r="E8" s="4">
        <f t="shared" ref="E8:E70" si="5">E7+D8</f>
        <v>120</v>
      </c>
      <c r="F8" s="4">
        <f t="shared" ref="F8:F70" si="6">E8/24</f>
        <v>5</v>
      </c>
      <c r="G8" s="4">
        <f t="shared" ref="G8:G70" si="7">F8/365.25</f>
        <v>1.3689253935660506E-2</v>
      </c>
      <c r="H8" s="4">
        <v>1.0714644</v>
      </c>
      <c r="I8" s="55">
        <v>0.90388230000000003</v>
      </c>
      <c r="J8" s="55">
        <v>0.95831560000000005</v>
      </c>
      <c r="K8" s="58">
        <v>0.99115019999999998</v>
      </c>
      <c r="L8" s="58">
        <v>1.0180992</v>
      </c>
      <c r="M8" s="55">
        <v>1.0425484</v>
      </c>
      <c r="N8" s="55">
        <v>1.0656106000000001</v>
      </c>
      <c r="O8" s="55">
        <v>1.0876884</v>
      </c>
      <c r="P8" s="55">
        <v>1.1089766999999999</v>
      </c>
      <c r="Q8" s="55">
        <v>1.1295941</v>
      </c>
      <c r="R8" s="55">
        <v>1.1496147999999999</v>
      </c>
      <c r="U8" s="4"/>
      <c r="V8" s="4">
        <v>3</v>
      </c>
      <c r="W8" s="4">
        <v>3</v>
      </c>
      <c r="X8" s="4">
        <v>96</v>
      </c>
      <c r="Y8" s="4">
        <f t="shared" ref="Y8:Y71" si="8">Y7+X8</f>
        <v>120</v>
      </c>
      <c r="Z8" s="4">
        <f t="shared" ref="Z8:Z17" si="9">Y8/24</f>
        <v>5</v>
      </c>
      <c r="AA8" s="4">
        <f t="shared" ref="AA8:AA71" si="10">Z8/365.25</f>
        <v>1.3689253935660506E-2</v>
      </c>
      <c r="AB8" s="12">
        <v>0.46768999999999999</v>
      </c>
      <c r="AC8" s="62">
        <v>0.78339000000000003</v>
      </c>
      <c r="AD8" s="62">
        <v>0.72474899999999998</v>
      </c>
      <c r="AE8" s="62">
        <v>0.69435000000000002</v>
      </c>
      <c r="AF8" s="62">
        <v>0.66977200000000003</v>
      </c>
      <c r="AG8" s="62">
        <v>0.647227</v>
      </c>
      <c r="AH8" s="62">
        <v>0.62583999999999995</v>
      </c>
      <c r="AI8" s="62">
        <v>0.60539500000000002</v>
      </c>
      <c r="AJ8" s="62">
        <v>0.58583799999999997</v>
      </c>
      <c r="AK8" s="62">
        <v>0.56713800000000003</v>
      </c>
      <c r="AL8" s="62">
        <v>0.54927099999999995</v>
      </c>
      <c r="AP8" s="200"/>
      <c r="AQ8" s="4">
        <v>3</v>
      </c>
      <c r="AR8" s="151">
        <v>242380</v>
      </c>
      <c r="AS8" s="151">
        <v>27145</v>
      </c>
      <c r="AT8" s="151">
        <v>8819700</v>
      </c>
      <c r="AU8" s="151">
        <v>43225</v>
      </c>
      <c r="AV8" s="151">
        <v>9752.7000000000007</v>
      </c>
      <c r="AW8" s="151">
        <v>5417.8</v>
      </c>
      <c r="AX8" s="151">
        <v>1097.9000000000001</v>
      </c>
      <c r="AY8" s="167"/>
      <c r="BA8" s="67">
        <v>2</v>
      </c>
      <c r="BB8" s="97">
        <f>14.7624/2</f>
        <v>7.3811999999999998</v>
      </c>
      <c r="BC8" s="103">
        <v>0</v>
      </c>
      <c r="BD8" s="68"/>
      <c r="BE8" s="98">
        <f>14.7624/2</f>
        <v>7.3811999999999998</v>
      </c>
      <c r="BF8" s="12">
        <v>0</v>
      </c>
      <c r="BG8" s="68"/>
      <c r="BH8" s="98">
        <f>14.7624/2</f>
        <v>7.3811999999999998</v>
      </c>
      <c r="BI8" s="104">
        <v>0</v>
      </c>
      <c r="BJ8" s="68">
        <v>2</v>
      </c>
      <c r="BK8" s="98">
        <f>14.7624/2</f>
        <v>7.3811999999999998</v>
      </c>
      <c r="BL8" s="104">
        <v>0</v>
      </c>
      <c r="BM8" s="68">
        <v>2</v>
      </c>
      <c r="BN8" s="98">
        <f>14.7624/2</f>
        <v>7.3811999999999998</v>
      </c>
      <c r="BO8" s="103">
        <v>0</v>
      </c>
      <c r="BR8" s="98">
        <f>2*BR7</f>
        <v>14.7624</v>
      </c>
      <c r="BS8" s="18">
        <f t="shared" si="0"/>
        <v>0</v>
      </c>
      <c r="BT8" s="18">
        <f t="shared" si="1"/>
        <v>0</v>
      </c>
      <c r="BU8" s="18">
        <f t="shared" si="2"/>
        <v>0</v>
      </c>
      <c r="BV8" s="18">
        <f t="shared" si="3"/>
        <v>0</v>
      </c>
      <c r="BW8" s="18">
        <f t="shared" si="4"/>
        <v>0</v>
      </c>
      <c r="BZ8" s="141">
        <v>5</v>
      </c>
      <c r="CA8" s="53">
        <v>154510</v>
      </c>
      <c r="CB8" s="53">
        <v>22856</v>
      </c>
      <c r="CC8" s="53">
        <v>32473</v>
      </c>
      <c r="CD8" s="53">
        <v>37744</v>
      </c>
      <c r="CE8" s="53">
        <v>40596</v>
      </c>
      <c r="CF8" s="53">
        <v>42169</v>
      </c>
      <c r="CG8" s="143">
        <v>43006</v>
      </c>
      <c r="CH8" s="53">
        <v>43382</v>
      </c>
      <c r="CI8" s="53">
        <v>43448</v>
      </c>
      <c r="CJ8" s="53">
        <v>43295</v>
      </c>
      <c r="CK8" s="53">
        <v>42978</v>
      </c>
      <c r="DB8" s="173" t="s">
        <v>383</v>
      </c>
      <c r="DC8" s="4">
        <v>8</v>
      </c>
      <c r="DD8" s="62">
        <v>0.68356600000000001</v>
      </c>
    </row>
    <row r="9" spans="1:108" x14ac:dyDescent="0.25">
      <c r="A9" s="4"/>
      <c r="B9" s="4">
        <v>4</v>
      </c>
      <c r="C9" s="4">
        <v>4</v>
      </c>
      <c r="D9" s="4">
        <v>120</v>
      </c>
      <c r="E9" s="4">
        <f t="shared" si="5"/>
        <v>240</v>
      </c>
      <c r="F9" s="4">
        <f t="shared" si="6"/>
        <v>10</v>
      </c>
      <c r="G9" s="4">
        <f t="shared" si="7"/>
        <v>2.7378507871321012E-2</v>
      </c>
      <c r="H9" s="4">
        <v>1.0695281999999999</v>
      </c>
      <c r="I9" s="55">
        <v>0.90168320000000002</v>
      </c>
      <c r="J9" s="55">
        <v>0.95676419999999995</v>
      </c>
      <c r="K9" s="58">
        <v>0.9899249</v>
      </c>
      <c r="L9" s="58">
        <v>1.0170870999999999</v>
      </c>
      <c r="M9" s="55">
        <v>1.0416679</v>
      </c>
      <c r="N9" s="55">
        <v>1.0648196000000001</v>
      </c>
      <c r="O9" s="55">
        <v>1.0869629000000001</v>
      </c>
      <c r="P9" s="55">
        <v>1.1082978999999999</v>
      </c>
      <c r="Q9" s="55">
        <v>1.1289517</v>
      </c>
      <c r="R9" s="55">
        <v>1.1490023</v>
      </c>
      <c r="U9" s="4"/>
      <c r="V9" s="4">
        <v>4</v>
      </c>
      <c r="W9" s="4">
        <v>4</v>
      </c>
      <c r="X9" s="4">
        <v>120</v>
      </c>
      <c r="Y9" s="4">
        <f t="shared" si="8"/>
        <v>240</v>
      </c>
      <c r="Z9" s="4">
        <f t="shared" si="9"/>
        <v>10</v>
      </c>
      <c r="AA9" s="4">
        <f t="shared" si="10"/>
        <v>2.7378507871321012E-2</v>
      </c>
      <c r="AB9" s="12">
        <v>0.46812199999999998</v>
      </c>
      <c r="AC9" s="62">
        <v>0.78502799999999995</v>
      </c>
      <c r="AD9" s="62">
        <v>0.72564600000000001</v>
      </c>
      <c r="AE9" s="62">
        <v>0.69494199999999995</v>
      </c>
      <c r="AF9" s="62">
        <v>0.67020500000000005</v>
      </c>
      <c r="AG9" s="62">
        <v>0.64756800000000003</v>
      </c>
      <c r="AH9" s="62">
        <v>0.62611899999999998</v>
      </c>
      <c r="AI9" s="62">
        <v>0.60563199999999995</v>
      </c>
      <c r="AJ9" s="62">
        <v>0.58604599999999996</v>
      </c>
      <c r="AK9" s="62">
        <v>0.56732300000000002</v>
      </c>
      <c r="AL9" s="62">
        <v>0.54943799999999998</v>
      </c>
      <c r="AP9" s="200"/>
      <c r="AQ9" s="4">
        <v>5</v>
      </c>
      <c r="AR9" s="151">
        <v>167840</v>
      </c>
      <c r="AS9" s="151">
        <v>39480</v>
      </c>
      <c r="AT9" s="151">
        <v>8740200</v>
      </c>
      <c r="AU9" s="151">
        <v>54287</v>
      </c>
      <c r="AV9" s="151">
        <v>16925</v>
      </c>
      <c r="AW9" s="151">
        <v>10355</v>
      </c>
      <c r="AX9" s="151">
        <v>3044.1</v>
      </c>
      <c r="AY9" s="167"/>
      <c r="BA9" s="66">
        <v>3</v>
      </c>
      <c r="BB9" s="97">
        <f>2*BB8</f>
        <v>14.7624</v>
      </c>
      <c r="BC9" s="103">
        <v>0</v>
      </c>
      <c r="BD9" s="66"/>
      <c r="BE9" s="98">
        <f>2*BE8</f>
        <v>14.7624</v>
      </c>
      <c r="BF9" s="12">
        <v>0</v>
      </c>
      <c r="BG9" s="66"/>
      <c r="BH9" s="98">
        <f>2*BH8</f>
        <v>14.7624</v>
      </c>
      <c r="BI9" s="104">
        <v>0</v>
      </c>
      <c r="BJ9" s="66">
        <v>3</v>
      </c>
      <c r="BK9" s="98">
        <f>2*BK8</f>
        <v>14.7624</v>
      </c>
      <c r="BL9" s="104">
        <v>0</v>
      </c>
      <c r="BM9" s="66">
        <v>3</v>
      </c>
      <c r="BN9" s="98">
        <f>2*BN8</f>
        <v>14.7624</v>
      </c>
      <c r="BO9" s="103">
        <v>0</v>
      </c>
      <c r="BR9" s="98">
        <f>BR8+5.2376</f>
        <v>20</v>
      </c>
      <c r="BS9" s="18">
        <f t="shared" si="0"/>
        <v>0</v>
      </c>
      <c r="BT9" s="18">
        <f t="shared" si="1"/>
        <v>0</v>
      </c>
      <c r="BU9" s="18">
        <f t="shared" si="2"/>
        <v>0</v>
      </c>
      <c r="BV9" s="18">
        <f t="shared" si="3"/>
        <v>0</v>
      </c>
      <c r="BW9" s="18">
        <f t="shared" si="4"/>
        <v>0</v>
      </c>
      <c r="BZ9" s="141">
        <v>7</v>
      </c>
      <c r="CA9" s="12">
        <v>97747</v>
      </c>
      <c r="CB9" s="12">
        <v>14471</v>
      </c>
      <c r="CC9" s="12">
        <v>23654</v>
      </c>
      <c r="CD9" s="12">
        <v>29893</v>
      </c>
      <c r="CE9" s="12">
        <v>33708</v>
      </c>
      <c r="CF9" s="12">
        <v>36064</v>
      </c>
      <c r="CG9" s="144">
        <v>37532</v>
      </c>
      <c r="CH9" s="12">
        <v>38427</v>
      </c>
      <c r="CI9" s="12">
        <v>38932</v>
      </c>
      <c r="CJ9" s="12">
        <v>39154</v>
      </c>
      <c r="CK9" s="12">
        <v>39167</v>
      </c>
      <c r="DB9" s="173" t="s">
        <v>384</v>
      </c>
      <c r="DC9" s="4">
        <v>10</v>
      </c>
      <c r="DD9" s="62">
        <v>0.66096100000000002</v>
      </c>
    </row>
    <row r="10" spans="1:108" x14ac:dyDescent="0.25">
      <c r="A10" s="4"/>
      <c r="B10" s="4">
        <v>5</v>
      </c>
      <c r="C10" s="4">
        <v>5</v>
      </c>
      <c r="D10" s="4">
        <v>240</v>
      </c>
      <c r="E10" s="4">
        <f t="shared" si="5"/>
        <v>480</v>
      </c>
      <c r="F10" s="4">
        <f t="shared" si="6"/>
        <v>20</v>
      </c>
      <c r="G10" s="4">
        <f t="shared" si="7"/>
        <v>5.4757015742642023E-2</v>
      </c>
      <c r="H10" s="4">
        <v>1.0671405</v>
      </c>
      <c r="I10" s="55">
        <v>0.89897950000000004</v>
      </c>
      <c r="J10" s="55">
        <v>0.95485350000000002</v>
      </c>
      <c r="K10" s="58">
        <v>0.98844370000000004</v>
      </c>
      <c r="L10" s="58">
        <v>1.0158453999999999</v>
      </c>
      <c r="M10" s="55">
        <v>1.0405802</v>
      </c>
      <c r="N10" s="55">
        <v>1.0638406</v>
      </c>
      <c r="O10" s="55">
        <v>1.0860571999999999</v>
      </c>
      <c r="P10" s="55">
        <v>1.1074533</v>
      </c>
      <c r="Q10" s="55">
        <v>1.1281508</v>
      </c>
      <c r="R10" s="55">
        <v>1.1482356</v>
      </c>
      <c r="U10" s="4"/>
      <c r="V10" s="4">
        <v>5</v>
      </c>
      <c r="W10" s="4">
        <v>5</v>
      </c>
      <c r="X10" s="4">
        <v>240</v>
      </c>
      <c r="Y10" s="4">
        <f t="shared" si="8"/>
        <v>480</v>
      </c>
      <c r="Z10" s="4">
        <f t="shared" si="9"/>
        <v>20</v>
      </c>
      <c r="AA10" s="4">
        <f t="shared" si="10"/>
        <v>5.4757015742642023E-2</v>
      </c>
      <c r="AB10" s="12">
        <v>0.46866799999999997</v>
      </c>
      <c r="AC10" s="62">
        <v>0.78707099999999997</v>
      </c>
      <c r="AD10" s="62">
        <v>0.72677499999999995</v>
      </c>
      <c r="AE10" s="62">
        <v>0.695689</v>
      </c>
      <c r="AF10" s="62">
        <v>0.67075200000000001</v>
      </c>
      <c r="AG10" s="62">
        <v>0.64799600000000002</v>
      </c>
      <c r="AH10" s="62">
        <v>0.62646999999999997</v>
      </c>
      <c r="AI10" s="62">
        <v>0.60593300000000005</v>
      </c>
      <c r="AJ10" s="62">
        <v>0.58630499999999997</v>
      </c>
      <c r="AK10" s="62">
        <v>0.56755500000000003</v>
      </c>
      <c r="AL10" s="62">
        <v>0.549647</v>
      </c>
      <c r="AP10" s="200"/>
      <c r="AQ10" s="4">
        <v>7</v>
      </c>
      <c r="AR10" s="151">
        <v>111200</v>
      </c>
      <c r="AS10" s="151">
        <v>47639</v>
      </c>
      <c r="AT10" s="151">
        <v>8653500</v>
      </c>
      <c r="AU10" s="151">
        <v>58788</v>
      </c>
      <c r="AV10" s="151">
        <v>22998</v>
      </c>
      <c r="AW10" s="151">
        <v>14632</v>
      </c>
      <c r="AX10" s="151">
        <v>5971.9</v>
      </c>
      <c r="AY10" s="167"/>
      <c r="BA10" s="67">
        <v>4</v>
      </c>
      <c r="BB10" s="97">
        <f>BB9+5.2376</f>
        <v>20</v>
      </c>
      <c r="BC10" s="103">
        <v>0</v>
      </c>
      <c r="BD10" s="68"/>
      <c r="BE10" s="98">
        <f>BE9+5.2376</f>
        <v>20</v>
      </c>
      <c r="BF10" s="12">
        <v>0</v>
      </c>
      <c r="BG10" s="68"/>
      <c r="BH10" s="98">
        <f>BH9+5.2376</f>
        <v>20</v>
      </c>
      <c r="BI10" s="104">
        <v>0</v>
      </c>
      <c r="BJ10" s="68">
        <v>4</v>
      </c>
      <c r="BK10" s="98">
        <f>BK9+5.2376</f>
        <v>20</v>
      </c>
      <c r="BL10" s="104">
        <v>0</v>
      </c>
      <c r="BM10" s="68">
        <v>4</v>
      </c>
      <c r="BN10" s="98">
        <f>BN9+5.2376</f>
        <v>20</v>
      </c>
      <c r="BO10" s="103">
        <v>0</v>
      </c>
      <c r="BR10" s="100">
        <f>BR9+6.25</f>
        <v>26.25</v>
      </c>
      <c r="BS10" s="18">
        <f t="shared" si="0"/>
        <v>33.781850423400002</v>
      </c>
      <c r="BT10" s="18">
        <f t="shared" si="1"/>
        <v>31.260237945790003</v>
      </c>
      <c r="BU10" s="18">
        <f t="shared" si="2"/>
        <v>30.408395746876</v>
      </c>
      <c r="BV10" s="18">
        <f t="shared" si="3"/>
        <v>28.671662728800001</v>
      </c>
      <c r="BW10" s="18">
        <f t="shared" si="4"/>
        <v>28.114765046635</v>
      </c>
      <c r="BZ10" s="141" t="s">
        <v>357</v>
      </c>
      <c r="CA10" s="12">
        <f>CA9/CA5</f>
        <v>7.3983499848622458E-2</v>
      </c>
      <c r="CB10" s="12">
        <f t="shared" ref="CB10:CK10" si="11">CB9/CB5</f>
        <v>6.5753362413667762E-2</v>
      </c>
      <c r="CC10" s="12">
        <f t="shared" si="11"/>
        <v>0.1096361529548088</v>
      </c>
      <c r="CD10" s="12">
        <f t="shared" si="11"/>
        <v>0.14139823092568943</v>
      </c>
      <c r="CE10" s="12">
        <f t="shared" si="11"/>
        <v>0.16279339321935671</v>
      </c>
      <c r="CF10" s="12">
        <f t="shared" si="11"/>
        <v>0.17790932859750383</v>
      </c>
      <c r="CG10" s="144">
        <f t="shared" si="11"/>
        <v>0.18921153458358539</v>
      </c>
      <c r="CH10" s="12">
        <f t="shared" si="11"/>
        <v>0.19808753028506623</v>
      </c>
      <c r="CI10" s="12">
        <f t="shared" si="11"/>
        <v>0.20531589494779032</v>
      </c>
      <c r="CJ10" s="12">
        <f t="shared" si="11"/>
        <v>0.21135762483130904</v>
      </c>
      <c r="CK10" s="12">
        <f t="shared" si="11"/>
        <v>0.21654779676010394</v>
      </c>
      <c r="DB10" s="174" t="s">
        <v>385</v>
      </c>
      <c r="DC10" s="4">
        <v>12</v>
      </c>
      <c r="DD10" s="62">
        <v>0.63985300000000001</v>
      </c>
    </row>
    <row r="11" spans="1:108" x14ac:dyDescent="0.25">
      <c r="A11" s="4"/>
      <c r="B11" s="4">
        <v>6</v>
      </c>
      <c r="C11" s="4">
        <v>6</v>
      </c>
      <c r="D11" s="4">
        <v>240</v>
      </c>
      <c r="E11" s="4">
        <f t="shared" si="5"/>
        <v>720</v>
      </c>
      <c r="F11" s="4">
        <f t="shared" si="6"/>
        <v>30</v>
      </c>
      <c r="G11" s="4">
        <f t="shared" si="7"/>
        <v>8.2135523613963035E-2</v>
      </c>
      <c r="H11" s="4">
        <v>1.0629377</v>
      </c>
      <c r="I11" s="55">
        <v>0.89426320000000004</v>
      </c>
      <c r="J11" s="55">
        <v>0.95126080000000002</v>
      </c>
      <c r="K11" s="58">
        <v>0.98553179999999996</v>
      </c>
      <c r="L11" s="58">
        <v>1.0133764000000001</v>
      </c>
      <c r="M11" s="55">
        <v>1.0384085000000001</v>
      </c>
      <c r="N11" s="55">
        <v>1.0618764999999999</v>
      </c>
      <c r="O11" s="55">
        <v>1.0842434000000001</v>
      </c>
      <c r="P11" s="55">
        <v>1.1057538</v>
      </c>
      <c r="Q11" s="55">
        <v>1.1265385999999999</v>
      </c>
      <c r="R11" s="55">
        <v>1.1466943000000001</v>
      </c>
      <c r="U11" s="4"/>
      <c r="V11" s="4">
        <v>6</v>
      </c>
      <c r="W11" s="4">
        <v>6</v>
      </c>
      <c r="X11" s="4">
        <v>240</v>
      </c>
      <c r="Y11" s="4">
        <f t="shared" si="8"/>
        <v>720</v>
      </c>
      <c r="Z11" s="4">
        <f t="shared" si="9"/>
        <v>30</v>
      </c>
      <c r="AA11" s="4">
        <f t="shared" si="10"/>
        <v>8.2135523613963035E-2</v>
      </c>
      <c r="AB11" s="12">
        <v>0.46968700000000002</v>
      </c>
      <c r="AC11" s="62">
        <v>0.79085799999999995</v>
      </c>
      <c r="AD11" s="62">
        <v>0.72896000000000005</v>
      </c>
      <c r="AE11" s="62">
        <v>0.69716400000000001</v>
      </c>
      <c r="AF11" s="62">
        <v>0.671844</v>
      </c>
      <c r="AG11" s="62">
        <v>0.64885599999999999</v>
      </c>
      <c r="AH11" s="62">
        <v>0.62717800000000001</v>
      </c>
      <c r="AI11" s="62">
        <v>0.60653299999999999</v>
      </c>
      <c r="AJ11" s="62">
        <v>0.58683099999999999</v>
      </c>
      <c r="AK11" s="62">
        <v>0.56802299999999994</v>
      </c>
      <c r="AL11" s="62">
        <v>0.55006999999999995</v>
      </c>
      <c r="AO11" s="146">
        <f>AR11/(AR11+AT11)</f>
        <v>7.1096862542309857E-3</v>
      </c>
      <c r="AP11" s="200" t="s">
        <v>229</v>
      </c>
      <c r="AQ11" s="4">
        <v>0</v>
      </c>
      <c r="AR11" s="151">
        <v>64991</v>
      </c>
      <c r="AS11" s="151">
        <v>0</v>
      </c>
      <c r="AT11" s="151">
        <v>9076200</v>
      </c>
      <c r="AU11" s="151">
        <v>94615</v>
      </c>
      <c r="AV11" s="151">
        <v>45154</v>
      </c>
      <c r="AW11" s="151">
        <v>23616</v>
      </c>
      <c r="AX11" s="151">
        <v>15936</v>
      </c>
      <c r="AY11" s="167"/>
      <c r="BA11" s="66">
        <v>5</v>
      </c>
      <c r="BB11" s="101">
        <f>BB10+6.25</f>
        <v>26.25</v>
      </c>
      <c r="BC11" s="103">
        <v>0.25764150000000002</v>
      </c>
      <c r="BD11" s="66"/>
      <c r="BE11" s="100">
        <f>BE10+6.25</f>
        <v>26.25</v>
      </c>
      <c r="BF11" s="12">
        <v>0.30152990000000002</v>
      </c>
      <c r="BG11" s="66"/>
      <c r="BH11" s="100">
        <f>BH10+6.25</f>
        <v>26.25</v>
      </c>
      <c r="BI11" s="104">
        <v>0.38059219999999999</v>
      </c>
      <c r="BJ11" s="66">
        <v>5</v>
      </c>
      <c r="BK11" s="100">
        <f>BK10+6.25</f>
        <v>26.25</v>
      </c>
      <c r="BL11" s="104">
        <v>0.43219920000000001</v>
      </c>
      <c r="BM11" s="66">
        <v>5</v>
      </c>
      <c r="BN11" s="100">
        <f>BN10+6.25</f>
        <v>26.25</v>
      </c>
      <c r="BO11" s="103">
        <v>0.47865469999999999</v>
      </c>
      <c r="BR11" s="64">
        <f t="shared" ref="BR11:BR41" si="12">BR10+6.25</f>
        <v>32.5</v>
      </c>
      <c r="BS11" s="18">
        <f t="shared" si="0"/>
        <v>44.795215001479995</v>
      </c>
      <c r="BT11" s="18">
        <f t="shared" si="1"/>
        <v>41.144107881170001</v>
      </c>
      <c r="BU11" s="18">
        <f t="shared" si="2"/>
        <v>41.137761867496003</v>
      </c>
      <c r="BV11" s="18">
        <f t="shared" si="3"/>
        <v>38.908274605199999</v>
      </c>
      <c r="BW11" s="18">
        <f t="shared" si="4"/>
        <v>38.239681514485</v>
      </c>
      <c r="DB11" s="173" t="s">
        <v>386</v>
      </c>
      <c r="DC11" s="4">
        <v>14</v>
      </c>
      <c r="DD11" s="62">
        <v>0.61970199999999998</v>
      </c>
    </row>
    <row r="12" spans="1:108" x14ac:dyDescent="0.25">
      <c r="A12" s="4"/>
      <c r="B12" s="4">
        <v>7</v>
      </c>
      <c r="C12" s="4">
        <v>7</v>
      </c>
      <c r="D12" s="4">
        <v>720</v>
      </c>
      <c r="E12" s="4">
        <f t="shared" si="5"/>
        <v>1440</v>
      </c>
      <c r="F12" s="4">
        <f t="shared" si="6"/>
        <v>60</v>
      </c>
      <c r="G12" s="4">
        <f t="shared" si="7"/>
        <v>0.16427104722792607</v>
      </c>
      <c r="H12" s="4">
        <v>1.0602526999999999</v>
      </c>
      <c r="I12" s="55">
        <v>0.89135719999999996</v>
      </c>
      <c r="J12" s="55">
        <v>0.94892560000000004</v>
      </c>
      <c r="K12" s="58">
        <v>0.98346630000000002</v>
      </c>
      <c r="L12" s="58">
        <v>1.0114837000000001</v>
      </c>
      <c r="M12" s="55">
        <v>1.0366479</v>
      </c>
      <c r="N12" s="55">
        <v>1.0602205</v>
      </c>
      <c r="O12" s="55">
        <v>1.0826747000000001</v>
      </c>
      <c r="P12" s="55">
        <v>1.1042475</v>
      </c>
      <c r="Q12" s="55">
        <v>1.1250880000000001</v>
      </c>
      <c r="R12" s="55">
        <v>1.1452751999999999</v>
      </c>
      <c r="U12" s="4"/>
      <c r="V12" s="4">
        <v>7</v>
      </c>
      <c r="W12" s="4">
        <v>7</v>
      </c>
      <c r="X12" s="4">
        <v>720</v>
      </c>
      <c r="Y12" s="4">
        <f t="shared" si="8"/>
        <v>1440</v>
      </c>
      <c r="Z12" s="4">
        <f t="shared" si="9"/>
        <v>60</v>
      </c>
      <c r="AA12" s="4">
        <f t="shared" si="10"/>
        <v>0.16427104722792607</v>
      </c>
      <c r="AB12" s="12">
        <v>0.47053800000000001</v>
      </c>
      <c r="AC12" s="62">
        <v>0.79383000000000004</v>
      </c>
      <c r="AD12" s="62">
        <v>0.73074700000000004</v>
      </c>
      <c r="AE12" s="62">
        <v>0.69842099999999996</v>
      </c>
      <c r="AF12" s="62">
        <v>0.67280899999999999</v>
      </c>
      <c r="AG12" s="62">
        <v>0.64963700000000002</v>
      </c>
      <c r="AH12" s="62">
        <v>0.62783299999999997</v>
      </c>
      <c r="AI12" s="62">
        <v>0.60709900000000006</v>
      </c>
      <c r="AJ12" s="62">
        <v>0.58733100000000005</v>
      </c>
      <c r="AK12" s="62">
        <v>0.56847000000000003</v>
      </c>
      <c r="AL12" s="62">
        <v>0.55047900000000005</v>
      </c>
      <c r="AP12" s="200"/>
      <c r="AQ12" s="4">
        <v>1</v>
      </c>
      <c r="AR12" s="151">
        <v>54334</v>
      </c>
      <c r="AS12" s="151">
        <v>2097.6</v>
      </c>
      <c r="AT12" s="151">
        <v>9029700</v>
      </c>
      <c r="AU12" s="151">
        <v>88727</v>
      </c>
      <c r="AV12" s="151">
        <v>45555</v>
      </c>
      <c r="AW12" s="151">
        <v>26600</v>
      </c>
      <c r="AX12" s="151">
        <v>17440</v>
      </c>
      <c r="AY12" s="167"/>
      <c r="BA12" s="67">
        <v>6</v>
      </c>
      <c r="BB12" s="101">
        <f t="shared" ref="BB12:BB42" si="13">BB11+6.25</f>
        <v>32.5</v>
      </c>
      <c r="BC12" s="103">
        <v>0.3416363</v>
      </c>
      <c r="BD12" s="68"/>
      <c r="BE12" s="64">
        <f t="shared" ref="BE12:BE42" si="14">BE11+6.25</f>
        <v>32.5</v>
      </c>
      <c r="BF12" s="12">
        <v>0.39686769999999999</v>
      </c>
      <c r="BG12" s="68"/>
      <c r="BH12" s="64">
        <f t="shared" ref="BH12:BH42" si="15">BH11+6.25</f>
        <v>32.5</v>
      </c>
      <c r="BI12" s="104">
        <v>0.51488120000000004</v>
      </c>
      <c r="BJ12" s="68">
        <v>6</v>
      </c>
      <c r="BK12" s="64">
        <f t="shared" ref="BK12:BK42" si="16">BK11+6.25</f>
        <v>32.5</v>
      </c>
      <c r="BL12" s="104">
        <v>0.58650679999999999</v>
      </c>
      <c r="BM12" s="68">
        <v>6</v>
      </c>
      <c r="BN12" s="64">
        <f t="shared" ref="BN12:BN42" si="17">BN11+6.25</f>
        <v>32.5</v>
      </c>
      <c r="BO12" s="103">
        <v>0.65103169999999999</v>
      </c>
      <c r="BR12" s="64">
        <f t="shared" si="12"/>
        <v>38.75</v>
      </c>
      <c r="BS12" s="18">
        <f t="shared" si="0"/>
        <v>60.695433295480001</v>
      </c>
      <c r="BT12" s="18">
        <f t="shared" si="1"/>
        <v>55.35078300304</v>
      </c>
      <c r="BU12" s="18">
        <f t="shared" si="2"/>
        <v>54.546948749622004</v>
      </c>
      <c r="BV12" s="18">
        <f t="shared" si="3"/>
        <v>51.332169552300002</v>
      </c>
      <c r="BW12" s="18">
        <f t="shared" si="4"/>
        <v>50.296107134535006</v>
      </c>
      <c r="BZ12" s="233" t="s">
        <v>359</v>
      </c>
      <c r="CA12" s="233"/>
      <c r="CB12" s="233"/>
      <c r="CC12" s="233"/>
      <c r="CD12" s="233"/>
      <c r="CE12" s="233"/>
      <c r="CF12" s="233"/>
      <c r="CG12" s="233"/>
      <c r="CH12" s="233"/>
      <c r="CI12" s="233"/>
      <c r="CJ12" s="233"/>
      <c r="CK12" s="233"/>
      <c r="DB12" s="173" t="s">
        <v>387</v>
      </c>
      <c r="DC12" s="4">
        <v>16</v>
      </c>
      <c r="DD12" s="62">
        <v>0.60035799999999995</v>
      </c>
    </row>
    <row r="13" spans="1:108" x14ac:dyDescent="0.25">
      <c r="A13" s="4"/>
      <c r="B13" s="4">
        <v>8</v>
      </c>
      <c r="C13" s="4">
        <v>8</v>
      </c>
      <c r="D13" s="4">
        <v>720</v>
      </c>
      <c r="E13" s="4">
        <f t="shared" si="5"/>
        <v>2160</v>
      </c>
      <c r="F13" s="4">
        <f t="shared" si="6"/>
        <v>90</v>
      </c>
      <c r="G13" s="4">
        <f t="shared" si="7"/>
        <v>0.24640657084188911</v>
      </c>
      <c r="H13" s="4">
        <v>1.0544766999999999</v>
      </c>
      <c r="I13" s="55">
        <v>0.88582320000000003</v>
      </c>
      <c r="J13" s="55">
        <v>0.94449930000000004</v>
      </c>
      <c r="K13" s="58">
        <v>0.97932399999999997</v>
      </c>
      <c r="L13" s="58">
        <v>1.0074055</v>
      </c>
      <c r="M13" s="55">
        <v>1.0326135000000001</v>
      </c>
      <c r="N13" s="55">
        <v>1.0562358000000001</v>
      </c>
      <c r="O13" s="55">
        <v>1.0787491</v>
      </c>
      <c r="P13" s="55">
        <v>1.100382</v>
      </c>
      <c r="Q13" s="55">
        <v>1.1212831000000001</v>
      </c>
      <c r="R13" s="55">
        <v>1.1415297</v>
      </c>
      <c r="U13" s="4"/>
      <c r="V13" s="4">
        <v>8</v>
      </c>
      <c r="W13" s="4">
        <v>8</v>
      </c>
      <c r="X13" s="4">
        <v>720</v>
      </c>
      <c r="Y13" s="4">
        <f t="shared" si="8"/>
        <v>2160</v>
      </c>
      <c r="Z13" s="4">
        <f t="shared" si="9"/>
        <v>90</v>
      </c>
      <c r="AA13" s="4">
        <f t="shared" si="10"/>
        <v>0.24640657084188911</v>
      </c>
      <c r="AB13" s="12">
        <v>0.47313899999999998</v>
      </c>
      <c r="AC13" s="62">
        <v>0.80016500000000002</v>
      </c>
      <c r="AD13" s="62">
        <v>0.73458900000000005</v>
      </c>
      <c r="AE13" s="62">
        <v>0.70120199999999999</v>
      </c>
      <c r="AF13" s="62">
        <v>0.67504399999999998</v>
      </c>
      <c r="AG13" s="62">
        <v>0.65152900000000002</v>
      </c>
      <c r="AH13" s="62">
        <v>0.62948499999999996</v>
      </c>
      <c r="AI13" s="62">
        <v>0.608568</v>
      </c>
      <c r="AJ13" s="62">
        <v>0.58865900000000004</v>
      </c>
      <c r="AK13" s="62">
        <v>0.56968600000000003</v>
      </c>
      <c r="AL13" s="62">
        <v>0.55160399999999998</v>
      </c>
      <c r="AP13" s="200"/>
      <c r="AQ13" s="4">
        <v>3</v>
      </c>
      <c r="AR13" s="151">
        <v>37256</v>
      </c>
      <c r="AS13" s="151">
        <v>5113.8999999999996</v>
      </c>
      <c r="AT13" s="151">
        <v>8929700</v>
      </c>
      <c r="AU13" s="151">
        <v>80819</v>
      </c>
      <c r="AV13" s="151">
        <v>45439</v>
      </c>
      <c r="AW13" s="151">
        <v>28238</v>
      </c>
      <c r="AX13" s="151">
        <v>21383</v>
      </c>
      <c r="AY13" s="167"/>
      <c r="BA13" s="66">
        <v>7</v>
      </c>
      <c r="BB13" s="101">
        <f t="shared" si="13"/>
        <v>38.75</v>
      </c>
      <c r="BC13" s="103">
        <v>0.46290130000000002</v>
      </c>
      <c r="BD13" s="66"/>
      <c r="BE13" s="64">
        <f t="shared" si="14"/>
        <v>38.75</v>
      </c>
      <c r="BF13" s="12">
        <v>0.5339024</v>
      </c>
      <c r="BG13" s="66"/>
      <c r="BH13" s="64">
        <f t="shared" si="15"/>
        <v>38.75</v>
      </c>
      <c r="BI13" s="104">
        <v>0.68271090000000001</v>
      </c>
      <c r="BJ13" s="66">
        <v>7</v>
      </c>
      <c r="BK13" s="64">
        <f t="shared" si="16"/>
        <v>38.75</v>
      </c>
      <c r="BL13" s="104">
        <v>0.77378570000000002</v>
      </c>
      <c r="BM13" s="66">
        <v>7</v>
      </c>
      <c r="BN13" s="64">
        <f t="shared" si="17"/>
        <v>38.75</v>
      </c>
      <c r="BO13" s="103">
        <v>0.85629270000000002</v>
      </c>
      <c r="BR13" s="64">
        <f t="shared" si="12"/>
        <v>45</v>
      </c>
      <c r="BS13" s="18">
        <f t="shared" si="0"/>
        <v>76.247909298319996</v>
      </c>
      <c r="BT13" s="18">
        <f t="shared" si="1"/>
        <v>68.878934597620002</v>
      </c>
      <c r="BU13" s="18">
        <f t="shared" si="2"/>
        <v>66.329804411332006</v>
      </c>
      <c r="BV13" s="18">
        <f t="shared" si="3"/>
        <v>61.908198288299999</v>
      </c>
      <c r="BW13" s="18">
        <f t="shared" si="4"/>
        <v>60.351672767450012</v>
      </c>
      <c r="BZ13" s="141" t="s">
        <v>228</v>
      </c>
      <c r="CA13" s="141" t="s">
        <v>240</v>
      </c>
      <c r="CB13" s="141" t="s">
        <v>229</v>
      </c>
      <c r="CC13" s="141" t="s">
        <v>230</v>
      </c>
      <c r="CD13" s="141" t="s">
        <v>231</v>
      </c>
      <c r="CE13" s="140" t="s">
        <v>232</v>
      </c>
      <c r="CF13" s="140" t="s">
        <v>233</v>
      </c>
      <c r="CG13" s="139" t="s">
        <v>234</v>
      </c>
      <c r="CH13" s="140" t="s">
        <v>235</v>
      </c>
      <c r="CI13" s="140" t="s">
        <v>236</v>
      </c>
      <c r="CJ13" s="141" t="s">
        <v>237</v>
      </c>
      <c r="CK13" s="141" t="s">
        <v>238</v>
      </c>
      <c r="DB13" s="23" t="s">
        <v>388</v>
      </c>
      <c r="DC13" s="4">
        <v>18</v>
      </c>
      <c r="DD13" s="62">
        <v>0.58176499999999998</v>
      </c>
    </row>
    <row r="14" spans="1:108" x14ac:dyDescent="0.25">
      <c r="A14" s="4"/>
      <c r="B14" s="4">
        <v>9</v>
      </c>
      <c r="C14" s="4">
        <v>9</v>
      </c>
      <c r="D14" s="4">
        <v>720</v>
      </c>
      <c r="E14" s="4">
        <f t="shared" si="5"/>
        <v>2880</v>
      </c>
      <c r="F14" s="4">
        <f t="shared" si="6"/>
        <v>120</v>
      </c>
      <c r="G14" s="4">
        <f t="shared" si="7"/>
        <v>0.32854209445585214</v>
      </c>
      <c r="H14" s="4">
        <v>1.0504937999999999</v>
      </c>
      <c r="I14" s="55">
        <v>0.88266129999999998</v>
      </c>
      <c r="J14" s="55">
        <v>0.94204339999999998</v>
      </c>
      <c r="K14" s="58">
        <v>0.97687749999999995</v>
      </c>
      <c r="L14" s="58">
        <v>1.0047699000000001</v>
      </c>
      <c r="M14" s="55">
        <v>1.0297775</v>
      </c>
      <c r="N14" s="55">
        <v>1.0532428</v>
      </c>
      <c r="O14" s="55">
        <v>1.0756446</v>
      </c>
      <c r="P14" s="55">
        <v>1.0972010000000001</v>
      </c>
      <c r="Q14" s="55">
        <v>1.1180546</v>
      </c>
      <c r="R14" s="55">
        <v>1.1382749999999999</v>
      </c>
      <c r="U14" s="4"/>
      <c r="V14" s="4">
        <v>9</v>
      </c>
      <c r="W14" s="4">
        <v>9</v>
      </c>
      <c r="X14" s="4">
        <v>720</v>
      </c>
      <c r="Y14" s="4">
        <f t="shared" si="8"/>
        <v>2880</v>
      </c>
      <c r="Z14" s="4">
        <f t="shared" si="9"/>
        <v>120</v>
      </c>
      <c r="AA14" s="4">
        <f t="shared" si="10"/>
        <v>0.32854209445585214</v>
      </c>
      <c r="AB14" s="12">
        <v>0.476165</v>
      </c>
      <c r="AC14" s="62">
        <v>0.80459999999999998</v>
      </c>
      <c r="AD14" s="62">
        <v>0.73723899999999998</v>
      </c>
      <c r="AE14" s="62">
        <v>0.70311599999999996</v>
      </c>
      <c r="AF14" s="62">
        <v>0.67663700000000004</v>
      </c>
      <c r="AG14" s="62">
        <v>0.65294600000000003</v>
      </c>
      <c r="AH14" s="62">
        <v>0.63078100000000004</v>
      </c>
      <c r="AI14" s="62">
        <v>0.60977300000000001</v>
      </c>
      <c r="AJ14" s="62">
        <v>0.589785</v>
      </c>
      <c r="AK14" s="62">
        <v>0.57074499999999995</v>
      </c>
      <c r="AL14" s="62">
        <v>0.55260100000000001</v>
      </c>
      <c r="AP14" s="200"/>
      <c r="AQ14" s="4">
        <v>5</v>
      </c>
      <c r="AR14" s="151">
        <v>24285</v>
      </c>
      <c r="AS14" s="151">
        <v>7120.3</v>
      </c>
      <c r="AT14" s="151">
        <v>8827300</v>
      </c>
      <c r="AU14" s="151">
        <v>73959</v>
      </c>
      <c r="AV14" s="151">
        <v>45191</v>
      </c>
      <c r="AW14" s="151">
        <v>27776</v>
      </c>
      <c r="AX14" s="151">
        <v>25361</v>
      </c>
      <c r="AY14" s="167"/>
      <c r="BA14" s="67">
        <v>8</v>
      </c>
      <c r="BB14" s="101">
        <f t="shared" si="13"/>
        <v>45</v>
      </c>
      <c r="BC14" s="103">
        <v>0.58151419999999998</v>
      </c>
      <c r="BD14" s="68"/>
      <c r="BE14" s="64">
        <f t="shared" si="14"/>
        <v>45</v>
      </c>
      <c r="BF14" s="12">
        <v>0.66439219999999999</v>
      </c>
      <c r="BG14" s="68"/>
      <c r="BH14" s="64">
        <f t="shared" si="15"/>
        <v>45</v>
      </c>
      <c r="BI14" s="104">
        <v>0.83018539999999996</v>
      </c>
      <c r="BJ14" s="68">
        <v>8</v>
      </c>
      <c r="BK14" s="64">
        <f t="shared" si="16"/>
        <v>45</v>
      </c>
      <c r="BL14" s="104">
        <v>0.93320970000000003</v>
      </c>
      <c r="BM14" s="68">
        <v>8</v>
      </c>
      <c r="BN14" s="64">
        <f t="shared" si="17"/>
        <v>45</v>
      </c>
      <c r="BO14" s="103">
        <v>1.0274890000000001</v>
      </c>
      <c r="BR14" s="64">
        <f t="shared" si="12"/>
        <v>51.25</v>
      </c>
      <c r="BS14" s="18">
        <f t="shared" si="0"/>
        <v>91.271999537079992</v>
      </c>
      <c r="BT14" s="18">
        <f t="shared" si="1"/>
        <v>81.444573681380007</v>
      </c>
      <c r="BU14" s="18">
        <f t="shared" si="2"/>
        <v>76.118656168982</v>
      </c>
      <c r="BV14" s="18">
        <f t="shared" si="3"/>
        <v>70.282057481999999</v>
      </c>
      <c r="BW14" s="18">
        <f t="shared" si="4"/>
        <v>68.076534635250013</v>
      </c>
      <c r="BZ14" s="141">
        <v>0</v>
      </c>
      <c r="CA14" s="110">
        <v>0</v>
      </c>
      <c r="CB14" s="53">
        <v>320390</v>
      </c>
      <c r="CC14" s="53">
        <v>641260</v>
      </c>
      <c r="CD14" s="53">
        <v>962600</v>
      </c>
      <c r="CE14" s="53">
        <v>1284400</v>
      </c>
      <c r="CF14" s="53">
        <v>1606700</v>
      </c>
      <c r="CG14" s="143">
        <v>1820100</v>
      </c>
      <c r="CH14" s="53">
        <v>2252800</v>
      </c>
      <c r="CI14" s="53">
        <v>2576500</v>
      </c>
      <c r="CJ14" s="53">
        <v>2900800</v>
      </c>
      <c r="CK14" s="53">
        <v>3225500</v>
      </c>
      <c r="DB14" s="23" t="s">
        <v>389</v>
      </c>
      <c r="DC14" s="4">
        <v>20</v>
      </c>
      <c r="DD14" s="62">
        <v>0.56389299999999998</v>
      </c>
    </row>
    <row r="15" spans="1:108" x14ac:dyDescent="0.25">
      <c r="A15" s="4"/>
      <c r="B15" s="4">
        <v>10</v>
      </c>
      <c r="C15" s="4">
        <v>10</v>
      </c>
      <c r="D15" s="4">
        <v>720</v>
      </c>
      <c r="E15" s="4">
        <f t="shared" si="5"/>
        <v>3600</v>
      </c>
      <c r="F15" s="4">
        <f t="shared" si="6"/>
        <v>150</v>
      </c>
      <c r="G15" s="4">
        <f t="shared" si="7"/>
        <v>0.41067761806981518</v>
      </c>
      <c r="H15" s="4">
        <v>1.0487412</v>
      </c>
      <c r="I15" s="55">
        <v>0.88168190000000002</v>
      </c>
      <c r="J15" s="55">
        <v>0.94080839999999999</v>
      </c>
      <c r="K15" s="58">
        <v>0.97541429999999996</v>
      </c>
      <c r="L15" s="58">
        <v>1.0029824000000001</v>
      </c>
      <c r="M15" s="55">
        <v>1.0276759</v>
      </c>
      <c r="N15" s="55">
        <v>1.0508776</v>
      </c>
      <c r="O15" s="55">
        <v>1.0730774000000001</v>
      </c>
      <c r="P15" s="55">
        <v>1.0944826999999999</v>
      </c>
      <c r="Q15" s="55">
        <v>1.1152257000000001</v>
      </c>
      <c r="R15" s="55">
        <v>1.1353666</v>
      </c>
      <c r="U15" s="4"/>
      <c r="V15" s="4">
        <v>10</v>
      </c>
      <c r="W15" s="4">
        <v>10</v>
      </c>
      <c r="X15" s="4">
        <v>720</v>
      </c>
      <c r="Y15" s="4">
        <f t="shared" si="8"/>
        <v>3600</v>
      </c>
      <c r="Z15" s="4">
        <f t="shared" si="9"/>
        <v>150</v>
      </c>
      <c r="AA15" s="4">
        <f t="shared" si="10"/>
        <v>0.41067761806981518</v>
      </c>
      <c r="AB15" s="12">
        <v>0.47926999999999997</v>
      </c>
      <c r="AC15" s="62">
        <v>0.80748699999999995</v>
      </c>
      <c r="AD15" s="62">
        <v>0.73912100000000003</v>
      </c>
      <c r="AE15" s="62">
        <v>0.70448599999999995</v>
      </c>
      <c r="AF15" s="62">
        <v>0.67781599999999997</v>
      </c>
      <c r="AG15" s="62">
        <v>0.65404300000000004</v>
      </c>
      <c r="AH15" s="62">
        <v>0.63183</v>
      </c>
      <c r="AI15" s="62">
        <v>0.61078200000000005</v>
      </c>
      <c r="AJ15" s="62">
        <v>0.59075900000000003</v>
      </c>
      <c r="AK15" s="62">
        <v>0.57168099999999999</v>
      </c>
      <c r="AL15" s="62">
        <v>0.55350200000000005</v>
      </c>
      <c r="AP15" s="200"/>
      <c r="AQ15" s="4">
        <v>7</v>
      </c>
      <c r="AR15" s="151">
        <v>15264</v>
      </c>
      <c r="AS15" s="151">
        <v>8208.7999999999993</v>
      </c>
      <c r="AT15" s="151">
        <v>8720400</v>
      </c>
      <c r="AU15" s="151">
        <v>69523</v>
      </c>
      <c r="AV15" s="151">
        <v>44408</v>
      </c>
      <c r="AW15" s="151">
        <v>26770</v>
      </c>
      <c r="AX15" s="151">
        <v>28955</v>
      </c>
      <c r="AY15" s="167"/>
      <c r="BA15" s="66">
        <v>9</v>
      </c>
      <c r="BB15" s="101">
        <f t="shared" si="13"/>
        <v>51.25</v>
      </c>
      <c r="BC15" s="103">
        <v>0.69609730000000003</v>
      </c>
      <c r="BD15" s="66"/>
      <c r="BE15" s="64">
        <f t="shared" si="14"/>
        <v>51.25</v>
      </c>
      <c r="BF15" s="12">
        <v>0.78559780000000001</v>
      </c>
      <c r="BG15" s="66"/>
      <c r="BH15" s="64">
        <f t="shared" si="15"/>
        <v>51.25</v>
      </c>
      <c r="BI15" s="104">
        <v>0.95270290000000002</v>
      </c>
      <c r="BJ15" s="66">
        <v>9</v>
      </c>
      <c r="BK15" s="64">
        <f t="shared" si="16"/>
        <v>51.25</v>
      </c>
      <c r="BL15" s="104">
        <v>1.0594380000000001</v>
      </c>
      <c r="BM15" s="66">
        <v>9</v>
      </c>
      <c r="BN15" s="64">
        <f t="shared" si="17"/>
        <v>51.25</v>
      </c>
      <c r="BO15" s="103">
        <v>1.1590050000000001</v>
      </c>
      <c r="BR15" s="64">
        <f t="shared" si="12"/>
        <v>57.5</v>
      </c>
      <c r="BS15" s="18">
        <f t="shared" si="0"/>
        <v>105.65397087072</v>
      </c>
      <c r="BT15" s="18">
        <f t="shared" si="1"/>
        <v>92.804319632359991</v>
      </c>
      <c r="BU15" s="18">
        <f t="shared" si="2"/>
        <v>83.589407479060014</v>
      </c>
      <c r="BV15" s="18">
        <f t="shared" si="3"/>
        <v>76.124931245999989</v>
      </c>
      <c r="BW15" s="18">
        <f t="shared" si="4"/>
        <v>73.1660412807</v>
      </c>
      <c r="BZ15" s="141">
        <v>1</v>
      </c>
      <c r="CA15" s="53">
        <v>21985</v>
      </c>
      <c r="CB15" s="53">
        <v>88385</v>
      </c>
      <c r="CC15" s="53">
        <v>172510</v>
      </c>
      <c r="CD15" s="53">
        <v>262180</v>
      </c>
      <c r="CE15" s="53">
        <v>353940</v>
      </c>
      <c r="CF15" s="53">
        <v>446780</v>
      </c>
      <c r="CG15" s="143">
        <v>540270</v>
      </c>
      <c r="CH15" s="53">
        <v>634250</v>
      </c>
      <c r="CI15" s="53">
        <v>728590</v>
      </c>
      <c r="CJ15" s="53">
        <v>823240</v>
      </c>
      <c r="CK15" s="53">
        <v>918160</v>
      </c>
    </row>
    <row r="16" spans="1:108" x14ac:dyDescent="0.25">
      <c r="A16" s="4"/>
      <c r="B16" s="4">
        <v>11</v>
      </c>
      <c r="C16" s="4">
        <v>11</v>
      </c>
      <c r="D16" s="4">
        <v>720</v>
      </c>
      <c r="E16" s="4">
        <f t="shared" si="5"/>
        <v>4320</v>
      </c>
      <c r="F16" s="4">
        <f t="shared" si="6"/>
        <v>180</v>
      </c>
      <c r="G16" s="4">
        <f t="shared" si="7"/>
        <v>0.49281314168377821</v>
      </c>
      <c r="H16" s="4">
        <v>1.0501573</v>
      </c>
      <c r="I16" s="55">
        <v>0.8831755</v>
      </c>
      <c r="J16" s="55">
        <v>0.94096760000000002</v>
      </c>
      <c r="K16" s="58">
        <v>0.97477820000000004</v>
      </c>
      <c r="L16" s="58">
        <v>1.0018014</v>
      </c>
      <c r="M16" s="55">
        <v>1.0261001999999999</v>
      </c>
      <c r="N16" s="55">
        <v>1.0489609</v>
      </c>
      <c r="O16" s="55">
        <v>1.0709147000000001</v>
      </c>
      <c r="P16" s="55">
        <v>1.0921136</v>
      </c>
      <c r="Q16" s="55">
        <v>1.1126976</v>
      </c>
      <c r="R16" s="55">
        <v>1.1327331</v>
      </c>
      <c r="U16" s="4"/>
      <c r="V16" s="4">
        <v>11</v>
      </c>
      <c r="W16" s="4">
        <v>11</v>
      </c>
      <c r="X16" s="4">
        <v>720</v>
      </c>
      <c r="Y16" s="4">
        <f t="shared" si="8"/>
        <v>4320</v>
      </c>
      <c r="Z16" s="4">
        <f t="shared" si="9"/>
        <v>180</v>
      </c>
      <c r="AA16" s="4">
        <f t="shared" si="10"/>
        <v>0.49281314168377821</v>
      </c>
      <c r="AB16" s="12">
        <v>0.481964</v>
      </c>
      <c r="AC16" s="62">
        <v>0.80888400000000005</v>
      </c>
      <c r="AD16" s="62">
        <v>0.74031599999999997</v>
      </c>
      <c r="AE16" s="62">
        <v>0.705457</v>
      </c>
      <c r="AF16" s="62">
        <v>0.67872100000000002</v>
      </c>
      <c r="AG16" s="62">
        <v>0.65492399999999995</v>
      </c>
      <c r="AH16" s="62">
        <v>0.63271200000000005</v>
      </c>
      <c r="AI16" s="62">
        <v>0.61165700000000001</v>
      </c>
      <c r="AJ16" s="62">
        <v>0.59162199999999998</v>
      </c>
      <c r="AK16" s="62">
        <v>0.57253200000000004</v>
      </c>
      <c r="AL16" s="62">
        <v>0.55433100000000002</v>
      </c>
      <c r="AO16" s="146">
        <f>AR16/(AR16+AT16)</f>
        <v>7.1096732264204167E-3</v>
      </c>
      <c r="AP16" s="200" t="s">
        <v>230</v>
      </c>
      <c r="AQ16" s="4">
        <v>0</v>
      </c>
      <c r="AR16" s="151">
        <v>63712</v>
      </c>
      <c r="AS16" s="151">
        <v>0</v>
      </c>
      <c r="AT16" s="151">
        <v>8897600</v>
      </c>
      <c r="AU16" s="151">
        <v>189370</v>
      </c>
      <c r="AV16" s="151">
        <v>90375</v>
      </c>
      <c r="AW16" s="151">
        <v>47267</v>
      </c>
      <c r="AX16" s="151">
        <v>31895</v>
      </c>
      <c r="AY16" s="167"/>
      <c r="BA16" s="67">
        <v>10</v>
      </c>
      <c r="BB16" s="101">
        <f t="shared" si="13"/>
        <v>57.5</v>
      </c>
      <c r="BC16" s="103">
        <v>0.80578320000000003</v>
      </c>
      <c r="BD16" s="68"/>
      <c r="BE16" s="64">
        <f t="shared" si="14"/>
        <v>57.5</v>
      </c>
      <c r="BF16" s="12">
        <v>0.89517159999999996</v>
      </c>
      <c r="BG16" s="68"/>
      <c r="BH16" s="64">
        <f t="shared" si="15"/>
        <v>57.5</v>
      </c>
      <c r="BI16" s="104">
        <v>1.0462070000000001</v>
      </c>
      <c r="BJ16" s="68">
        <v>10</v>
      </c>
      <c r="BK16" s="64">
        <f t="shared" si="16"/>
        <v>57.5</v>
      </c>
      <c r="BL16" s="104">
        <v>1.1475139999999999</v>
      </c>
      <c r="BM16" s="68">
        <v>10</v>
      </c>
      <c r="BN16" s="64">
        <f t="shared" si="17"/>
        <v>57.5</v>
      </c>
      <c r="BO16" s="103">
        <v>1.245654</v>
      </c>
      <c r="BR16" s="64">
        <f t="shared" si="12"/>
        <v>63.75</v>
      </c>
      <c r="BS16" s="18">
        <f t="shared" si="0"/>
        <v>119.28083753992</v>
      </c>
      <c r="BT16" s="18">
        <f t="shared" si="1"/>
        <v>102.67151909406</v>
      </c>
      <c r="BU16" s="18">
        <f t="shared" si="2"/>
        <v>88.463958834859994</v>
      </c>
      <c r="BV16" s="18">
        <f t="shared" si="3"/>
        <v>79.143289407000012</v>
      </c>
      <c r="BW16" s="18">
        <f t="shared" si="4"/>
        <v>75.354407552550001</v>
      </c>
      <c r="BZ16" s="141">
        <v>3</v>
      </c>
      <c r="CA16" s="53">
        <v>44379</v>
      </c>
      <c r="CB16" s="53">
        <v>79934</v>
      </c>
      <c r="CC16" s="53">
        <v>146520</v>
      </c>
      <c r="CD16" s="53">
        <v>224920</v>
      </c>
      <c r="CE16" s="53">
        <v>308800</v>
      </c>
      <c r="CF16" s="53">
        <v>395680</v>
      </c>
      <c r="CG16" s="143">
        <v>484430</v>
      </c>
      <c r="CH16" s="53">
        <v>574460</v>
      </c>
      <c r="CI16" s="53">
        <v>665440</v>
      </c>
      <c r="CJ16" s="53">
        <v>757170</v>
      </c>
      <c r="CK16" s="53">
        <v>849520</v>
      </c>
    </row>
    <row r="17" spans="1:89" x14ac:dyDescent="0.25">
      <c r="A17" s="4"/>
      <c r="B17" s="4">
        <v>12</v>
      </c>
      <c r="C17" s="4">
        <v>12</v>
      </c>
      <c r="D17" s="4">
        <v>720</v>
      </c>
      <c r="E17" s="4">
        <f t="shared" si="5"/>
        <v>5040</v>
      </c>
      <c r="F17" s="4">
        <f t="shared" si="6"/>
        <v>210</v>
      </c>
      <c r="G17" s="4">
        <f t="shared" si="7"/>
        <v>0.57494866529774125</v>
      </c>
      <c r="H17" s="4">
        <v>1.0563487</v>
      </c>
      <c r="I17" s="55">
        <v>0.88983780000000001</v>
      </c>
      <c r="J17" s="55">
        <v>0.94260169999999999</v>
      </c>
      <c r="K17" s="58">
        <v>0.97503629999999997</v>
      </c>
      <c r="L17" s="58">
        <v>1.0012075</v>
      </c>
      <c r="M17" s="55">
        <v>1.0249315999999999</v>
      </c>
      <c r="N17" s="55">
        <v>1.0474032</v>
      </c>
      <c r="O17" s="55">
        <v>1.0690248</v>
      </c>
      <c r="P17" s="55">
        <v>1.0899892</v>
      </c>
      <c r="Q17" s="55">
        <v>1.1103913999999999</v>
      </c>
      <c r="R17" s="55">
        <v>1.1302810000000001</v>
      </c>
      <c r="U17" s="4"/>
      <c r="V17" s="4">
        <v>12</v>
      </c>
      <c r="W17" s="4">
        <v>12</v>
      </c>
      <c r="X17" s="4">
        <v>720</v>
      </c>
      <c r="Y17" s="4">
        <f t="shared" si="8"/>
        <v>5040</v>
      </c>
      <c r="Z17" s="4">
        <f t="shared" si="9"/>
        <v>210</v>
      </c>
      <c r="AA17" s="4">
        <f t="shared" si="10"/>
        <v>0.57494866529774125</v>
      </c>
      <c r="AB17" s="12">
        <v>0.48386400000000002</v>
      </c>
      <c r="AC17" s="62">
        <v>0.80737999999999999</v>
      </c>
      <c r="AD17" s="62">
        <v>0.74077599999999999</v>
      </c>
      <c r="AE17" s="62">
        <v>0.706013</v>
      </c>
      <c r="AF17" s="62">
        <v>0.67934899999999998</v>
      </c>
      <c r="AG17" s="62">
        <v>0.65561899999999995</v>
      </c>
      <c r="AH17" s="62">
        <v>0.63344900000000004</v>
      </c>
      <c r="AI17" s="62">
        <v>0.612429</v>
      </c>
      <c r="AJ17" s="62">
        <v>0.59240899999999996</v>
      </c>
      <c r="AK17" s="62">
        <v>0.57331900000000002</v>
      </c>
      <c r="AL17" s="62">
        <v>0.55511200000000005</v>
      </c>
      <c r="AP17" s="200"/>
      <c r="AQ17" s="4">
        <v>1</v>
      </c>
      <c r="AR17" s="151">
        <v>57002</v>
      </c>
      <c r="AS17" s="151">
        <v>1504.6</v>
      </c>
      <c r="AT17" s="151">
        <v>8857500</v>
      </c>
      <c r="AU17" s="151">
        <v>173570</v>
      </c>
      <c r="AV17" s="151">
        <v>89740</v>
      </c>
      <c r="AW17" s="151">
        <v>51119</v>
      </c>
      <c r="AX17" s="151">
        <v>32861</v>
      </c>
      <c r="AY17" s="167"/>
      <c r="BA17" s="66">
        <v>11</v>
      </c>
      <c r="BB17" s="101">
        <f t="shared" si="13"/>
        <v>63.75</v>
      </c>
      <c r="BC17" s="103">
        <v>0.90971020000000002</v>
      </c>
      <c r="BD17" s="66"/>
      <c r="BE17" s="64">
        <f t="shared" si="14"/>
        <v>63.75</v>
      </c>
      <c r="BF17" s="12">
        <v>0.99034860000000002</v>
      </c>
      <c r="BG17" s="66"/>
      <c r="BH17" s="64">
        <f t="shared" si="15"/>
        <v>63.75</v>
      </c>
      <c r="BI17" s="104">
        <v>1.1072169999999999</v>
      </c>
      <c r="BJ17" s="66">
        <v>11</v>
      </c>
      <c r="BK17" s="64">
        <f t="shared" si="16"/>
        <v>63.75</v>
      </c>
      <c r="BL17" s="104">
        <v>1.1930130000000001</v>
      </c>
      <c r="BM17" s="66">
        <v>11</v>
      </c>
      <c r="BN17" s="64">
        <f t="shared" si="17"/>
        <v>63.75</v>
      </c>
      <c r="BO17" s="103">
        <v>1.2829109999999999</v>
      </c>
      <c r="BR17" s="64">
        <f t="shared" si="12"/>
        <v>70</v>
      </c>
      <c r="BS17" s="18">
        <f t="shared" si="0"/>
        <v>132.04333758199999</v>
      </c>
      <c r="BT17" s="18">
        <f t="shared" si="1"/>
        <v>110.7091548038</v>
      </c>
      <c r="BU17" s="18">
        <f t="shared" si="2"/>
        <v>90.607291315940003</v>
      </c>
      <c r="BV17" s="18">
        <f t="shared" si="3"/>
        <v>79.138645677</v>
      </c>
      <c r="BW17" s="18">
        <f t="shared" si="4"/>
        <v>74.463425241099998</v>
      </c>
      <c r="BZ17" s="141">
        <v>5</v>
      </c>
      <c r="CA17" s="53">
        <v>54591</v>
      </c>
      <c r="CB17" s="53">
        <v>73421</v>
      </c>
      <c r="CC17" s="53">
        <v>126520</v>
      </c>
      <c r="CD17" s="53">
        <v>194440</v>
      </c>
      <c r="CE17" s="53">
        <v>270270</v>
      </c>
      <c r="CF17" s="53">
        <v>350710</v>
      </c>
      <c r="CG17" s="143">
        <v>434130</v>
      </c>
      <c r="CH17" s="53">
        <v>519640</v>
      </c>
      <c r="CI17" s="53">
        <v>606720</v>
      </c>
      <c r="CJ17" s="53">
        <v>695020</v>
      </c>
      <c r="CK17" s="53">
        <v>784320</v>
      </c>
    </row>
    <row r="18" spans="1:89" x14ac:dyDescent="0.25">
      <c r="A18" s="4"/>
      <c r="B18" s="4">
        <v>13</v>
      </c>
      <c r="C18" s="4">
        <v>13</v>
      </c>
      <c r="D18" s="4">
        <v>720</v>
      </c>
      <c r="E18" s="4">
        <f t="shared" si="5"/>
        <v>5760</v>
      </c>
      <c r="F18" s="4">
        <f>E18/24</f>
        <v>240</v>
      </c>
      <c r="G18" s="4">
        <f t="shared" si="7"/>
        <v>0.65708418891170428</v>
      </c>
      <c r="H18" s="4">
        <v>1.0669028</v>
      </c>
      <c r="I18" s="55">
        <v>0.90030209999999999</v>
      </c>
      <c r="J18" s="55">
        <v>0.94607470000000005</v>
      </c>
      <c r="K18" s="58">
        <v>0.97616449999999999</v>
      </c>
      <c r="L18" s="58">
        <v>1.0011774</v>
      </c>
      <c r="M18" s="55">
        <v>1.0241838000000001</v>
      </c>
      <c r="N18" s="55">
        <v>1.0461530999999999</v>
      </c>
      <c r="O18" s="55">
        <v>1.0674182000000001</v>
      </c>
      <c r="P18" s="55">
        <v>1.0881130999999999</v>
      </c>
      <c r="Q18" s="55">
        <v>1.1083057999999999</v>
      </c>
      <c r="R18" s="55">
        <v>1.1280539000000001</v>
      </c>
      <c r="U18" s="4"/>
      <c r="V18" s="4">
        <v>13</v>
      </c>
      <c r="W18" s="4">
        <v>13</v>
      </c>
      <c r="X18" s="4">
        <v>720</v>
      </c>
      <c r="Y18" s="4">
        <f t="shared" si="8"/>
        <v>5760</v>
      </c>
      <c r="Z18" s="4">
        <f>Y18/24</f>
        <v>240</v>
      </c>
      <c r="AA18" s="4">
        <f t="shared" si="10"/>
        <v>0.65708418891170428</v>
      </c>
      <c r="AB18" s="12">
        <v>0.48480299999999998</v>
      </c>
      <c r="AC18" s="62">
        <v>0.80363899999999999</v>
      </c>
      <c r="AD18" s="62">
        <v>0.74040499999999998</v>
      </c>
      <c r="AE18" s="62">
        <v>0.70620799999999995</v>
      </c>
      <c r="AF18" s="62">
        <v>0.67976000000000003</v>
      </c>
      <c r="AG18" s="62">
        <v>0.65616099999999999</v>
      </c>
      <c r="AH18" s="62">
        <v>0.63407599999999997</v>
      </c>
      <c r="AI18" s="62">
        <v>0.61310799999999999</v>
      </c>
      <c r="AJ18" s="62">
        <v>0.59311800000000003</v>
      </c>
      <c r="AK18" s="62">
        <v>0.57404299999999997</v>
      </c>
      <c r="AL18" s="62">
        <v>0.55583700000000003</v>
      </c>
      <c r="AP18" s="200"/>
      <c r="AQ18" s="4">
        <v>3</v>
      </c>
      <c r="AR18" s="151">
        <v>44761</v>
      </c>
      <c r="AS18" s="151">
        <v>3981.3</v>
      </c>
      <c r="AT18" s="151">
        <v>8771600</v>
      </c>
      <c r="AU18" s="151">
        <v>148780</v>
      </c>
      <c r="AV18" s="151">
        <v>86409</v>
      </c>
      <c r="AW18" s="151">
        <v>53582</v>
      </c>
      <c r="AX18" s="151">
        <v>36040</v>
      </c>
      <c r="AY18" s="167"/>
      <c r="BA18" s="67">
        <v>12</v>
      </c>
      <c r="BB18" s="101">
        <f t="shared" si="13"/>
        <v>70</v>
      </c>
      <c r="BC18" s="103">
        <v>1.007045</v>
      </c>
      <c r="BD18" s="68"/>
      <c r="BE18" s="64">
        <f t="shared" si="14"/>
        <v>70</v>
      </c>
      <c r="BF18" s="12">
        <v>1.0678780000000001</v>
      </c>
      <c r="BG18" s="68"/>
      <c r="BH18" s="64">
        <f t="shared" si="15"/>
        <v>70</v>
      </c>
      <c r="BI18" s="104">
        <v>1.1340429999999999</v>
      </c>
      <c r="BJ18" s="68">
        <v>12</v>
      </c>
      <c r="BK18" s="64">
        <f t="shared" si="16"/>
        <v>70</v>
      </c>
      <c r="BL18" s="104">
        <v>1.1929430000000001</v>
      </c>
      <c r="BM18" s="68">
        <v>12</v>
      </c>
      <c r="BN18" s="64">
        <f t="shared" si="17"/>
        <v>70</v>
      </c>
      <c r="BO18" s="103">
        <v>1.2677419999999999</v>
      </c>
      <c r="BR18" s="64">
        <f t="shared" si="12"/>
        <v>76.25</v>
      </c>
      <c r="BS18" s="18">
        <f t="shared" si="0"/>
        <v>143.83610328639998</v>
      </c>
      <c r="BT18" s="18">
        <f t="shared" si="1"/>
        <v>113.2467367955</v>
      </c>
      <c r="BU18" s="18">
        <f t="shared" si="2"/>
        <v>89.25518456959999</v>
      </c>
      <c r="BV18" s="18">
        <f t="shared" si="3"/>
        <v>72.750199976999994</v>
      </c>
      <c r="BW18" s="18">
        <f t="shared" si="4"/>
        <v>67.144436388800003</v>
      </c>
      <c r="BZ18" s="141">
        <v>7</v>
      </c>
      <c r="CA18" s="12">
        <v>58464</v>
      </c>
      <c r="CB18" s="12">
        <v>69357</v>
      </c>
      <c r="CC18" s="12">
        <v>111910</v>
      </c>
      <c r="CD18" s="12">
        <v>170120</v>
      </c>
      <c r="CE18" s="12">
        <v>237780</v>
      </c>
      <c r="CF18" s="12">
        <v>311390</v>
      </c>
      <c r="CG18" s="144">
        <v>389030</v>
      </c>
      <c r="CH18" s="12">
        <v>469550</v>
      </c>
      <c r="CI18" s="12">
        <v>552270</v>
      </c>
      <c r="CJ18" s="12">
        <v>636710</v>
      </c>
      <c r="CK18" s="12">
        <v>722560</v>
      </c>
    </row>
    <row r="19" spans="1:89" x14ac:dyDescent="0.25">
      <c r="A19" s="4"/>
      <c r="B19" s="4">
        <v>14</v>
      </c>
      <c r="C19" s="4">
        <v>14</v>
      </c>
      <c r="D19" s="4">
        <v>720</v>
      </c>
      <c r="E19" s="4">
        <f t="shared" si="5"/>
        <v>6480</v>
      </c>
      <c r="F19" s="4">
        <f t="shared" si="6"/>
        <v>270</v>
      </c>
      <c r="G19" s="4">
        <f t="shared" si="7"/>
        <v>0.73921971252566732</v>
      </c>
      <c r="H19" s="4">
        <v>1.0802451</v>
      </c>
      <c r="I19" s="55">
        <v>0.91265879999999999</v>
      </c>
      <c r="J19" s="55">
        <v>0.95081190000000004</v>
      </c>
      <c r="K19" s="58">
        <v>0.97806490000000001</v>
      </c>
      <c r="L19" s="58">
        <v>1.0016474</v>
      </c>
      <c r="M19" s="55">
        <v>1.0237616</v>
      </c>
      <c r="N19" s="55">
        <v>1.0451379000000001</v>
      </c>
      <c r="O19" s="55">
        <v>1.0659831</v>
      </c>
      <c r="P19" s="55">
        <v>1.0863780000000001</v>
      </c>
      <c r="Q19" s="55">
        <v>1.1063552000000001</v>
      </c>
      <c r="R19" s="55">
        <v>1.1259252</v>
      </c>
      <c r="U19" s="4"/>
      <c r="V19" s="4">
        <v>14</v>
      </c>
      <c r="W19" s="4">
        <v>14</v>
      </c>
      <c r="X19" s="4">
        <v>720</v>
      </c>
      <c r="Y19" s="4">
        <f t="shared" si="8"/>
        <v>6480</v>
      </c>
      <c r="Z19" s="4">
        <f t="shared" ref="Z19:Z82" si="18">Y19/24</f>
        <v>270</v>
      </c>
      <c r="AA19" s="4">
        <f t="shared" si="10"/>
        <v>0.73921971252566732</v>
      </c>
      <c r="AB19" s="12">
        <v>0.48515399999999997</v>
      </c>
      <c r="AC19" s="62">
        <v>0.79862100000000003</v>
      </c>
      <c r="AD19" s="62">
        <v>0.73939600000000005</v>
      </c>
      <c r="AE19" s="62">
        <v>0.70607200000000003</v>
      </c>
      <c r="AF19" s="62">
        <v>0.67998199999999998</v>
      </c>
      <c r="AG19" s="62">
        <v>0.65658300000000003</v>
      </c>
      <c r="AH19" s="62">
        <v>0.63461999999999996</v>
      </c>
      <c r="AI19" s="62">
        <v>0.61373</v>
      </c>
      <c r="AJ19" s="62">
        <v>0.59378299999999995</v>
      </c>
      <c r="AK19" s="62">
        <v>0.57473099999999999</v>
      </c>
      <c r="AL19" s="62">
        <v>0.556535</v>
      </c>
      <c r="AP19" s="200"/>
      <c r="AQ19" s="4">
        <v>5</v>
      </c>
      <c r="AR19" s="151">
        <v>34301</v>
      </c>
      <c r="AS19" s="151">
        <v>5873.1</v>
      </c>
      <c r="AT19" s="151">
        <v>8683100</v>
      </c>
      <c r="AU19" s="151">
        <v>129240</v>
      </c>
      <c r="AV19" s="151">
        <v>82009</v>
      </c>
      <c r="AW19" s="151">
        <v>52672</v>
      </c>
      <c r="AX19" s="151">
        <v>39625</v>
      </c>
      <c r="AY19" s="167"/>
      <c r="BA19" s="66">
        <v>13</v>
      </c>
      <c r="BB19" s="101">
        <f t="shared" si="13"/>
        <v>76.25</v>
      </c>
      <c r="BC19" s="103">
        <v>1.096984</v>
      </c>
      <c r="BD19" s="66"/>
      <c r="BE19" s="64">
        <f t="shared" si="14"/>
        <v>76.25</v>
      </c>
      <c r="BF19" s="12">
        <v>1.092355</v>
      </c>
      <c r="BG19" s="66"/>
      <c r="BH19" s="64">
        <f t="shared" si="15"/>
        <v>76.25</v>
      </c>
      <c r="BI19" s="104">
        <v>1.1171199999999999</v>
      </c>
      <c r="BJ19" s="66">
        <v>13</v>
      </c>
      <c r="BK19" s="64">
        <f t="shared" si="16"/>
        <v>76.25</v>
      </c>
      <c r="BL19" s="104">
        <v>1.096643</v>
      </c>
      <c r="BM19" s="66">
        <v>13</v>
      </c>
      <c r="BN19" s="64">
        <f t="shared" si="17"/>
        <v>76.25</v>
      </c>
      <c r="BO19" s="103">
        <v>1.1431359999999999</v>
      </c>
      <c r="BR19" s="64">
        <f t="shared" si="12"/>
        <v>82.5</v>
      </c>
      <c r="BS19" s="18">
        <f t="shared" si="0"/>
        <v>154.55814633719999</v>
      </c>
      <c r="BT19" s="18">
        <f t="shared" si="1"/>
        <v>118.84347511399999</v>
      </c>
      <c r="BU19" s="18">
        <f t="shared" si="2"/>
        <v>88.852740459139994</v>
      </c>
      <c r="BV19" s="18">
        <f t="shared" si="3"/>
        <v>70.515637100999996</v>
      </c>
      <c r="BW19" s="18">
        <f t="shared" si="4"/>
        <v>64.101093617150013</v>
      </c>
      <c r="BZ19" s="141" t="s">
        <v>357</v>
      </c>
      <c r="CA19" s="33" t="e">
        <f>CA18/CA14</f>
        <v>#DIV/0!</v>
      </c>
      <c r="CB19" s="33">
        <f t="shared" ref="CB19:CK19" si="19">CB18/CB14</f>
        <v>0.21647679390742533</v>
      </c>
      <c r="CC19" s="33">
        <f t="shared" si="19"/>
        <v>0.17451579702460782</v>
      </c>
      <c r="CD19" s="33">
        <f t="shared" si="19"/>
        <v>0.17672969042177436</v>
      </c>
      <c r="CE19" s="33">
        <f t="shared" si="19"/>
        <v>0.18512924322640922</v>
      </c>
      <c r="CF19" s="33">
        <f t="shared" si="19"/>
        <v>0.19380718242360118</v>
      </c>
      <c r="CG19" s="145">
        <f t="shared" si="19"/>
        <v>0.21374100324158013</v>
      </c>
      <c r="CH19" s="33">
        <f t="shared" si="19"/>
        <v>0.20842950994318182</v>
      </c>
      <c r="CI19" s="33">
        <f t="shared" si="19"/>
        <v>0.21434892295750049</v>
      </c>
      <c r="CJ19" s="33">
        <f t="shared" si="19"/>
        <v>0.2194946221731936</v>
      </c>
      <c r="CK19" s="33">
        <f t="shared" si="19"/>
        <v>0.2240148814137343</v>
      </c>
    </row>
    <row r="20" spans="1:89" x14ac:dyDescent="0.25">
      <c r="A20" s="4"/>
      <c r="B20" s="4">
        <v>15</v>
      </c>
      <c r="C20" s="4">
        <v>15</v>
      </c>
      <c r="D20" s="4">
        <v>720</v>
      </c>
      <c r="E20" s="4">
        <f t="shared" si="5"/>
        <v>7200</v>
      </c>
      <c r="F20" s="4">
        <f t="shared" si="6"/>
        <v>300</v>
      </c>
      <c r="G20" s="4">
        <f t="shared" si="7"/>
        <v>0.82135523613963035</v>
      </c>
      <c r="H20" s="4">
        <v>1.0899519</v>
      </c>
      <c r="I20" s="55">
        <v>0.91861979999999999</v>
      </c>
      <c r="J20" s="55">
        <v>0.95491400000000004</v>
      </c>
      <c r="K20" s="58">
        <v>0.97997129999999999</v>
      </c>
      <c r="L20" s="58">
        <v>1.0021069</v>
      </c>
      <c r="M20" s="55">
        <v>1.0234296000000001</v>
      </c>
      <c r="N20" s="55">
        <v>1.0442697000000001</v>
      </c>
      <c r="O20" s="55">
        <v>1.0647276999999999</v>
      </c>
      <c r="P20" s="55">
        <v>1.0848199999999999</v>
      </c>
      <c r="Q20" s="55">
        <v>1.1045621999999999</v>
      </c>
      <c r="R20" s="55">
        <v>1.1239482000000001</v>
      </c>
      <c r="U20" s="4"/>
      <c r="V20" s="4">
        <v>15</v>
      </c>
      <c r="W20" s="4">
        <v>15</v>
      </c>
      <c r="X20" s="4">
        <v>720</v>
      </c>
      <c r="Y20" s="4">
        <f t="shared" si="8"/>
        <v>7200</v>
      </c>
      <c r="Z20" s="4">
        <f t="shared" si="18"/>
        <v>300</v>
      </c>
      <c r="AA20" s="4">
        <f t="shared" si="10"/>
        <v>0.82135523613963035</v>
      </c>
      <c r="AB20" s="12">
        <v>0.48647699999999999</v>
      </c>
      <c r="AC20" s="62">
        <v>0.79698999999999998</v>
      </c>
      <c r="AD20" s="62">
        <v>0.73852899999999999</v>
      </c>
      <c r="AE20" s="62">
        <v>0.70586800000000005</v>
      </c>
      <c r="AF20" s="62">
        <v>0.68016200000000004</v>
      </c>
      <c r="AG20" s="62">
        <v>0.65694399999999997</v>
      </c>
      <c r="AH20" s="62">
        <v>0.6351</v>
      </c>
      <c r="AI20" s="62">
        <v>0.614286</v>
      </c>
      <c r="AJ20" s="62">
        <v>0.594391</v>
      </c>
      <c r="AK20" s="62">
        <v>0.57537199999999999</v>
      </c>
      <c r="AL20" s="62">
        <v>0.55719399999999997</v>
      </c>
      <c r="AP20" s="200"/>
      <c r="AQ20" s="4">
        <v>7</v>
      </c>
      <c r="AR20" s="151">
        <v>25527</v>
      </c>
      <c r="AS20" s="151">
        <v>7256.6</v>
      </c>
      <c r="AT20" s="151">
        <v>8591300</v>
      </c>
      <c r="AU20" s="151">
        <v>114170</v>
      </c>
      <c r="AV20" s="151">
        <v>76974</v>
      </c>
      <c r="AW20" s="151">
        <v>49963</v>
      </c>
      <c r="AX20" s="151">
        <v>43172</v>
      </c>
      <c r="AY20" s="167"/>
      <c r="BA20" s="67">
        <v>14</v>
      </c>
      <c r="BB20" s="101">
        <f t="shared" si="13"/>
        <v>82.5</v>
      </c>
      <c r="BC20" s="103">
        <v>1.1787570000000001</v>
      </c>
      <c r="BD20" s="68"/>
      <c r="BE20" s="64">
        <f t="shared" si="14"/>
        <v>82.5</v>
      </c>
      <c r="BF20" s="12">
        <v>1.1463399999999999</v>
      </c>
      <c r="BG20" s="68"/>
      <c r="BH20" s="64">
        <f t="shared" si="15"/>
        <v>82.5</v>
      </c>
      <c r="BI20" s="104">
        <v>1.1120829999999999</v>
      </c>
      <c r="BJ20" s="68">
        <v>14</v>
      </c>
      <c r="BK20" s="64">
        <f t="shared" si="16"/>
        <v>82.5</v>
      </c>
      <c r="BL20" s="104">
        <v>1.062959</v>
      </c>
      <c r="BM20" s="68">
        <v>14</v>
      </c>
      <c r="BN20" s="64">
        <f t="shared" si="17"/>
        <v>82.5</v>
      </c>
      <c r="BO20" s="103">
        <v>1.091323</v>
      </c>
      <c r="BR20" s="64">
        <f t="shared" si="12"/>
        <v>88.75</v>
      </c>
      <c r="BS20" s="18">
        <f t="shared" si="0"/>
        <v>164.1130938284</v>
      </c>
      <c r="BT20" s="18">
        <f t="shared" si="1"/>
        <v>124.12235477390001</v>
      </c>
      <c r="BU20" s="18">
        <f t="shared" si="2"/>
        <v>88.681599842780017</v>
      </c>
      <c r="BV20" s="18">
        <f t="shared" si="3"/>
        <v>68.915606760000003</v>
      </c>
      <c r="BW20" s="18">
        <f t="shared" si="4"/>
        <v>61.726824582050007</v>
      </c>
    </row>
    <row r="21" spans="1:89" x14ac:dyDescent="0.25">
      <c r="A21" s="4"/>
      <c r="B21" s="4">
        <v>16</v>
      </c>
      <c r="C21" s="4">
        <v>16</v>
      </c>
      <c r="D21" s="4">
        <v>720</v>
      </c>
      <c r="E21" s="4">
        <f t="shared" si="5"/>
        <v>7920</v>
      </c>
      <c r="F21" s="4">
        <f t="shared" si="6"/>
        <v>330</v>
      </c>
      <c r="G21" s="4">
        <f t="shared" si="7"/>
        <v>0.90349075975359339</v>
      </c>
      <c r="H21" s="4">
        <v>1.0890678</v>
      </c>
      <c r="I21" s="55">
        <v>0.91708259999999997</v>
      </c>
      <c r="J21" s="55">
        <v>0.95726540000000004</v>
      </c>
      <c r="K21" s="58">
        <v>0.98141970000000001</v>
      </c>
      <c r="L21" s="58">
        <v>1.0028902</v>
      </c>
      <c r="M21" s="55">
        <v>1.0234601000000001</v>
      </c>
      <c r="N21" s="55">
        <v>1.0436566</v>
      </c>
      <c r="O21" s="55">
        <v>1.0636471999999999</v>
      </c>
      <c r="P21" s="55">
        <v>1.0833983</v>
      </c>
      <c r="Q21" s="55">
        <v>1.1028875</v>
      </c>
      <c r="R21" s="55">
        <v>1.12208</v>
      </c>
      <c r="U21" s="4"/>
      <c r="V21" s="4">
        <v>16</v>
      </c>
      <c r="W21" s="4">
        <v>16</v>
      </c>
      <c r="X21" s="4">
        <v>720</v>
      </c>
      <c r="Y21" s="4">
        <f t="shared" si="8"/>
        <v>7920</v>
      </c>
      <c r="Z21" s="4">
        <f t="shared" si="18"/>
        <v>330</v>
      </c>
      <c r="AA21" s="4">
        <f t="shared" si="10"/>
        <v>0.90349075975359339</v>
      </c>
      <c r="AB21" s="12">
        <v>0.49041499999999999</v>
      </c>
      <c r="AC21" s="62">
        <v>0.79942599999999997</v>
      </c>
      <c r="AD21" s="62">
        <v>0.73830399999999996</v>
      </c>
      <c r="AE21" s="62">
        <v>0.70578600000000002</v>
      </c>
      <c r="AF21" s="62">
        <v>0.68020599999999998</v>
      </c>
      <c r="AG21" s="62">
        <v>0.65717700000000001</v>
      </c>
      <c r="AH21" s="62">
        <v>0.63549299999999997</v>
      </c>
      <c r="AI21" s="62">
        <v>0.61478600000000005</v>
      </c>
      <c r="AJ21" s="62">
        <v>0.59496000000000004</v>
      </c>
      <c r="AK21" s="62">
        <v>0.57598199999999999</v>
      </c>
      <c r="AL21" s="62">
        <v>0.55782799999999999</v>
      </c>
      <c r="AO21" s="146">
        <f>AR21/(AR21+AT21)</f>
        <v>7.1096764186754534E-3</v>
      </c>
      <c r="AP21" s="200" t="s">
        <v>231</v>
      </c>
      <c r="AQ21" s="4">
        <v>0</v>
      </c>
      <c r="AR21" s="151">
        <v>62431</v>
      </c>
      <c r="AS21" s="151">
        <v>0</v>
      </c>
      <c r="AT21" s="151">
        <v>8718700</v>
      </c>
      <c r="AU21" s="151">
        <v>284270</v>
      </c>
      <c r="AV21" s="151">
        <v>135660</v>
      </c>
      <c r="AW21" s="151">
        <v>70953</v>
      </c>
      <c r="AX21" s="151">
        <v>47879</v>
      </c>
      <c r="AY21" s="167"/>
      <c r="BA21" s="66">
        <v>15</v>
      </c>
      <c r="BB21" s="101">
        <f t="shared" si="13"/>
        <v>88.75</v>
      </c>
      <c r="BC21" s="103">
        <v>1.2516290000000001</v>
      </c>
      <c r="BD21" s="66"/>
      <c r="BE21" s="64">
        <f t="shared" si="14"/>
        <v>88.75</v>
      </c>
      <c r="BF21" s="12">
        <v>1.1972590000000001</v>
      </c>
      <c r="BG21" s="66"/>
      <c r="BH21" s="64">
        <f t="shared" si="15"/>
        <v>88.75</v>
      </c>
      <c r="BI21" s="104">
        <v>1.1099410000000001</v>
      </c>
      <c r="BJ21" s="66">
        <v>15</v>
      </c>
      <c r="BK21" s="64">
        <f t="shared" si="16"/>
        <v>88.75</v>
      </c>
      <c r="BL21" s="104">
        <v>1.03884</v>
      </c>
      <c r="BM21" s="66">
        <v>15</v>
      </c>
      <c r="BN21" s="64">
        <f t="shared" si="17"/>
        <v>88.75</v>
      </c>
      <c r="BO21" s="103">
        <v>1.0509010000000001</v>
      </c>
      <c r="BR21" s="64">
        <f t="shared" si="12"/>
        <v>95</v>
      </c>
      <c r="BS21" s="18">
        <f t="shared" si="0"/>
        <v>172.41034211639999</v>
      </c>
      <c r="BT21" s="18">
        <f t="shared" si="1"/>
        <v>128.8817335407</v>
      </c>
      <c r="BU21" s="18">
        <f t="shared" si="2"/>
        <v>88.738886407639995</v>
      </c>
      <c r="BV21" s="18">
        <f t="shared" si="3"/>
        <v>67.831494821999996</v>
      </c>
      <c r="BW21" s="18">
        <f t="shared" si="4"/>
        <v>59.894933466650009</v>
      </c>
    </row>
    <row r="22" spans="1:89" x14ac:dyDescent="0.25">
      <c r="A22" s="4" t="s">
        <v>222</v>
      </c>
      <c r="B22" s="4">
        <v>17</v>
      </c>
      <c r="C22" s="4">
        <v>17</v>
      </c>
      <c r="D22" s="4">
        <v>846</v>
      </c>
      <c r="E22" s="4">
        <f t="shared" si="5"/>
        <v>8766</v>
      </c>
      <c r="F22" s="4">
        <f t="shared" si="6"/>
        <v>365.25</v>
      </c>
      <c r="G22" s="4">
        <f t="shared" si="7"/>
        <v>1</v>
      </c>
      <c r="H22" s="4">
        <v>1.0850519000000001</v>
      </c>
      <c r="I22" s="55">
        <v>0.91254849999999998</v>
      </c>
      <c r="J22" s="55">
        <v>0.95924659999999995</v>
      </c>
      <c r="K22" s="58">
        <v>0.98299669999999995</v>
      </c>
      <c r="L22" s="58">
        <v>1.0036049</v>
      </c>
      <c r="M22" s="55">
        <v>1.0233996999999999</v>
      </c>
      <c r="N22" s="55">
        <v>1.0430387000000001</v>
      </c>
      <c r="O22" s="55">
        <v>1.0626260999999999</v>
      </c>
      <c r="P22" s="55">
        <v>1.0820626</v>
      </c>
      <c r="Q22" s="55">
        <v>1.1013035</v>
      </c>
      <c r="R22" s="55">
        <v>1.1202979</v>
      </c>
      <c r="U22" s="4" t="s">
        <v>222</v>
      </c>
      <c r="V22" s="4">
        <v>17</v>
      </c>
      <c r="W22" s="4">
        <v>17</v>
      </c>
      <c r="X22" s="4">
        <v>846</v>
      </c>
      <c r="Y22" s="4">
        <f t="shared" si="8"/>
        <v>8766</v>
      </c>
      <c r="Z22" s="4">
        <f t="shared" si="18"/>
        <v>365.25</v>
      </c>
      <c r="AA22" s="4">
        <f t="shared" si="10"/>
        <v>1</v>
      </c>
      <c r="AB22" s="12">
        <v>0.494755</v>
      </c>
      <c r="AC22" s="62">
        <v>0.80307300000000004</v>
      </c>
      <c r="AD22" s="62">
        <v>0.73817100000000002</v>
      </c>
      <c r="AE22" s="62">
        <v>0.70559799999999995</v>
      </c>
      <c r="AF22" s="62">
        <v>0.68023900000000004</v>
      </c>
      <c r="AG22" s="62">
        <v>0.65741899999999998</v>
      </c>
      <c r="AH22" s="62">
        <v>0.63588199999999995</v>
      </c>
      <c r="AI22" s="62">
        <v>0.61526800000000004</v>
      </c>
      <c r="AJ22" s="62">
        <v>0.59550700000000001</v>
      </c>
      <c r="AK22" s="62">
        <v>0.57657199999999997</v>
      </c>
      <c r="AL22" s="62">
        <v>0.55844400000000005</v>
      </c>
      <c r="AP22" s="200"/>
      <c r="AQ22" s="4">
        <v>1</v>
      </c>
      <c r="AR22" s="151">
        <v>57408</v>
      </c>
      <c r="AS22" s="151">
        <v>1226.2</v>
      </c>
      <c r="AT22" s="151">
        <v>8682200</v>
      </c>
      <c r="AU22" s="151">
        <v>263690</v>
      </c>
      <c r="AV22" s="151">
        <v>134400</v>
      </c>
      <c r="AW22" s="151">
        <v>74934</v>
      </c>
      <c r="AX22" s="151">
        <v>48427</v>
      </c>
      <c r="AY22" s="167"/>
      <c r="BA22" s="67">
        <v>16</v>
      </c>
      <c r="BB22" s="101">
        <f t="shared" si="13"/>
        <v>95</v>
      </c>
      <c r="BC22" s="103">
        <v>1.3149090000000001</v>
      </c>
      <c r="BD22" s="68"/>
      <c r="BE22" s="64">
        <f t="shared" si="14"/>
        <v>95</v>
      </c>
      <c r="BF22" s="12">
        <v>1.2431669999999999</v>
      </c>
      <c r="BG22" s="68"/>
      <c r="BH22" s="64">
        <f t="shared" si="15"/>
        <v>95</v>
      </c>
      <c r="BI22" s="104">
        <v>1.1106579999999999</v>
      </c>
      <c r="BJ22" s="68">
        <v>16</v>
      </c>
      <c r="BK22" s="64">
        <f t="shared" si="16"/>
        <v>95</v>
      </c>
      <c r="BL22" s="104">
        <v>1.0224979999999999</v>
      </c>
      <c r="BM22" s="68">
        <v>16</v>
      </c>
      <c r="BN22" s="64">
        <f t="shared" si="17"/>
        <v>95</v>
      </c>
      <c r="BO22" s="103">
        <v>1.0197130000000001</v>
      </c>
      <c r="BR22" s="64">
        <f t="shared" si="12"/>
        <v>101.25</v>
      </c>
      <c r="BS22" s="18">
        <f t="shared" si="0"/>
        <v>179.36558129839997</v>
      </c>
      <c r="BT22" s="18">
        <f t="shared" si="1"/>
        <v>132.96931709949999</v>
      </c>
      <c r="BU22" s="18">
        <f t="shared" si="2"/>
        <v>88.943344314859999</v>
      </c>
      <c r="BV22" s="18">
        <f t="shared" si="3"/>
        <v>67.142365290000001</v>
      </c>
      <c r="BW22" s="18">
        <f t="shared" si="4"/>
        <v>58.496715612515004</v>
      </c>
    </row>
    <row r="23" spans="1:89" x14ac:dyDescent="0.25">
      <c r="A23" s="4"/>
      <c r="B23" s="4">
        <v>1</v>
      </c>
      <c r="C23" s="4">
        <v>18</v>
      </c>
      <c r="D23" s="4">
        <v>720</v>
      </c>
      <c r="E23" s="4">
        <f t="shared" si="5"/>
        <v>9486</v>
      </c>
      <c r="F23" s="4">
        <f t="shared" si="6"/>
        <v>395.25</v>
      </c>
      <c r="G23" s="4">
        <f t="shared" si="7"/>
        <v>1.0821355236139631</v>
      </c>
      <c r="H23" s="4">
        <v>1.0851443000000001</v>
      </c>
      <c r="I23" s="55">
        <v>0.91261970000000003</v>
      </c>
      <c r="J23" s="55">
        <v>0.95925009999999999</v>
      </c>
      <c r="K23" s="58">
        <v>0.98298220000000003</v>
      </c>
      <c r="L23" s="58">
        <v>1.0035946</v>
      </c>
      <c r="M23" s="55">
        <v>1.0233988999999999</v>
      </c>
      <c r="N23" s="55">
        <v>1.0430428</v>
      </c>
      <c r="O23" s="55">
        <v>1.0626321999999999</v>
      </c>
      <c r="P23" s="55">
        <v>1.0820695</v>
      </c>
      <c r="Q23" s="55">
        <v>1.10131</v>
      </c>
      <c r="R23" s="55">
        <v>1.1203053000000001</v>
      </c>
      <c r="S23" t="s">
        <v>243</v>
      </c>
      <c r="U23" s="4"/>
      <c r="V23" s="4">
        <v>1</v>
      </c>
      <c r="W23" s="4">
        <v>18</v>
      </c>
      <c r="X23" s="4">
        <v>720</v>
      </c>
      <c r="Y23" s="4">
        <f t="shared" si="8"/>
        <v>9486</v>
      </c>
      <c r="Z23" s="4">
        <f t="shared" si="18"/>
        <v>395.25</v>
      </c>
      <c r="AA23" s="4">
        <f t="shared" si="10"/>
        <v>1.0821355236139631</v>
      </c>
      <c r="AB23" s="12">
        <v>0.49478699999999998</v>
      </c>
      <c r="AC23" s="62">
        <v>0.80310300000000001</v>
      </c>
      <c r="AD23" s="62">
        <v>0.73816099999999996</v>
      </c>
      <c r="AE23" s="62">
        <v>0.705592</v>
      </c>
      <c r="AF23" s="62">
        <v>0.68023599999999995</v>
      </c>
      <c r="AG23" s="62">
        <v>0.65741700000000003</v>
      </c>
      <c r="AH23" s="62">
        <v>0.63588</v>
      </c>
      <c r="AI23" s="62">
        <v>0.61526599999999998</v>
      </c>
      <c r="AJ23" s="62">
        <v>0.59550700000000001</v>
      </c>
      <c r="AK23" s="62">
        <v>0.57657099999999994</v>
      </c>
      <c r="AL23" s="62">
        <v>0.55844300000000002</v>
      </c>
      <c r="AM23" t="s">
        <v>243</v>
      </c>
      <c r="AP23" s="200"/>
      <c r="AQ23" s="4">
        <v>3</v>
      </c>
      <c r="AR23" s="151">
        <v>47880</v>
      </c>
      <c r="AS23" s="151">
        <v>3347.7</v>
      </c>
      <c r="AT23" s="151">
        <v>8604200</v>
      </c>
      <c r="AU23" s="151">
        <v>228430</v>
      </c>
      <c r="AV23" s="151">
        <v>129850</v>
      </c>
      <c r="AW23" s="151">
        <v>78303</v>
      </c>
      <c r="AX23" s="151">
        <v>50688</v>
      </c>
      <c r="AY23" s="167"/>
      <c r="BA23" s="66">
        <v>17</v>
      </c>
      <c r="BB23" s="101">
        <f t="shared" si="13"/>
        <v>101.25</v>
      </c>
      <c r="BC23" s="103">
        <v>1.3679539999999999</v>
      </c>
      <c r="BD23" s="66"/>
      <c r="BE23" s="64">
        <f t="shared" si="14"/>
        <v>101.25</v>
      </c>
      <c r="BF23" s="12">
        <v>1.2825949999999999</v>
      </c>
      <c r="BG23" s="66"/>
      <c r="BH23" s="64">
        <f t="shared" si="15"/>
        <v>101.25</v>
      </c>
      <c r="BI23" s="104">
        <v>1.1132169999999999</v>
      </c>
      <c r="BJ23" s="66">
        <v>17</v>
      </c>
      <c r="BK23" s="64">
        <f t="shared" si="16"/>
        <v>101.25</v>
      </c>
      <c r="BL23" s="104">
        <v>1.0121100000000001</v>
      </c>
      <c r="BM23" s="66">
        <v>17</v>
      </c>
      <c r="BN23" s="64">
        <f t="shared" si="17"/>
        <v>101.25</v>
      </c>
      <c r="BO23" s="103">
        <v>0.99590829999999997</v>
      </c>
      <c r="BR23" s="64">
        <f t="shared" si="12"/>
        <v>107.5</v>
      </c>
      <c r="BS23" s="18">
        <f t="shared" si="0"/>
        <v>184.90236864759999</v>
      </c>
      <c r="BT23" s="18">
        <f t="shared" si="1"/>
        <v>136.27739013839999</v>
      </c>
      <c r="BU23" s="18">
        <f t="shared" si="2"/>
        <v>89.216913628780006</v>
      </c>
      <c r="BV23" s="18">
        <f t="shared" si="3"/>
        <v>66.757665428999999</v>
      </c>
      <c r="BW23" s="18">
        <f t="shared" si="4"/>
        <v>57.460200512280004</v>
      </c>
    </row>
    <row r="24" spans="1:89" x14ac:dyDescent="0.25">
      <c r="A24" s="4"/>
      <c r="B24" s="4">
        <v>2</v>
      </c>
      <c r="C24" s="4">
        <v>19</v>
      </c>
      <c r="D24" s="4">
        <v>720</v>
      </c>
      <c r="E24" s="4">
        <f t="shared" si="5"/>
        <v>10206</v>
      </c>
      <c r="F24" s="4">
        <f t="shared" si="6"/>
        <v>425.25</v>
      </c>
      <c r="G24" s="4">
        <f t="shared" si="7"/>
        <v>1.1642710472279261</v>
      </c>
      <c r="H24" s="4">
        <v>1.0796911</v>
      </c>
      <c r="I24" s="55">
        <v>0.90817820000000005</v>
      </c>
      <c r="J24" s="55">
        <v>0.95963949999999998</v>
      </c>
      <c r="K24" s="58">
        <v>0.9836435</v>
      </c>
      <c r="L24" s="58">
        <v>1.0039849999999999</v>
      </c>
      <c r="M24" s="55">
        <v>1.0234445000000001</v>
      </c>
      <c r="N24" s="55">
        <v>1.0426381</v>
      </c>
      <c r="O24" s="55">
        <v>1.0617899</v>
      </c>
      <c r="P24" s="55">
        <v>1.0808755000000001</v>
      </c>
      <c r="Q24" s="55">
        <v>1.0998627000000001</v>
      </c>
      <c r="R24" s="55">
        <v>1.1186332000000001</v>
      </c>
      <c r="U24" s="4"/>
      <c r="V24" s="4">
        <v>2</v>
      </c>
      <c r="W24" s="4">
        <v>19</v>
      </c>
      <c r="X24" s="4">
        <v>720</v>
      </c>
      <c r="Y24" s="4">
        <f t="shared" si="8"/>
        <v>10206</v>
      </c>
      <c r="Z24" s="4">
        <f t="shared" si="18"/>
        <v>425.25</v>
      </c>
      <c r="AA24" s="4">
        <f t="shared" si="10"/>
        <v>1.1642710472279261</v>
      </c>
      <c r="AB24" s="12">
        <v>0.49871199999999999</v>
      </c>
      <c r="AC24" s="62">
        <v>0.80608400000000002</v>
      </c>
      <c r="AD24" s="62">
        <v>0.73855800000000005</v>
      </c>
      <c r="AE24" s="62">
        <v>0.70570699999999997</v>
      </c>
      <c r="AF24" s="62">
        <v>0.68035500000000004</v>
      </c>
      <c r="AG24" s="62">
        <v>0.657613</v>
      </c>
      <c r="AH24" s="62">
        <v>0.63619199999999998</v>
      </c>
      <c r="AI24" s="62">
        <v>0.61568699999999998</v>
      </c>
      <c r="AJ24" s="62">
        <v>0.59600699999999995</v>
      </c>
      <c r="AK24" s="62">
        <v>0.577121</v>
      </c>
      <c r="AL24" s="62">
        <v>0.55902799999999997</v>
      </c>
      <c r="AP24" s="200"/>
      <c r="AQ24" s="4">
        <v>5</v>
      </c>
      <c r="AR24" s="151">
        <v>39389</v>
      </c>
      <c r="AS24" s="151">
        <v>5056.7</v>
      </c>
      <c r="AT24" s="151">
        <v>8523800</v>
      </c>
      <c r="AU24" s="151">
        <v>199220</v>
      </c>
      <c r="AV24" s="151">
        <v>123820</v>
      </c>
      <c r="AW24" s="151">
        <v>78127</v>
      </c>
      <c r="AX24" s="151">
        <v>53551</v>
      </c>
      <c r="AY24" s="167"/>
      <c r="BA24" s="67">
        <v>18</v>
      </c>
      <c r="BB24" s="101">
        <f t="shared" si="13"/>
        <v>107.5</v>
      </c>
      <c r="BC24" s="103">
        <v>1.4101809999999999</v>
      </c>
      <c r="BD24" s="68"/>
      <c r="BE24" s="64">
        <f t="shared" si="14"/>
        <v>107.5</v>
      </c>
      <c r="BF24" s="12">
        <v>1.3145039999999999</v>
      </c>
      <c r="BG24" s="68"/>
      <c r="BH24" s="64">
        <f t="shared" si="15"/>
        <v>107.5</v>
      </c>
      <c r="BI24" s="104">
        <v>1.116641</v>
      </c>
      <c r="BJ24" s="68">
        <v>18</v>
      </c>
      <c r="BK24" s="64">
        <f t="shared" si="16"/>
        <v>107.5</v>
      </c>
      <c r="BL24" s="104">
        <v>1.006311</v>
      </c>
      <c r="BM24" s="68">
        <v>18</v>
      </c>
      <c r="BN24" s="64">
        <f t="shared" si="17"/>
        <v>107.5</v>
      </c>
      <c r="BO24" s="103">
        <v>0.97826159999999995</v>
      </c>
      <c r="BR24" s="64">
        <f t="shared" si="12"/>
        <v>113.75</v>
      </c>
      <c r="BS24" s="18">
        <f t="shared" si="0"/>
        <v>188.95370204839998</v>
      </c>
      <c r="BT24" s="18">
        <f t="shared" si="1"/>
        <v>138.7216672401</v>
      </c>
      <c r="BU24" s="18">
        <f t="shared" si="2"/>
        <v>89.492160791879996</v>
      </c>
      <c r="BV24" s="18">
        <f t="shared" si="3"/>
        <v>66.608270000999994</v>
      </c>
      <c r="BW24" s="18">
        <f t="shared" si="4"/>
        <v>56.73344699263</v>
      </c>
    </row>
    <row r="25" spans="1:89" x14ac:dyDescent="0.25">
      <c r="A25" s="4"/>
      <c r="B25" s="4">
        <v>3</v>
      </c>
      <c r="C25" s="4">
        <v>20</v>
      </c>
      <c r="D25" s="4">
        <v>720</v>
      </c>
      <c r="E25" s="4">
        <f t="shared" si="5"/>
        <v>10926</v>
      </c>
      <c r="F25" s="4">
        <f t="shared" si="6"/>
        <v>455.25</v>
      </c>
      <c r="G25" s="4">
        <f t="shared" si="7"/>
        <v>1.2464065708418892</v>
      </c>
      <c r="H25" s="4">
        <v>1.0745792000000001</v>
      </c>
      <c r="I25" s="55">
        <v>0.90453340000000004</v>
      </c>
      <c r="J25" s="55">
        <v>0.95827560000000001</v>
      </c>
      <c r="K25" s="58">
        <v>0.98386649999999998</v>
      </c>
      <c r="L25" s="58">
        <v>1.0041343</v>
      </c>
      <c r="M25" s="55">
        <v>1.0232406999999999</v>
      </c>
      <c r="N25" s="55">
        <v>1.0421115000000001</v>
      </c>
      <c r="O25" s="55">
        <v>1.060913</v>
      </c>
      <c r="P25" s="55">
        <v>1.0797048</v>
      </c>
      <c r="Q25" s="55">
        <v>1.0984315</v>
      </c>
      <c r="R25" s="55">
        <v>1.1170224</v>
      </c>
      <c r="U25" s="4"/>
      <c r="V25" s="4">
        <v>3</v>
      </c>
      <c r="W25" s="4">
        <v>20</v>
      </c>
      <c r="X25" s="4">
        <v>720</v>
      </c>
      <c r="Y25" s="4">
        <f t="shared" si="8"/>
        <v>10926</v>
      </c>
      <c r="Z25" s="4">
        <f t="shared" si="18"/>
        <v>455.25</v>
      </c>
      <c r="AA25" s="4">
        <f t="shared" si="10"/>
        <v>1.2464065708418892</v>
      </c>
      <c r="AB25" s="12">
        <v>0.50217500000000004</v>
      </c>
      <c r="AC25" s="62">
        <v>0.80828</v>
      </c>
      <c r="AD25" s="62">
        <v>0.73957300000000004</v>
      </c>
      <c r="AE25" s="62">
        <v>0.70591800000000005</v>
      </c>
      <c r="AF25" s="62">
        <v>0.68052199999999996</v>
      </c>
      <c r="AG25" s="62">
        <v>0.65787399999999996</v>
      </c>
      <c r="AH25" s="62">
        <v>0.63653000000000004</v>
      </c>
      <c r="AI25" s="62">
        <v>0.616116</v>
      </c>
      <c r="AJ25" s="62">
        <v>0.59650199999999998</v>
      </c>
      <c r="AK25" s="62">
        <v>0.57766499999999998</v>
      </c>
      <c r="AL25" s="62">
        <v>0.55959999999999999</v>
      </c>
      <c r="AP25" s="200"/>
      <c r="AQ25" s="4">
        <v>7</v>
      </c>
      <c r="AR25" s="151">
        <v>31842</v>
      </c>
      <c r="AS25" s="151">
        <v>6421.2</v>
      </c>
      <c r="AT25" s="151">
        <v>8441000</v>
      </c>
      <c r="AU25" s="151">
        <v>174920</v>
      </c>
      <c r="AV25" s="151">
        <v>116840</v>
      </c>
      <c r="AW25" s="151">
        <v>75691</v>
      </c>
      <c r="AX25" s="151">
        <v>56636</v>
      </c>
      <c r="AY25" s="167"/>
      <c r="BA25" s="66">
        <v>19</v>
      </c>
      <c r="BB25" s="101">
        <f t="shared" si="13"/>
        <v>113.75</v>
      </c>
      <c r="BC25" s="103">
        <v>1.441079</v>
      </c>
      <c r="BD25" s="66"/>
      <c r="BE25" s="64">
        <f t="shared" si="14"/>
        <v>113.75</v>
      </c>
      <c r="BF25" s="12">
        <v>1.3380810000000001</v>
      </c>
      <c r="BG25" s="66"/>
      <c r="BH25" s="64">
        <f t="shared" si="15"/>
        <v>113.75</v>
      </c>
      <c r="BI25" s="104">
        <v>1.1200859999999999</v>
      </c>
      <c r="BJ25" s="66">
        <v>19</v>
      </c>
      <c r="BK25" s="64">
        <f t="shared" si="16"/>
        <v>113.75</v>
      </c>
      <c r="BL25" s="104">
        <v>1.004059</v>
      </c>
      <c r="BM25" s="66">
        <v>19</v>
      </c>
      <c r="BN25" s="64">
        <f t="shared" si="17"/>
        <v>113.75</v>
      </c>
      <c r="BO25" s="103">
        <v>0.96588859999999999</v>
      </c>
      <c r="BR25" s="64">
        <f t="shared" si="12"/>
        <v>120</v>
      </c>
      <c r="BS25" s="18">
        <f t="shared" si="0"/>
        <v>191.4624133552</v>
      </c>
      <c r="BT25" s="18">
        <f t="shared" si="1"/>
        <v>140.23082199980001</v>
      </c>
      <c r="BU25" s="18">
        <f t="shared" si="2"/>
        <v>89.717152377160005</v>
      </c>
      <c r="BV25" s="18">
        <f t="shared" si="3"/>
        <v>66.643296992999993</v>
      </c>
      <c r="BW25" s="18">
        <f t="shared" si="4"/>
        <v>56.277612242400004</v>
      </c>
    </row>
    <row r="26" spans="1:89" x14ac:dyDescent="0.25">
      <c r="A26" s="4"/>
      <c r="B26" s="4">
        <v>4</v>
      </c>
      <c r="C26" s="4">
        <v>21</v>
      </c>
      <c r="D26" s="4">
        <v>720</v>
      </c>
      <c r="E26" s="4">
        <f t="shared" si="5"/>
        <v>11646</v>
      </c>
      <c r="F26" s="4">
        <f t="shared" si="6"/>
        <v>485.25</v>
      </c>
      <c r="G26" s="4">
        <f t="shared" si="7"/>
        <v>1.3285420944558521</v>
      </c>
      <c r="H26" s="4">
        <v>1.0712229</v>
      </c>
      <c r="I26" s="55">
        <v>0.90250189999999997</v>
      </c>
      <c r="J26" s="55">
        <v>0.95650349999999995</v>
      </c>
      <c r="K26" s="58">
        <v>0.98363809999999996</v>
      </c>
      <c r="L26" s="58">
        <v>1.0039077000000001</v>
      </c>
      <c r="M26" s="55">
        <v>1.0229162000000001</v>
      </c>
      <c r="N26" s="55">
        <v>1.0415988</v>
      </c>
      <c r="O26" s="55">
        <v>1.0601289</v>
      </c>
      <c r="P26" s="55">
        <v>1.0786344000000001</v>
      </c>
      <c r="Q26" s="55">
        <v>1.0971078000000001</v>
      </c>
      <c r="R26" s="55">
        <v>1.1154929</v>
      </c>
      <c r="U26" s="4"/>
      <c r="V26" s="4">
        <v>4</v>
      </c>
      <c r="W26" s="4">
        <v>21</v>
      </c>
      <c r="X26" s="4">
        <v>720</v>
      </c>
      <c r="Y26" s="4">
        <f t="shared" si="8"/>
        <v>11646</v>
      </c>
      <c r="Z26" s="4">
        <f t="shared" si="18"/>
        <v>485.25</v>
      </c>
      <c r="AA26" s="4">
        <f t="shared" si="10"/>
        <v>1.3285420944558521</v>
      </c>
      <c r="AB26" s="12">
        <v>0.50441499999999995</v>
      </c>
      <c r="AC26" s="62">
        <v>0.80869599999999997</v>
      </c>
      <c r="AD26" s="62">
        <v>0.74063199999999996</v>
      </c>
      <c r="AE26" s="62">
        <v>0.70623800000000003</v>
      </c>
      <c r="AF26" s="62">
        <v>0.68078799999999995</v>
      </c>
      <c r="AG26" s="62">
        <v>0.65815100000000004</v>
      </c>
      <c r="AH26" s="62">
        <v>0.63685599999999998</v>
      </c>
      <c r="AI26" s="62">
        <v>0.61651299999999998</v>
      </c>
      <c r="AJ26" s="62">
        <v>0.59696800000000005</v>
      </c>
      <c r="AK26" s="62">
        <v>0.57818700000000001</v>
      </c>
      <c r="AL26" s="62">
        <v>0.56015599999999999</v>
      </c>
      <c r="AO26" s="146">
        <f>AR26/(AR26+AT26)</f>
        <v>7.1096968507489205E-3</v>
      </c>
      <c r="AP26" s="200" t="s">
        <v>232</v>
      </c>
      <c r="AQ26" s="4">
        <v>0</v>
      </c>
      <c r="AR26" s="151">
        <v>61148</v>
      </c>
      <c r="AS26" s="151">
        <v>0</v>
      </c>
      <c r="AT26" s="151">
        <v>8539500</v>
      </c>
      <c r="AU26" s="151">
        <v>379310</v>
      </c>
      <c r="AV26" s="151">
        <v>181020</v>
      </c>
      <c r="AW26" s="151">
        <v>94675</v>
      </c>
      <c r="AX26" s="151">
        <v>63886</v>
      </c>
      <c r="AY26" s="167"/>
      <c r="BA26" s="67">
        <v>20</v>
      </c>
      <c r="BB26" s="101">
        <f t="shared" si="13"/>
        <v>120</v>
      </c>
      <c r="BC26" s="103">
        <v>1.4602120000000001</v>
      </c>
      <c r="BD26" s="68"/>
      <c r="BE26" s="64">
        <f t="shared" si="14"/>
        <v>120</v>
      </c>
      <c r="BF26" s="12">
        <v>1.352638</v>
      </c>
      <c r="BG26" s="68"/>
      <c r="BH26" s="64">
        <f t="shared" si="15"/>
        <v>120</v>
      </c>
      <c r="BI26" s="104">
        <v>1.1229020000000001</v>
      </c>
      <c r="BJ26" s="68">
        <v>20</v>
      </c>
      <c r="BK26" s="64">
        <f t="shared" si="16"/>
        <v>120</v>
      </c>
      <c r="BL26" s="104">
        <v>1.0045869999999999</v>
      </c>
      <c r="BM26" s="68">
        <v>20</v>
      </c>
      <c r="BN26" s="64">
        <f t="shared" si="17"/>
        <v>120</v>
      </c>
      <c r="BO26" s="103">
        <v>0.95812799999999998</v>
      </c>
      <c r="BR26" s="64">
        <f t="shared" si="12"/>
        <v>126.25</v>
      </c>
      <c r="BS26" s="18">
        <f t="shared" si="0"/>
        <v>192.38365966480001</v>
      </c>
      <c r="BT26" s="18">
        <f t="shared" si="1"/>
        <v>140.43764783929998</v>
      </c>
      <c r="BU26" s="18">
        <f t="shared" si="2"/>
        <v>89.635976435879996</v>
      </c>
      <c r="BV26" s="18">
        <f t="shared" si="3"/>
        <v>66.632749092000012</v>
      </c>
      <c r="BW26" s="18">
        <f t="shared" si="4"/>
        <v>55.901630511645003</v>
      </c>
    </row>
    <row r="27" spans="1:89" x14ac:dyDescent="0.25">
      <c r="A27" s="4"/>
      <c r="B27" s="4">
        <v>5</v>
      </c>
      <c r="C27" s="4">
        <v>22</v>
      </c>
      <c r="D27" s="4">
        <v>720</v>
      </c>
      <c r="E27" s="4">
        <f t="shared" si="5"/>
        <v>12366</v>
      </c>
      <c r="F27" s="4">
        <f t="shared" si="6"/>
        <v>515.25</v>
      </c>
      <c r="G27" s="4">
        <f t="shared" si="7"/>
        <v>1.4106776180698153</v>
      </c>
      <c r="H27" s="4">
        <v>1.0697478</v>
      </c>
      <c r="I27" s="58">
        <v>0.90199320000000005</v>
      </c>
      <c r="J27" s="55">
        <v>0.95456490000000005</v>
      </c>
      <c r="K27" s="58">
        <v>0.98281640000000003</v>
      </c>
      <c r="L27" s="58">
        <v>1.0033723000000001</v>
      </c>
      <c r="M27" s="55">
        <v>1.0223819000000001</v>
      </c>
      <c r="N27" s="55">
        <v>1.0408980999999999</v>
      </c>
      <c r="O27" s="55">
        <v>1.0592264</v>
      </c>
      <c r="P27" s="55">
        <v>1.0775132000000001</v>
      </c>
      <c r="Q27" s="55">
        <v>1.0957842</v>
      </c>
      <c r="R27" s="55">
        <v>1.1139889999999999</v>
      </c>
      <c r="U27" s="4"/>
      <c r="V27" s="4">
        <v>5</v>
      </c>
      <c r="W27" s="4">
        <v>22</v>
      </c>
      <c r="X27" s="4">
        <v>720</v>
      </c>
      <c r="Y27" s="4">
        <f t="shared" si="8"/>
        <v>12366</v>
      </c>
      <c r="Z27" s="4">
        <f t="shared" si="18"/>
        <v>515.25</v>
      </c>
      <c r="AA27" s="4">
        <f t="shared" si="10"/>
        <v>1.4106776180698153</v>
      </c>
      <c r="AB27" s="12">
        <v>0.50558099999999995</v>
      </c>
      <c r="AC27" s="62">
        <v>0.80781899999999995</v>
      </c>
      <c r="AD27" s="62">
        <v>0.74153400000000003</v>
      </c>
      <c r="AE27" s="62">
        <v>0.70670100000000002</v>
      </c>
      <c r="AF27" s="62">
        <v>0.68112300000000003</v>
      </c>
      <c r="AG27" s="62">
        <v>0.658474</v>
      </c>
      <c r="AH27" s="62">
        <v>0.63722699999999999</v>
      </c>
      <c r="AI27" s="62">
        <v>0.61693799999999999</v>
      </c>
      <c r="AJ27" s="62">
        <v>0.597445</v>
      </c>
      <c r="AK27" s="62">
        <v>0.57870299999999997</v>
      </c>
      <c r="AL27" s="62">
        <v>0.56070600000000004</v>
      </c>
      <c r="AP27" s="200"/>
      <c r="AQ27" s="4">
        <v>1</v>
      </c>
      <c r="AR27" s="151">
        <v>57072</v>
      </c>
      <c r="AS27" s="151">
        <v>1055.7</v>
      </c>
      <c r="AT27" s="151">
        <v>8505700</v>
      </c>
      <c r="AU27" s="151">
        <v>355760</v>
      </c>
      <c r="AV27" s="151">
        <v>179350</v>
      </c>
      <c r="AW27" s="151">
        <v>98294</v>
      </c>
      <c r="AX27" s="151">
        <v>64155</v>
      </c>
      <c r="AY27" s="167"/>
      <c r="BA27" s="66">
        <v>21</v>
      </c>
      <c r="BB27" s="101">
        <f t="shared" si="13"/>
        <v>126.25</v>
      </c>
      <c r="BC27" s="103">
        <v>1.467238</v>
      </c>
      <c r="BD27" s="66"/>
      <c r="BE27" s="64">
        <f t="shared" si="14"/>
        <v>126.25</v>
      </c>
      <c r="BF27" s="12">
        <v>1.354633</v>
      </c>
      <c r="BG27" s="66"/>
      <c r="BH27" s="64">
        <f t="shared" si="15"/>
        <v>126.25</v>
      </c>
      <c r="BI27" s="104">
        <v>1.1218859999999999</v>
      </c>
      <c r="BJ27" s="66">
        <v>21</v>
      </c>
      <c r="BK27" s="64">
        <f t="shared" si="16"/>
        <v>126.25</v>
      </c>
      <c r="BL27" s="104">
        <v>1.0044280000000001</v>
      </c>
      <c r="BM27" s="66">
        <v>21</v>
      </c>
      <c r="BN27" s="64">
        <f t="shared" si="17"/>
        <v>126.25</v>
      </c>
      <c r="BO27" s="103">
        <v>0.95172690000000004</v>
      </c>
      <c r="BR27" s="64">
        <f t="shared" si="12"/>
        <v>132.5</v>
      </c>
      <c r="BS27" s="18">
        <f t="shared" si="0"/>
        <v>191.68557891439997</v>
      </c>
      <c r="BT27" s="18">
        <f t="shared" si="1"/>
        <v>140.11543495250001</v>
      </c>
      <c r="BU27" s="18">
        <f t="shared" si="2"/>
        <v>89.928641271420005</v>
      </c>
      <c r="BV27" s="18">
        <f t="shared" si="3"/>
        <v>67.139181018000002</v>
      </c>
      <c r="BW27" s="18">
        <f t="shared" si="4"/>
        <v>56.087879823490006</v>
      </c>
    </row>
    <row r="28" spans="1:89" x14ac:dyDescent="0.25">
      <c r="A28" s="4"/>
      <c r="B28" s="4">
        <v>6</v>
      </c>
      <c r="C28" s="4">
        <v>23</v>
      </c>
      <c r="D28" s="4">
        <v>720</v>
      </c>
      <c r="E28" s="4">
        <f t="shared" si="5"/>
        <v>13086</v>
      </c>
      <c r="F28" s="4">
        <f t="shared" si="6"/>
        <v>545.25</v>
      </c>
      <c r="G28" s="4">
        <f t="shared" si="7"/>
        <v>1.4928131416837782</v>
      </c>
      <c r="H28" s="4">
        <v>1.0698274000000001</v>
      </c>
      <c r="I28" s="58">
        <v>0.90223200000000003</v>
      </c>
      <c r="J28" s="56">
        <v>0.95283119999999999</v>
      </c>
      <c r="K28" s="58">
        <v>0.98184490000000002</v>
      </c>
      <c r="L28" s="58">
        <v>1.0026600000000001</v>
      </c>
      <c r="M28" s="55">
        <v>1.0216259000000001</v>
      </c>
      <c r="N28" s="55">
        <v>1.0400794</v>
      </c>
      <c r="O28" s="55">
        <v>1.0583073000000001</v>
      </c>
      <c r="P28" s="55">
        <v>1.0764294000000001</v>
      </c>
      <c r="Q28" s="55">
        <v>1.0945115000000001</v>
      </c>
      <c r="R28" s="55">
        <v>1.1125399</v>
      </c>
      <c r="U28" s="4"/>
      <c r="V28" s="4">
        <v>6</v>
      </c>
      <c r="W28" s="4">
        <v>23</v>
      </c>
      <c r="X28" s="4">
        <v>720</v>
      </c>
      <c r="Y28" s="4">
        <f t="shared" si="8"/>
        <v>13086</v>
      </c>
      <c r="Z28" s="4">
        <f t="shared" si="18"/>
        <v>545.25</v>
      </c>
      <c r="AA28" s="13">
        <f t="shared" si="10"/>
        <v>1.4928131416837782</v>
      </c>
      <c r="AB28" s="12">
        <v>0.50606300000000004</v>
      </c>
      <c r="AC28" s="62">
        <v>0.80650500000000003</v>
      </c>
      <c r="AD28" s="63">
        <v>0.74216800000000005</v>
      </c>
      <c r="AE28" s="62">
        <v>0.70716800000000002</v>
      </c>
      <c r="AF28" s="62">
        <v>0.68150699999999997</v>
      </c>
      <c r="AG28" s="62">
        <v>0.65885700000000003</v>
      </c>
      <c r="AH28" s="62">
        <v>0.63762600000000003</v>
      </c>
      <c r="AI28" s="62">
        <v>0.61736000000000002</v>
      </c>
      <c r="AJ28" s="62">
        <v>0.59790699999999997</v>
      </c>
      <c r="AK28" s="62">
        <v>0.57920499999999997</v>
      </c>
      <c r="AL28" s="62">
        <v>0.56123800000000001</v>
      </c>
      <c r="AP28" s="200"/>
      <c r="AQ28" s="4">
        <v>3</v>
      </c>
      <c r="AR28" s="151">
        <v>49195</v>
      </c>
      <c r="AS28" s="151">
        <v>2936.3</v>
      </c>
      <c r="AT28" s="151">
        <v>8433300</v>
      </c>
      <c r="AU28" s="151">
        <v>313360</v>
      </c>
      <c r="AV28" s="151">
        <v>174190</v>
      </c>
      <c r="AW28" s="151">
        <v>101840</v>
      </c>
      <c r="AX28" s="151">
        <v>65671</v>
      </c>
      <c r="AY28" s="167"/>
      <c r="BA28" s="67">
        <v>22</v>
      </c>
      <c r="BB28" s="101">
        <f t="shared" si="13"/>
        <v>132.5</v>
      </c>
      <c r="BC28" s="103">
        <v>1.4619139999999999</v>
      </c>
      <c r="BD28" s="68"/>
      <c r="BE28" s="64">
        <f t="shared" si="14"/>
        <v>132.5</v>
      </c>
      <c r="BF28" s="12">
        <v>1.3515250000000001</v>
      </c>
      <c r="BG28" s="68"/>
      <c r="BH28" s="64">
        <f t="shared" si="15"/>
        <v>132.5</v>
      </c>
      <c r="BI28" s="104">
        <v>1.1255489999999999</v>
      </c>
      <c r="BJ28" s="68">
        <v>22</v>
      </c>
      <c r="BK28" s="64">
        <f t="shared" si="16"/>
        <v>132.5</v>
      </c>
      <c r="BL28" s="104">
        <v>1.012062</v>
      </c>
      <c r="BM28" s="68">
        <v>22</v>
      </c>
      <c r="BN28" s="64">
        <f t="shared" si="17"/>
        <v>132.5</v>
      </c>
      <c r="BO28" s="103">
        <v>0.95489780000000002</v>
      </c>
      <c r="BR28" s="64">
        <f t="shared" si="12"/>
        <v>138.75</v>
      </c>
      <c r="BS28" s="18">
        <f t="shared" si="0"/>
        <v>189.35086331679997</v>
      </c>
      <c r="BT28" s="18">
        <f t="shared" si="1"/>
        <v>138.92351681880001</v>
      </c>
      <c r="BU28" s="18">
        <f t="shared" si="2"/>
        <v>90.361606257440002</v>
      </c>
      <c r="BV28" s="18">
        <f t="shared" si="3"/>
        <v>67.958799362999997</v>
      </c>
      <c r="BW28" s="18">
        <f t="shared" si="4"/>
        <v>56.660677661385009</v>
      </c>
    </row>
    <row r="29" spans="1:89" x14ac:dyDescent="0.25">
      <c r="A29" s="4"/>
      <c r="B29" s="4">
        <v>7</v>
      </c>
      <c r="C29" s="4">
        <v>24</v>
      </c>
      <c r="D29" s="4">
        <v>720</v>
      </c>
      <c r="E29" s="4">
        <f t="shared" si="5"/>
        <v>13806</v>
      </c>
      <c r="F29" s="4">
        <f t="shared" si="6"/>
        <v>575.25</v>
      </c>
      <c r="G29" s="4">
        <f t="shared" si="7"/>
        <v>1.5749486652977414</v>
      </c>
      <c r="H29" s="13">
        <v>1.0695101</v>
      </c>
      <c r="I29" s="55">
        <v>0.90224159999999998</v>
      </c>
      <c r="J29" s="55">
        <v>0.95120159999999998</v>
      </c>
      <c r="K29" s="58">
        <v>0.98048999999999997</v>
      </c>
      <c r="L29" s="58">
        <v>1.0016776000000001</v>
      </c>
      <c r="M29" s="55">
        <v>1.0207101999999999</v>
      </c>
      <c r="N29" s="55">
        <v>1.0391518</v>
      </c>
      <c r="O29" s="55">
        <v>1.057302</v>
      </c>
      <c r="P29" s="55">
        <v>1.0752961999999999</v>
      </c>
      <c r="Q29" s="55">
        <v>1.0932158999999999</v>
      </c>
      <c r="R29" s="55">
        <v>1.1110897</v>
      </c>
      <c r="U29" s="4"/>
      <c r="V29" s="4">
        <v>7</v>
      </c>
      <c r="W29" s="4">
        <v>24</v>
      </c>
      <c r="X29" s="4">
        <v>720</v>
      </c>
      <c r="Y29" s="4">
        <f t="shared" si="8"/>
        <v>13806</v>
      </c>
      <c r="Z29" s="4">
        <f t="shared" si="18"/>
        <v>575.25</v>
      </c>
      <c r="AA29" s="13">
        <f t="shared" si="10"/>
        <v>1.5749486652977414</v>
      </c>
      <c r="AB29" s="95">
        <v>0.50723499999999999</v>
      </c>
      <c r="AC29" s="62">
        <v>0.80616500000000002</v>
      </c>
      <c r="AD29" s="62">
        <v>0.74271900000000002</v>
      </c>
      <c r="AE29" s="62">
        <v>0.70773200000000003</v>
      </c>
      <c r="AF29" s="62">
        <v>0.68194100000000002</v>
      </c>
      <c r="AG29" s="62">
        <v>0.65926399999999996</v>
      </c>
      <c r="AH29" s="62">
        <v>0.63803900000000002</v>
      </c>
      <c r="AI29" s="62">
        <v>0.61779600000000001</v>
      </c>
      <c r="AJ29" s="62">
        <v>0.59837700000000005</v>
      </c>
      <c r="AK29" s="62">
        <v>0.57971200000000001</v>
      </c>
      <c r="AL29" s="62">
        <v>0.56177200000000005</v>
      </c>
      <c r="AP29" s="200"/>
      <c r="AQ29" s="4">
        <v>5</v>
      </c>
      <c r="AR29" s="151">
        <v>42037</v>
      </c>
      <c r="AS29" s="151">
        <v>4496.1000000000004</v>
      </c>
      <c r="AT29" s="151">
        <v>8358800</v>
      </c>
      <c r="AU29" s="151">
        <v>276790</v>
      </c>
      <c r="AV29" s="151">
        <v>167460</v>
      </c>
      <c r="AW29" s="151">
        <v>102180</v>
      </c>
      <c r="AX29" s="151">
        <v>67823</v>
      </c>
      <c r="AY29" s="167"/>
      <c r="BA29" s="66">
        <v>23</v>
      </c>
      <c r="BB29" s="101">
        <f t="shared" si="13"/>
        <v>138.75</v>
      </c>
      <c r="BC29" s="103">
        <v>1.4441079999999999</v>
      </c>
      <c r="BD29" s="66"/>
      <c r="BE29" s="64">
        <f t="shared" si="14"/>
        <v>138.75</v>
      </c>
      <c r="BF29" s="12">
        <v>1.340028</v>
      </c>
      <c r="BG29" s="66"/>
      <c r="BH29" s="64">
        <f t="shared" si="15"/>
        <v>138.75</v>
      </c>
      <c r="BI29" s="104">
        <v>1.130968</v>
      </c>
      <c r="BJ29" s="66">
        <v>23</v>
      </c>
      <c r="BK29" s="64">
        <f t="shared" si="16"/>
        <v>138.75</v>
      </c>
      <c r="BL29" s="104">
        <v>1.0244169999999999</v>
      </c>
      <c r="BM29" s="66">
        <v>23</v>
      </c>
      <c r="BN29" s="64">
        <f t="shared" si="17"/>
        <v>138.75</v>
      </c>
      <c r="BO29" s="103">
        <v>0.96464970000000005</v>
      </c>
      <c r="BR29" s="64">
        <f t="shared" si="12"/>
        <v>145</v>
      </c>
      <c r="BS29" s="18">
        <f t="shared" si="0"/>
        <v>185.37754607799999</v>
      </c>
      <c r="BT29" s="18">
        <f t="shared" si="1"/>
        <v>136.84509855799999</v>
      </c>
      <c r="BU29" s="18">
        <f t="shared" si="2"/>
        <v>90.928958973020002</v>
      </c>
      <c r="BV29" s="18">
        <f t="shared" si="3"/>
        <v>69.09439036500001</v>
      </c>
      <c r="BW29" s="18">
        <f t="shared" si="4"/>
        <v>57.616517423445003</v>
      </c>
    </row>
    <row r="30" spans="1:89" x14ac:dyDescent="0.25">
      <c r="A30" s="4"/>
      <c r="B30" s="4">
        <v>8</v>
      </c>
      <c r="C30" s="4">
        <v>25</v>
      </c>
      <c r="D30" s="4">
        <v>720</v>
      </c>
      <c r="E30" s="4">
        <f t="shared" si="5"/>
        <v>14526</v>
      </c>
      <c r="F30" s="4">
        <f t="shared" si="6"/>
        <v>605.25</v>
      </c>
      <c r="G30" s="4">
        <f t="shared" si="7"/>
        <v>1.6570841889117043</v>
      </c>
      <c r="H30" s="4">
        <v>1.0673044</v>
      </c>
      <c r="I30" s="55">
        <v>0.90168230000000005</v>
      </c>
      <c r="J30" s="55">
        <v>0.94981289999999996</v>
      </c>
      <c r="K30" s="58">
        <v>0.9789987</v>
      </c>
      <c r="L30" s="57">
        <v>1.0006155999999999</v>
      </c>
      <c r="M30" s="55">
        <v>1.0197101</v>
      </c>
      <c r="N30" s="55">
        <v>1.0381351000000001</v>
      </c>
      <c r="O30" s="55">
        <v>1.0562233999999999</v>
      </c>
      <c r="P30" s="55">
        <v>1.0741459</v>
      </c>
      <c r="Q30" s="55">
        <v>1.0919591</v>
      </c>
      <c r="R30" s="55">
        <v>1.1096978</v>
      </c>
      <c r="U30" s="4"/>
      <c r="V30" s="4">
        <v>8</v>
      </c>
      <c r="W30" s="4">
        <v>25</v>
      </c>
      <c r="X30" s="4">
        <v>720</v>
      </c>
      <c r="Y30" s="4">
        <f t="shared" si="8"/>
        <v>14526</v>
      </c>
      <c r="Z30" s="4">
        <f t="shared" si="18"/>
        <v>605.25</v>
      </c>
      <c r="AA30" s="13">
        <f t="shared" si="10"/>
        <v>1.6570841889117043</v>
      </c>
      <c r="AB30" s="12">
        <v>0.50968100000000005</v>
      </c>
      <c r="AC30" s="62">
        <v>0.80624899999999999</v>
      </c>
      <c r="AD30" s="62">
        <v>0.74313200000000001</v>
      </c>
      <c r="AE30" s="62">
        <v>0.70830099999999996</v>
      </c>
      <c r="AF30" s="62">
        <v>0.682361</v>
      </c>
      <c r="AG30" s="62">
        <v>0.65966800000000003</v>
      </c>
      <c r="AH30" s="62">
        <v>0.63846000000000003</v>
      </c>
      <c r="AI30" s="62">
        <v>0.61824599999999996</v>
      </c>
      <c r="AJ30" s="62">
        <v>0.59884899999999996</v>
      </c>
      <c r="AK30" s="62">
        <v>0.58020799999999995</v>
      </c>
      <c r="AL30" s="62">
        <v>0.56229300000000004</v>
      </c>
      <c r="AP30" s="200"/>
      <c r="AQ30" s="4">
        <v>7</v>
      </c>
      <c r="AR30" s="151">
        <v>35517</v>
      </c>
      <c r="AS30" s="151">
        <v>5791.4</v>
      </c>
      <c r="AT30" s="151">
        <v>8282300</v>
      </c>
      <c r="AU30" s="151">
        <v>245070</v>
      </c>
      <c r="AV30" s="151">
        <v>159610</v>
      </c>
      <c r="AW30" s="151">
        <v>100310</v>
      </c>
      <c r="AX30" s="151">
        <v>70308</v>
      </c>
      <c r="AY30" s="167"/>
      <c r="BA30" s="67">
        <v>24</v>
      </c>
      <c r="BB30" s="101">
        <f t="shared" si="13"/>
        <v>145</v>
      </c>
      <c r="BC30" s="103">
        <v>1.413805</v>
      </c>
      <c r="BD30" s="68"/>
      <c r="BE30" s="64">
        <f t="shared" si="14"/>
        <v>145</v>
      </c>
      <c r="BF30" s="12">
        <v>1.3199799999999999</v>
      </c>
      <c r="BG30" s="68"/>
      <c r="BH30" s="64">
        <f t="shared" si="15"/>
        <v>145</v>
      </c>
      <c r="BI30" s="104">
        <v>1.138069</v>
      </c>
      <c r="BJ30" s="68">
        <v>24</v>
      </c>
      <c r="BK30" s="64">
        <f t="shared" si="16"/>
        <v>145</v>
      </c>
      <c r="BL30" s="104">
        <v>1.0415350000000001</v>
      </c>
      <c r="BM30" s="68">
        <v>24</v>
      </c>
      <c r="BN30" s="64">
        <f t="shared" si="17"/>
        <v>145</v>
      </c>
      <c r="BO30" s="103">
        <v>0.98092290000000004</v>
      </c>
      <c r="BR30" s="64">
        <f t="shared" si="12"/>
        <v>151.25</v>
      </c>
      <c r="BS30" s="18">
        <f t="shared" si="0"/>
        <v>179.77991923439998</v>
      </c>
      <c r="BT30" s="18">
        <f t="shared" si="1"/>
        <v>133.8913767569</v>
      </c>
      <c r="BU30" s="18">
        <f t="shared" si="2"/>
        <v>91.635493272960005</v>
      </c>
      <c r="BV30" s="18">
        <f t="shared" si="3"/>
        <v>70.565524029000002</v>
      </c>
      <c r="BW30" s="18">
        <f t="shared" si="4"/>
        <v>58.964891016949998</v>
      </c>
    </row>
    <row r="31" spans="1:89" x14ac:dyDescent="0.25">
      <c r="A31" s="4"/>
      <c r="B31" s="4">
        <v>9</v>
      </c>
      <c r="C31" s="4">
        <v>26</v>
      </c>
      <c r="D31" s="4">
        <v>720</v>
      </c>
      <c r="E31" s="4">
        <f t="shared" si="5"/>
        <v>15246</v>
      </c>
      <c r="F31" s="4">
        <f t="shared" si="6"/>
        <v>635.25</v>
      </c>
      <c r="G31" s="4">
        <f t="shared" si="7"/>
        <v>1.7392197125256674</v>
      </c>
      <c r="H31" s="13">
        <v>1.0648493999999999</v>
      </c>
      <c r="I31" s="58">
        <v>0.89997170000000004</v>
      </c>
      <c r="J31" s="58">
        <v>0.94854859999999996</v>
      </c>
      <c r="K31" s="58">
        <v>0.97754870000000005</v>
      </c>
      <c r="L31" s="58">
        <v>0.99937529999999997</v>
      </c>
      <c r="M31" s="58">
        <v>1.0185107</v>
      </c>
      <c r="N31" s="58">
        <v>1.0369192</v>
      </c>
      <c r="O31" s="58">
        <v>1.0549983000000001</v>
      </c>
      <c r="P31" s="58">
        <v>1.0728742</v>
      </c>
      <c r="Q31" s="58">
        <v>1.0906016000000001</v>
      </c>
      <c r="R31" s="58">
        <v>1.1082365999999999</v>
      </c>
      <c r="U31" s="4"/>
      <c r="V31" s="4">
        <v>9</v>
      </c>
      <c r="W31" s="4">
        <v>26</v>
      </c>
      <c r="X31" s="4">
        <v>720</v>
      </c>
      <c r="Y31" s="4">
        <f t="shared" si="8"/>
        <v>15246</v>
      </c>
      <c r="Z31" s="4">
        <f t="shared" si="18"/>
        <v>635.25</v>
      </c>
      <c r="AA31" s="4">
        <f t="shared" si="10"/>
        <v>1.7392197125256674</v>
      </c>
      <c r="AB31" s="12">
        <v>0.51217699999999999</v>
      </c>
      <c r="AC31" s="62">
        <v>0.80736799999999997</v>
      </c>
      <c r="AD31" s="62">
        <v>0.74341299999999999</v>
      </c>
      <c r="AE31" s="62">
        <v>0.70874099999999995</v>
      </c>
      <c r="AF31" s="62">
        <v>0.68277399999999999</v>
      </c>
      <c r="AG31" s="62">
        <v>0.66011900000000001</v>
      </c>
      <c r="AH31" s="62">
        <v>0.63893</v>
      </c>
      <c r="AI31" s="62">
        <v>0.61872700000000003</v>
      </c>
      <c r="AJ31" s="62">
        <v>0.59934500000000002</v>
      </c>
      <c r="AK31" s="62">
        <v>0.58072400000000002</v>
      </c>
      <c r="AL31" s="62">
        <v>0.56282799999999999</v>
      </c>
      <c r="AO31" s="146">
        <f>AR31/(AR31+AT31)</f>
        <v>7.1097691154023935E-3</v>
      </c>
      <c r="AP31" s="234" t="s">
        <v>233</v>
      </c>
      <c r="AQ31" s="4">
        <v>0</v>
      </c>
      <c r="AR31" s="151">
        <v>59864</v>
      </c>
      <c r="AS31" s="151">
        <v>0</v>
      </c>
      <c r="AT31" s="151">
        <v>8360100</v>
      </c>
      <c r="AU31" s="151">
        <v>474490</v>
      </c>
      <c r="AV31" s="151">
        <v>226440</v>
      </c>
      <c r="AW31" s="151">
        <v>118430</v>
      </c>
      <c r="AX31" s="151">
        <v>79917</v>
      </c>
      <c r="AY31" s="167"/>
      <c r="BA31" s="66">
        <v>25</v>
      </c>
      <c r="BB31" s="101">
        <f t="shared" si="13"/>
        <v>151.25</v>
      </c>
      <c r="BC31" s="103">
        <v>1.3711139999999999</v>
      </c>
      <c r="BD31" s="66"/>
      <c r="BE31" s="64">
        <f t="shared" si="14"/>
        <v>151.25</v>
      </c>
      <c r="BF31" s="12">
        <v>1.2914890000000001</v>
      </c>
      <c r="BG31" s="66"/>
      <c r="BH31" s="64">
        <f t="shared" si="15"/>
        <v>151.25</v>
      </c>
      <c r="BI31" s="104">
        <v>1.1469119999999999</v>
      </c>
      <c r="BJ31" s="66">
        <v>25</v>
      </c>
      <c r="BK31" s="64">
        <f t="shared" si="16"/>
        <v>151.25</v>
      </c>
      <c r="BL31" s="104">
        <v>1.0637110000000001</v>
      </c>
      <c r="BM31" s="66">
        <v>25</v>
      </c>
      <c r="BN31" s="64">
        <f t="shared" si="17"/>
        <v>151.25</v>
      </c>
      <c r="BO31" s="103">
        <v>1.003879</v>
      </c>
      <c r="BR31" s="64">
        <f t="shared" si="12"/>
        <v>157.5</v>
      </c>
      <c r="BS31" s="18">
        <f t="shared" si="0"/>
        <v>172.58945148999999</v>
      </c>
      <c r="BT31" s="18">
        <f t="shared" si="1"/>
        <v>130.11429113759999</v>
      </c>
      <c r="BU31" s="18">
        <f t="shared" si="2"/>
        <v>92.503580479660016</v>
      </c>
      <c r="BV31" s="18">
        <f t="shared" si="3"/>
        <v>72.417708908999998</v>
      </c>
      <c r="BW31" s="18">
        <f t="shared" si="4"/>
        <v>60.736870341349999</v>
      </c>
    </row>
    <row r="32" spans="1:89" x14ac:dyDescent="0.25">
      <c r="A32" s="4"/>
      <c r="B32" s="4">
        <v>10</v>
      </c>
      <c r="C32" s="4">
        <v>27</v>
      </c>
      <c r="D32" s="4">
        <v>720</v>
      </c>
      <c r="E32" s="4">
        <f t="shared" si="5"/>
        <v>15966</v>
      </c>
      <c r="F32" s="4">
        <f t="shared" si="6"/>
        <v>665.25</v>
      </c>
      <c r="G32" s="4">
        <f t="shared" si="7"/>
        <v>1.8213552361396304</v>
      </c>
      <c r="H32" s="4">
        <v>1.0614775000000001</v>
      </c>
      <c r="I32" s="58">
        <v>0.89802839999999995</v>
      </c>
      <c r="J32" s="58">
        <v>0.94744010000000001</v>
      </c>
      <c r="K32" s="58">
        <v>0.97618459999999996</v>
      </c>
      <c r="L32" s="58">
        <v>0.99811689999999997</v>
      </c>
      <c r="M32" s="58">
        <v>1.0172920999999999</v>
      </c>
      <c r="N32" s="58">
        <v>1.0356278000000001</v>
      </c>
      <c r="O32" s="58">
        <v>1.0536487999999999</v>
      </c>
      <c r="P32" s="58">
        <v>1.0714855999999999</v>
      </c>
      <c r="Q32" s="58">
        <v>1.0891671999999999</v>
      </c>
      <c r="R32" s="58">
        <v>1.1067373</v>
      </c>
      <c r="U32" s="4"/>
      <c r="V32" s="4">
        <v>10</v>
      </c>
      <c r="W32" s="4">
        <v>27</v>
      </c>
      <c r="X32" s="4">
        <v>720</v>
      </c>
      <c r="Y32" s="4">
        <f t="shared" si="8"/>
        <v>15966</v>
      </c>
      <c r="Z32" s="4">
        <f t="shared" si="18"/>
        <v>665.25</v>
      </c>
      <c r="AA32" s="4">
        <f t="shared" si="10"/>
        <v>1.8213552361396304</v>
      </c>
      <c r="AB32" s="12">
        <v>0.51513799999999998</v>
      </c>
      <c r="AC32" s="63">
        <v>0.80859599999999998</v>
      </c>
      <c r="AD32" s="62">
        <v>0.74363100000000004</v>
      </c>
      <c r="AE32" s="62">
        <v>0.70916800000000002</v>
      </c>
      <c r="AF32" s="62">
        <v>0.68320099999999995</v>
      </c>
      <c r="AG32" s="62">
        <v>0.66054800000000002</v>
      </c>
      <c r="AH32" s="62">
        <v>0.63940799999999998</v>
      </c>
      <c r="AI32" s="62">
        <v>0.61923099999999998</v>
      </c>
      <c r="AJ32" s="62">
        <v>0.59986200000000001</v>
      </c>
      <c r="AK32" s="62">
        <v>0.58125199999999999</v>
      </c>
      <c r="AL32" s="62">
        <v>0.56336699999999995</v>
      </c>
      <c r="AP32" s="234"/>
      <c r="AQ32" s="4">
        <v>1</v>
      </c>
      <c r="AR32" s="151">
        <v>56408</v>
      </c>
      <c r="AS32" s="151">
        <v>934.8</v>
      </c>
      <c r="AT32" s="151">
        <v>8328500</v>
      </c>
      <c r="AU32" s="151">
        <v>448810</v>
      </c>
      <c r="AV32" s="151">
        <v>224540</v>
      </c>
      <c r="AW32" s="151">
        <v>121400</v>
      </c>
      <c r="AX32" s="151">
        <v>80002</v>
      </c>
      <c r="AY32" s="167"/>
      <c r="BA32" s="67">
        <v>26</v>
      </c>
      <c r="BB32" s="101">
        <f t="shared" si="13"/>
        <v>157.5</v>
      </c>
      <c r="BC32" s="103">
        <v>1.3162750000000001</v>
      </c>
      <c r="BD32" s="68"/>
      <c r="BE32" s="64">
        <f t="shared" si="14"/>
        <v>157.5</v>
      </c>
      <c r="BF32" s="12">
        <v>1.2550559999999999</v>
      </c>
      <c r="BG32" s="68"/>
      <c r="BH32" s="64">
        <f t="shared" si="15"/>
        <v>157.5</v>
      </c>
      <c r="BI32" s="104">
        <v>1.1577770000000001</v>
      </c>
      <c r="BJ32" s="68">
        <v>26</v>
      </c>
      <c r="BK32" s="64">
        <f t="shared" si="16"/>
        <v>157.5</v>
      </c>
      <c r="BL32" s="104">
        <v>1.091631</v>
      </c>
      <c r="BM32" s="68">
        <v>26</v>
      </c>
      <c r="BN32" s="64">
        <f t="shared" si="17"/>
        <v>157.5</v>
      </c>
      <c r="BO32" s="103">
        <v>1.0340469999999999</v>
      </c>
      <c r="BR32" s="64">
        <f t="shared" si="12"/>
        <v>163.75</v>
      </c>
      <c r="BS32" s="18">
        <f t="shared" si="0"/>
        <v>163.85426373799999</v>
      </c>
      <c r="BT32" s="18">
        <f t="shared" si="1"/>
        <v>125.62445983080001</v>
      </c>
      <c r="BU32" s="18">
        <f t="shared" si="2"/>
        <v>93.567736347679997</v>
      </c>
      <c r="BV32" s="18">
        <f t="shared" si="3"/>
        <v>74.731281534000004</v>
      </c>
      <c r="BW32" s="18">
        <f t="shared" si="4"/>
        <v>62.99906908505001</v>
      </c>
    </row>
    <row r="33" spans="1:75" x14ac:dyDescent="0.25">
      <c r="A33" s="4"/>
      <c r="B33" s="4">
        <v>11</v>
      </c>
      <c r="C33" s="4">
        <v>28</v>
      </c>
      <c r="D33" s="4">
        <v>720</v>
      </c>
      <c r="E33" s="4">
        <f t="shared" si="5"/>
        <v>16686</v>
      </c>
      <c r="F33" s="4">
        <f t="shared" si="6"/>
        <v>695.25</v>
      </c>
      <c r="G33" s="4">
        <f t="shared" si="7"/>
        <v>1.9034907597535935</v>
      </c>
      <c r="H33" s="4">
        <v>1.0575437999999999</v>
      </c>
      <c r="I33" s="58">
        <v>0.89540330000000001</v>
      </c>
      <c r="J33" s="58">
        <v>0.94653089999999995</v>
      </c>
      <c r="K33" s="58">
        <v>0.9749816</v>
      </c>
      <c r="L33" s="58">
        <v>0.99694749999999999</v>
      </c>
      <c r="M33" s="58">
        <v>1.0161241999999999</v>
      </c>
      <c r="N33" s="58">
        <v>1.0344168</v>
      </c>
      <c r="O33" s="58">
        <v>1.0523883000000001</v>
      </c>
      <c r="P33" s="58">
        <v>1.0701759</v>
      </c>
      <c r="Q33" s="58">
        <v>1.0877992999999999</v>
      </c>
      <c r="R33" s="58">
        <v>1.1052995999999999</v>
      </c>
      <c r="U33" s="4"/>
      <c r="V33" s="4">
        <v>11</v>
      </c>
      <c r="W33" s="4">
        <v>28</v>
      </c>
      <c r="X33" s="4">
        <v>720</v>
      </c>
      <c r="Y33" s="4">
        <f t="shared" si="8"/>
        <v>16686</v>
      </c>
      <c r="Z33" s="4">
        <f t="shared" si="18"/>
        <v>695.25</v>
      </c>
      <c r="AA33" s="4">
        <f t="shared" si="10"/>
        <v>1.9034907597535935</v>
      </c>
      <c r="AB33" s="12">
        <v>0.51829999999999998</v>
      </c>
      <c r="AC33" s="62">
        <v>0.81023500000000004</v>
      </c>
      <c r="AD33" s="62">
        <v>0.74378200000000005</v>
      </c>
      <c r="AE33" s="62">
        <v>0.70946600000000004</v>
      </c>
      <c r="AF33" s="62">
        <v>0.68356600000000001</v>
      </c>
      <c r="AG33" s="62">
        <v>0.66096100000000002</v>
      </c>
      <c r="AH33" s="62">
        <v>0.63985300000000001</v>
      </c>
      <c r="AI33" s="62">
        <v>0.61970199999999998</v>
      </c>
      <c r="AJ33" s="62">
        <v>0.60035799999999995</v>
      </c>
      <c r="AK33" s="62">
        <v>0.58176499999999998</v>
      </c>
      <c r="AL33" s="62">
        <v>0.56389299999999998</v>
      </c>
      <c r="AP33" s="234"/>
      <c r="AQ33" s="4">
        <v>3</v>
      </c>
      <c r="AR33" s="151">
        <v>49652</v>
      </c>
      <c r="AS33" s="151">
        <v>2636</v>
      </c>
      <c r="AT33" s="151">
        <v>8260600</v>
      </c>
      <c r="AU33" s="151">
        <v>401070</v>
      </c>
      <c r="AV33" s="151">
        <v>219090</v>
      </c>
      <c r="AW33" s="151">
        <v>124500</v>
      </c>
      <c r="AX33" s="151">
        <v>80958</v>
      </c>
      <c r="AY33" s="167"/>
      <c r="BA33" s="66">
        <v>27</v>
      </c>
      <c r="BB33" s="101">
        <f t="shared" si="13"/>
        <v>163.75</v>
      </c>
      <c r="BC33" s="103">
        <v>1.249655</v>
      </c>
      <c r="BD33" s="66"/>
      <c r="BE33" s="64">
        <f t="shared" si="14"/>
        <v>163.75</v>
      </c>
      <c r="BF33" s="12">
        <v>1.211748</v>
      </c>
      <c r="BG33" s="66"/>
      <c r="BH33" s="64">
        <f t="shared" si="15"/>
        <v>163.75</v>
      </c>
      <c r="BI33" s="104">
        <v>1.1710959999999999</v>
      </c>
      <c r="BJ33" s="66">
        <v>27</v>
      </c>
      <c r="BK33" s="64">
        <f t="shared" si="16"/>
        <v>163.75</v>
      </c>
      <c r="BL33" s="104">
        <v>1.126506</v>
      </c>
      <c r="BM33" s="66">
        <v>27</v>
      </c>
      <c r="BN33" s="64">
        <f t="shared" si="17"/>
        <v>163.75</v>
      </c>
      <c r="BO33" s="103">
        <v>1.0725610000000001</v>
      </c>
      <c r="BR33" s="64">
        <f t="shared" si="12"/>
        <v>170</v>
      </c>
      <c r="BS33" s="18">
        <f t="shared" si="0"/>
        <v>153.63978465879998</v>
      </c>
      <c r="BT33" s="18">
        <f t="shared" si="1"/>
        <v>120.59574094820002</v>
      </c>
      <c r="BU33" s="18">
        <f t="shared" si="2"/>
        <v>94.795762152280005</v>
      </c>
      <c r="BV33" s="18">
        <f t="shared" si="3"/>
        <v>77.587838873999999</v>
      </c>
      <c r="BW33" s="18">
        <f t="shared" si="4"/>
        <v>65.834541436750001</v>
      </c>
    </row>
    <row r="34" spans="1:75" x14ac:dyDescent="0.25">
      <c r="A34" s="4"/>
      <c r="B34" s="4">
        <v>12</v>
      </c>
      <c r="C34" s="4">
        <v>29</v>
      </c>
      <c r="D34" s="4">
        <v>846</v>
      </c>
      <c r="E34" s="4">
        <f t="shared" si="5"/>
        <v>17532</v>
      </c>
      <c r="F34" s="4">
        <f t="shared" si="6"/>
        <v>730.5</v>
      </c>
      <c r="G34" s="4">
        <f t="shared" si="7"/>
        <v>2</v>
      </c>
      <c r="H34" s="4">
        <v>1.0540456</v>
      </c>
      <c r="I34" s="58">
        <v>0.8931907</v>
      </c>
      <c r="J34" s="58">
        <v>0.94529090000000005</v>
      </c>
      <c r="K34" s="58">
        <v>0.97368330000000003</v>
      </c>
      <c r="L34" s="58">
        <v>0.99572360000000004</v>
      </c>
      <c r="M34" s="58">
        <v>1.0149938999999999</v>
      </c>
      <c r="N34" s="58">
        <v>1.0332698</v>
      </c>
      <c r="O34" s="58">
        <v>1.0511785</v>
      </c>
      <c r="P34" s="58">
        <v>1.0689143000000001</v>
      </c>
      <c r="Q34" s="58">
        <v>1.0864834999999999</v>
      </c>
      <c r="R34" s="58">
        <v>1.1039137000000001</v>
      </c>
      <c r="U34" s="4"/>
      <c r="V34" s="4">
        <v>12</v>
      </c>
      <c r="W34" s="4">
        <v>29</v>
      </c>
      <c r="X34" s="4">
        <v>846</v>
      </c>
      <c r="Y34" s="4">
        <f t="shared" si="8"/>
        <v>17532</v>
      </c>
      <c r="Z34" s="4">
        <f t="shared" si="18"/>
        <v>730.5</v>
      </c>
      <c r="AA34" s="4">
        <f t="shared" si="10"/>
        <v>2</v>
      </c>
      <c r="AB34" s="12">
        <v>0.52097400000000005</v>
      </c>
      <c r="AC34" s="62">
        <v>0.81122499999999997</v>
      </c>
      <c r="AD34" s="62">
        <v>0.74414800000000003</v>
      </c>
      <c r="AE34" s="62">
        <v>0.709781</v>
      </c>
      <c r="AF34" s="62">
        <v>0.68394600000000005</v>
      </c>
      <c r="AG34" s="62">
        <v>0.66133299999999995</v>
      </c>
      <c r="AH34" s="62">
        <v>0.640262</v>
      </c>
      <c r="AI34" s="62">
        <v>0.62015600000000004</v>
      </c>
      <c r="AJ34" s="62">
        <v>0.60083699999999995</v>
      </c>
      <c r="AK34" s="62">
        <v>0.58226299999999998</v>
      </c>
      <c r="AL34" s="62">
        <v>0.56440599999999996</v>
      </c>
      <c r="AP34" s="234"/>
      <c r="AQ34" s="4">
        <v>5</v>
      </c>
      <c r="AR34" s="151">
        <v>43442</v>
      </c>
      <c r="AS34" s="151">
        <v>4074.9</v>
      </c>
      <c r="AT34" s="151">
        <v>8190800</v>
      </c>
      <c r="AU34" s="151">
        <v>358690</v>
      </c>
      <c r="AV34" s="151">
        <v>212090</v>
      </c>
      <c r="AW34" s="151">
        <v>124880</v>
      </c>
      <c r="AX34" s="151">
        <v>82514</v>
      </c>
      <c r="AY34" s="167"/>
      <c r="BA34" s="67">
        <v>28</v>
      </c>
      <c r="BB34" s="101">
        <f t="shared" si="13"/>
        <v>170</v>
      </c>
      <c r="BC34" s="103">
        <v>1.171753</v>
      </c>
      <c r="BD34" s="68"/>
      <c r="BE34" s="64">
        <f t="shared" si="14"/>
        <v>170</v>
      </c>
      <c r="BF34" s="12">
        <v>1.1632420000000001</v>
      </c>
      <c r="BG34" s="68"/>
      <c r="BH34" s="64">
        <f t="shared" si="15"/>
        <v>170</v>
      </c>
      <c r="BI34" s="104">
        <v>1.186466</v>
      </c>
      <c r="BJ34" s="68">
        <v>28</v>
      </c>
      <c r="BK34" s="64">
        <f t="shared" si="16"/>
        <v>170</v>
      </c>
      <c r="BL34" s="104">
        <v>1.1695660000000001</v>
      </c>
      <c r="BM34" s="68">
        <v>28</v>
      </c>
      <c r="BN34" s="64">
        <f t="shared" si="17"/>
        <v>170</v>
      </c>
      <c r="BO34" s="103">
        <v>1.120835</v>
      </c>
      <c r="BR34" s="64">
        <f t="shared" si="12"/>
        <v>176.25</v>
      </c>
      <c r="BS34" s="18">
        <f t="shared" si="0"/>
        <v>142.02770176319999</v>
      </c>
      <c r="BT34" s="18">
        <f t="shared" si="1"/>
        <v>118.47139594710001</v>
      </c>
      <c r="BU34" s="18">
        <f t="shared" si="2"/>
        <v>97.371580233900005</v>
      </c>
      <c r="BV34" s="18">
        <f t="shared" si="3"/>
        <v>84.558674655000004</v>
      </c>
      <c r="BW34" s="18">
        <f t="shared" si="4"/>
        <v>72.515176029649993</v>
      </c>
    </row>
    <row r="35" spans="1:75" x14ac:dyDescent="0.25">
      <c r="A35" s="4"/>
      <c r="B35" s="4">
        <v>13</v>
      </c>
      <c r="C35" s="4">
        <v>30</v>
      </c>
      <c r="D35" s="4">
        <v>720</v>
      </c>
      <c r="E35" s="4">
        <f t="shared" si="5"/>
        <v>18252</v>
      </c>
      <c r="F35" s="4">
        <f t="shared" si="6"/>
        <v>760.5</v>
      </c>
      <c r="G35" s="4">
        <f t="shared" si="7"/>
        <v>2.0821355236139629</v>
      </c>
      <c r="H35" s="4">
        <v>1.0503513</v>
      </c>
      <c r="I35" s="58">
        <v>0.89071140000000004</v>
      </c>
      <c r="J35" s="58">
        <v>0.94372670000000003</v>
      </c>
      <c r="K35" s="65">
        <v>0.97211970000000003</v>
      </c>
      <c r="L35" s="58">
        <v>0.99416159999999998</v>
      </c>
      <c r="M35" s="58">
        <v>1.0134974000000001</v>
      </c>
      <c r="N35" s="58">
        <v>1.0317752</v>
      </c>
      <c r="O35" s="58">
        <v>1.0496559999999999</v>
      </c>
      <c r="P35" s="58">
        <v>1.0673600000000001</v>
      </c>
      <c r="Q35" s="58">
        <v>1.0848838999999999</v>
      </c>
      <c r="R35" s="58">
        <v>1.1022483000000001</v>
      </c>
      <c r="U35" s="4"/>
      <c r="V35" s="4">
        <v>13</v>
      </c>
      <c r="W35" s="4">
        <v>30</v>
      </c>
      <c r="X35" s="4">
        <v>720</v>
      </c>
      <c r="Y35" s="4">
        <f t="shared" si="8"/>
        <v>18252</v>
      </c>
      <c r="Z35" s="4">
        <f t="shared" si="18"/>
        <v>760.5</v>
      </c>
      <c r="AA35" s="4">
        <f t="shared" si="10"/>
        <v>2.0821355236139629</v>
      </c>
      <c r="AB35" s="12">
        <v>0.52371900000000005</v>
      </c>
      <c r="AC35" s="62">
        <v>0.81186999999999998</v>
      </c>
      <c r="AD35" s="62">
        <v>0.74466100000000002</v>
      </c>
      <c r="AE35" s="62">
        <v>0.71024500000000002</v>
      </c>
      <c r="AF35" s="62">
        <v>0.68441600000000002</v>
      </c>
      <c r="AG35" s="62">
        <v>0.66181999999999996</v>
      </c>
      <c r="AH35" s="62">
        <v>0.64077700000000004</v>
      </c>
      <c r="AI35" s="62">
        <v>0.620699</v>
      </c>
      <c r="AJ35" s="62">
        <v>0.60140499999999997</v>
      </c>
      <c r="AK35" s="62">
        <v>0.58285100000000001</v>
      </c>
      <c r="AL35" s="62">
        <v>0.56501299999999999</v>
      </c>
      <c r="AP35" s="234"/>
      <c r="AQ35" s="4">
        <v>7</v>
      </c>
      <c r="AR35" s="151">
        <v>37710</v>
      </c>
      <c r="AS35" s="151">
        <v>5299.1</v>
      </c>
      <c r="AT35" s="151">
        <v>8119300</v>
      </c>
      <c r="AU35" s="151">
        <v>320900</v>
      </c>
      <c r="AV35" s="151">
        <v>203900</v>
      </c>
      <c r="AW35" s="151">
        <v>123330</v>
      </c>
      <c r="AX35" s="151">
        <v>84428</v>
      </c>
      <c r="AY35" s="167"/>
      <c r="BA35" s="66">
        <v>29</v>
      </c>
      <c r="BB35" s="101">
        <f t="shared" si="13"/>
        <v>176.25</v>
      </c>
      <c r="BC35" s="103">
        <v>1.0831919999999999</v>
      </c>
      <c r="BD35" s="66"/>
      <c r="BE35" s="64">
        <f t="shared" si="14"/>
        <v>176.25</v>
      </c>
      <c r="BF35" s="12">
        <v>1.1427510000000001</v>
      </c>
      <c r="BG35" s="66"/>
      <c r="BH35" s="64">
        <f t="shared" si="15"/>
        <v>176.25</v>
      </c>
      <c r="BI35" s="104">
        <v>1.2187049999999999</v>
      </c>
      <c r="BJ35" s="66">
        <v>29</v>
      </c>
      <c r="BK35" s="64">
        <f t="shared" si="16"/>
        <v>176.25</v>
      </c>
      <c r="BL35" s="104">
        <v>1.274645</v>
      </c>
      <c r="BM35" s="66">
        <v>29</v>
      </c>
      <c r="BN35" s="64">
        <f t="shared" si="17"/>
        <v>176.25</v>
      </c>
      <c r="BO35" s="106">
        <v>1.2345729999999999</v>
      </c>
      <c r="BR35" s="64">
        <f t="shared" si="12"/>
        <v>182.5</v>
      </c>
      <c r="BS35" s="18">
        <f t="shared" si="0"/>
        <v>129.11572537711999</v>
      </c>
      <c r="BT35" s="18">
        <f t="shared" si="1"/>
        <v>110.49372418000002</v>
      </c>
      <c r="BU35" s="18">
        <f t="shared" si="2"/>
        <v>95.656978167099993</v>
      </c>
      <c r="BV35" s="18">
        <f t="shared" si="3"/>
        <v>84.872723480999994</v>
      </c>
      <c r="BW35" s="18">
        <f t="shared" si="4"/>
        <v>73.220079366700006</v>
      </c>
    </row>
    <row r="36" spans="1:75" x14ac:dyDescent="0.25">
      <c r="A36" s="4"/>
      <c r="B36" s="4">
        <v>14</v>
      </c>
      <c r="C36" s="4">
        <v>31</v>
      </c>
      <c r="D36" s="4">
        <v>720</v>
      </c>
      <c r="E36" s="4">
        <f t="shared" si="5"/>
        <v>18972</v>
      </c>
      <c r="F36" s="4">
        <f t="shared" si="6"/>
        <v>790.5</v>
      </c>
      <c r="G36" s="4">
        <f t="shared" si="7"/>
        <v>2.1642710472279263</v>
      </c>
      <c r="H36" s="4">
        <v>1.0474490000000001</v>
      </c>
      <c r="I36" s="58">
        <v>0.88899810000000001</v>
      </c>
      <c r="J36" s="58">
        <v>0.94231299999999996</v>
      </c>
      <c r="K36" s="58">
        <v>0.97089919999999996</v>
      </c>
      <c r="L36" s="58">
        <v>0.99293750000000003</v>
      </c>
      <c r="M36" s="58">
        <v>1.0122929000000001</v>
      </c>
      <c r="N36" s="58">
        <v>1.0304869000000001</v>
      </c>
      <c r="O36" s="58">
        <v>1.0482997000000001</v>
      </c>
      <c r="P36" s="58">
        <v>1.0659468999999999</v>
      </c>
      <c r="Q36" s="58">
        <v>1.0834258000000001</v>
      </c>
      <c r="R36" s="58">
        <v>1.1007279999999999</v>
      </c>
      <c r="U36" s="4"/>
      <c r="V36" s="4">
        <v>14</v>
      </c>
      <c r="W36" s="4">
        <v>31</v>
      </c>
      <c r="X36" s="4">
        <v>720</v>
      </c>
      <c r="Y36" s="4">
        <f t="shared" si="8"/>
        <v>18972</v>
      </c>
      <c r="Z36" s="4">
        <f t="shared" si="18"/>
        <v>790.5</v>
      </c>
      <c r="AA36" s="4">
        <f t="shared" si="10"/>
        <v>2.1642710472279263</v>
      </c>
      <c r="AB36" s="12">
        <v>0.52587200000000001</v>
      </c>
      <c r="AC36" s="62">
        <v>0.81233</v>
      </c>
      <c r="AD36" s="62">
        <v>0.74512900000000004</v>
      </c>
      <c r="AE36" s="62">
        <v>0.71056299999999994</v>
      </c>
      <c r="AF36" s="62">
        <v>0.68474500000000005</v>
      </c>
      <c r="AG36" s="62">
        <v>0.66218900000000003</v>
      </c>
      <c r="AH36" s="62">
        <v>0.64120999999999995</v>
      </c>
      <c r="AI36" s="62">
        <v>0.621174</v>
      </c>
      <c r="AJ36" s="62">
        <v>0.601908</v>
      </c>
      <c r="AK36" s="62">
        <v>0.583372</v>
      </c>
      <c r="AL36" s="62">
        <v>0.56554899999999997</v>
      </c>
      <c r="AO36" s="146">
        <f>AR36/(AR36+AT36)</f>
        <v>7.1097419012093373E-3</v>
      </c>
      <c r="AP36" s="235" t="s">
        <v>234</v>
      </c>
      <c r="AQ36" s="4">
        <v>0</v>
      </c>
      <c r="AR36" s="150">
        <v>58577</v>
      </c>
      <c r="AS36" s="151">
        <v>0</v>
      </c>
      <c r="AT36" s="151">
        <v>8180400</v>
      </c>
      <c r="AU36" s="151">
        <v>569810</v>
      </c>
      <c r="AV36" s="151">
        <v>271930</v>
      </c>
      <c r="AW36" s="151">
        <v>142220</v>
      </c>
      <c r="AX36" s="151">
        <v>95972</v>
      </c>
      <c r="AY36" s="167"/>
      <c r="BA36" s="67">
        <v>30</v>
      </c>
      <c r="BB36" s="101">
        <f t="shared" si="13"/>
        <v>182.5</v>
      </c>
      <c r="BC36" s="103">
        <v>0.98471719999999996</v>
      </c>
      <c r="BD36" s="68"/>
      <c r="BE36" s="64">
        <f t="shared" si="14"/>
        <v>182.5</v>
      </c>
      <c r="BF36" s="12">
        <v>1.0658000000000001</v>
      </c>
      <c r="BG36" s="68"/>
      <c r="BH36" s="64">
        <f t="shared" si="15"/>
        <v>182.5</v>
      </c>
      <c r="BI36" s="105">
        <v>1.1972449999999999</v>
      </c>
      <c r="BJ36" s="68">
        <v>30</v>
      </c>
      <c r="BK36" s="64">
        <f t="shared" si="16"/>
        <v>182.5</v>
      </c>
      <c r="BL36" s="105">
        <v>1.279379</v>
      </c>
      <c r="BM36" s="68">
        <v>30</v>
      </c>
      <c r="BN36" s="64">
        <f t="shared" si="17"/>
        <v>182.5</v>
      </c>
      <c r="BO36" s="103">
        <v>1.2465740000000001</v>
      </c>
      <c r="BR36" s="64">
        <f t="shared" si="12"/>
        <v>188.75</v>
      </c>
      <c r="BS36" s="18">
        <f t="shared" si="0"/>
        <v>115.01705105123999</v>
      </c>
      <c r="BT36" s="18">
        <f t="shared" si="1"/>
        <v>100.39487977806</v>
      </c>
      <c r="BU36" s="18">
        <f t="shared" si="2"/>
        <v>90.873510052500009</v>
      </c>
      <c r="BV36" s="18">
        <f t="shared" si="3"/>
        <v>81.925016354999997</v>
      </c>
      <c r="BW36" s="18">
        <f t="shared" si="4"/>
        <v>71.013210924099994</v>
      </c>
    </row>
    <row r="37" spans="1:75" x14ac:dyDescent="0.25">
      <c r="A37" s="4"/>
      <c r="B37" s="4">
        <v>15</v>
      </c>
      <c r="C37" s="4">
        <v>32</v>
      </c>
      <c r="D37" s="4">
        <v>720</v>
      </c>
      <c r="E37" s="4">
        <f t="shared" si="5"/>
        <v>19692</v>
      </c>
      <c r="F37" s="4">
        <f t="shared" si="6"/>
        <v>820.5</v>
      </c>
      <c r="G37" s="4">
        <f t="shared" si="7"/>
        <v>2.2464065708418892</v>
      </c>
      <c r="H37" s="4">
        <v>1.0447061</v>
      </c>
      <c r="I37" s="58">
        <v>0.88725920000000003</v>
      </c>
      <c r="J37" s="58">
        <v>0.94052049999999998</v>
      </c>
      <c r="K37" s="58">
        <v>0.96970129999999999</v>
      </c>
      <c r="L37" s="58">
        <v>0.99164099999999999</v>
      </c>
      <c r="M37" s="58">
        <v>1.0110315999999999</v>
      </c>
      <c r="N37" s="58">
        <v>1.0292337</v>
      </c>
      <c r="O37" s="58">
        <v>1.0469850000000001</v>
      </c>
      <c r="P37" s="58">
        <v>1.0645735999999999</v>
      </c>
      <c r="Q37" s="58">
        <v>1.0820099000000001</v>
      </c>
      <c r="R37" s="58">
        <v>1.0992767999999999</v>
      </c>
      <c r="U37" s="4"/>
      <c r="V37" s="4">
        <v>15</v>
      </c>
      <c r="W37" s="4">
        <v>32</v>
      </c>
      <c r="X37" s="4">
        <v>720</v>
      </c>
      <c r="Y37" s="4">
        <f t="shared" si="8"/>
        <v>19692</v>
      </c>
      <c r="Z37" s="4">
        <f t="shared" si="18"/>
        <v>820.5</v>
      </c>
      <c r="AA37" s="4">
        <f t="shared" si="10"/>
        <v>2.2464065708418892</v>
      </c>
      <c r="AB37" s="12">
        <v>0.52785099999999996</v>
      </c>
      <c r="AC37" s="62">
        <v>0.81254899999999997</v>
      </c>
      <c r="AD37" s="62">
        <v>0.74582199999999998</v>
      </c>
      <c r="AE37" s="62">
        <v>0.71085299999999996</v>
      </c>
      <c r="AF37" s="62">
        <v>0.68511599999999995</v>
      </c>
      <c r="AG37" s="62">
        <v>0.66258099999999998</v>
      </c>
      <c r="AH37" s="62">
        <v>0.64162399999999997</v>
      </c>
      <c r="AI37" s="62">
        <v>0.62163299999999999</v>
      </c>
      <c r="AJ37" s="62">
        <v>0.60240199999999999</v>
      </c>
      <c r="AK37" s="62">
        <v>0.58388399999999996</v>
      </c>
      <c r="AL37" s="62">
        <v>0.56607200000000002</v>
      </c>
      <c r="AP37" s="235"/>
      <c r="AQ37" s="4">
        <v>1</v>
      </c>
      <c r="AR37" s="151">
        <v>55569</v>
      </c>
      <c r="AS37" s="151">
        <v>841.77</v>
      </c>
      <c r="AT37" s="151">
        <v>8150700</v>
      </c>
      <c r="AU37" s="151">
        <v>542470</v>
      </c>
      <c r="AV37" s="151">
        <v>269920</v>
      </c>
      <c r="AW37" s="151">
        <v>144380</v>
      </c>
      <c r="AX37" s="151">
        <v>95936</v>
      </c>
      <c r="AY37" s="167"/>
      <c r="BA37" s="66">
        <v>31</v>
      </c>
      <c r="BB37" s="101">
        <f t="shared" si="13"/>
        <v>188.75</v>
      </c>
      <c r="BC37" s="103">
        <v>0.87719190000000002</v>
      </c>
      <c r="BD37" s="66"/>
      <c r="BE37" s="64">
        <f t="shared" si="14"/>
        <v>188.75</v>
      </c>
      <c r="BF37" s="12">
        <v>0.96838860000000004</v>
      </c>
      <c r="BG37" s="66"/>
      <c r="BH37" s="64">
        <f t="shared" si="15"/>
        <v>188.75</v>
      </c>
      <c r="BI37" s="104">
        <v>1.137375</v>
      </c>
      <c r="BJ37" s="66">
        <v>31</v>
      </c>
      <c r="BK37" s="64">
        <f t="shared" si="16"/>
        <v>188.75</v>
      </c>
      <c r="BL37" s="104">
        <v>1.234945</v>
      </c>
      <c r="BM37" s="66">
        <v>31</v>
      </c>
      <c r="BN37" s="64">
        <f t="shared" si="17"/>
        <v>188.75</v>
      </c>
      <c r="BO37" s="103">
        <v>1.2090019999999999</v>
      </c>
      <c r="BR37" s="64">
        <f t="shared" si="12"/>
        <v>195</v>
      </c>
      <c r="BS37" s="18">
        <f t="shared" si="0"/>
        <v>99.858969693239985</v>
      </c>
      <c r="BT37" s="18">
        <f t="shared" si="1"/>
        <v>88.519147418170007</v>
      </c>
      <c r="BU37" s="18">
        <f t="shared" si="2"/>
        <v>83.147414066500005</v>
      </c>
      <c r="BV37" s="18">
        <f t="shared" si="3"/>
        <v>75.893341797000005</v>
      </c>
      <c r="BW37" s="18">
        <f t="shared" si="4"/>
        <v>66.046699661350004</v>
      </c>
    </row>
    <row r="38" spans="1:75" x14ac:dyDescent="0.25">
      <c r="A38" s="4"/>
      <c r="B38" s="4">
        <v>16</v>
      </c>
      <c r="C38" s="4">
        <v>33</v>
      </c>
      <c r="D38" s="4">
        <v>720</v>
      </c>
      <c r="E38" s="4">
        <f t="shared" si="5"/>
        <v>20412</v>
      </c>
      <c r="F38" s="4">
        <f t="shared" si="6"/>
        <v>850.5</v>
      </c>
      <c r="G38" s="4">
        <f t="shared" si="7"/>
        <v>2.3285420944558521</v>
      </c>
      <c r="H38" s="4">
        <v>1.0425732000000001</v>
      </c>
      <c r="I38" s="58">
        <v>0.88598940000000004</v>
      </c>
      <c r="J38" s="58">
        <v>0.93913009999999997</v>
      </c>
      <c r="K38" s="58">
        <v>0.96835720000000003</v>
      </c>
      <c r="L38" s="58">
        <v>0.99032240000000005</v>
      </c>
      <c r="M38" s="58">
        <v>1.0097274000000001</v>
      </c>
      <c r="N38" s="58">
        <v>1.0279588</v>
      </c>
      <c r="O38" s="58">
        <v>1.0456889</v>
      </c>
      <c r="P38" s="58">
        <v>1.0632432999999999</v>
      </c>
      <c r="Q38" s="58">
        <v>1.0806382000000001</v>
      </c>
      <c r="R38" s="58">
        <v>1.0978785</v>
      </c>
      <c r="U38" s="4"/>
      <c r="V38" s="4">
        <v>16</v>
      </c>
      <c r="W38" s="4">
        <v>33</v>
      </c>
      <c r="X38" s="4">
        <v>720</v>
      </c>
      <c r="Y38" s="4">
        <f t="shared" si="8"/>
        <v>20412</v>
      </c>
      <c r="Z38" s="4">
        <f t="shared" si="18"/>
        <v>850.5</v>
      </c>
      <c r="AA38" s="4">
        <f t="shared" si="10"/>
        <v>2.3285420944558521</v>
      </c>
      <c r="AB38" s="12">
        <v>0.52928600000000003</v>
      </c>
      <c r="AC38" s="62">
        <v>0.81233699999999998</v>
      </c>
      <c r="AD38" s="62">
        <v>0.74620200000000003</v>
      </c>
      <c r="AE38" s="62">
        <v>0.71122399999999997</v>
      </c>
      <c r="AF38" s="62">
        <v>0.68551799999999996</v>
      </c>
      <c r="AG38" s="62">
        <v>0.66300700000000001</v>
      </c>
      <c r="AH38" s="62">
        <v>0.64205800000000002</v>
      </c>
      <c r="AI38" s="62">
        <v>0.62208799999999997</v>
      </c>
      <c r="AJ38" s="62">
        <v>0.602877</v>
      </c>
      <c r="AK38" s="62">
        <v>0.58438000000000001</v>
      </c>
      <c r="AL38" s="62">
        <v>0.56657999999999997</v>
      </c>
      <c r="AP38" s="235"/>
      <c r="AQ38" s="4">
        <v>3</v>
      </c>
      <c r="AR38" s="151">
        <v>49639</v>
      </c>
      <c r="AS38" s="151">
        <v>2399.5</v>
      </c>
      <c r="AT38" s="151">
        <v>8086700</v>
      </c>
      <c r="AU38" s="151">
        <v>490500</v>
      </c>
      <c r="AV38" s="151">
        <v>264380</v>
      </c>
      <c r="AW38" s="151">
        <v>146560</v>
      </c>
      <c r="AX38" s="151">
        <v>96482</v>
      </c>
      <c r="AY38" s="167"/>
      <c r="BA38" s="67">
        <v>32</v>
      </c>
      <c r="BB38" s="101">
        <f t="shared" si="13"/>
        <v>195</v>
      </c>
      <c r="BC38" s="103">
        <v>0.76158689999999996</v>
      </c>
      <c r="BD38" s="68"/>
      <c r="BE38" s="64">
        <f t="shared" si="14"/>
        <v>195</v>
      </c>
      <c r="BF38" s="12">
        <v>0.85383770000000003</v>
      </c>
      <c r="BG38" s="68"/>
      <c r="BH38" s="64">
        <f t="shared" si="15"/>
        <v>195</v>
      </c>
      <c r="BI38" s="104">
        <v>1.040675</v>
      </c>
      <c r="BJ38" s="68">
        <v>32</v>
      </c>
      <c r="BK38" s="64">
        <f t="shared" si="16"/>
        <v>195</v>
      </c>
      <c r="BL38" s="104">
        <v>1.144023</v>
      </c>
      <c r="BM38" s="68">
        <v>32</v>
      </c>
      <c r="BN38" s="64">
        <f t="shared" si="17"/>
        <v>195</v>
      </c>
      <c r="BO38" s="103">
        <v>1.124447</v>
      </c>
      <c r="BR38" s="64">
        <f t="shared" si="12"/>
        <v>201.25</v>
      </c>
      <c r="BS38" s="18">
        <f t="shared" si="0"/>
        <v>83.78218574588</v>
      </c>
      <c r="BT38" s="18">
        <f t="shared" si="1"/>
        <v>75.172079880660007</v>
      </c>
      <c r="BU38" s="18">
        <f t="shared" si="2"/>
        <v>72.763628948654002</v>
      </c>
      <c r="BV38" s="18">
        <f t="shared" si="3"/>
        <v>67.066606152000006</v>
      </c>
      <c r="BW38" s="18">
        <f t="shared" si="4"/>
        <v>58.560504048815005</v>
      </c>
    </row>
    <row r="39" spans="1:75" x14ac:dyDescent="0.25">
      <c r="A39" s="4"/>
      <c r="B39" s="4">
        <v>17</v>
      </c>
      <c r="C39" s="4">
        <v>34</v>
      </c>
      <c r="D39" s="4">
        <v>720</v>
      </c>
      <c r="E39" s="4">
        <f t="shared" si="5"/>
        <v>21132</v>
      </c>
      <c r="F39" s="4">
        <f t="shared" si="6"/>
        <v>880.5</v>
      </c>
      <c r="G39" s="4">
        <f t="shared" si="7"/>
        <v>2.4106776180698151</v>
      </c>
      <c r="H39" s="4">
        <v>1.0401376</v>
      </c>
      <c r="I39" s="58">
        <v>0.88461250000000002</v>
      </c>
      <c r="J39" s="58">
        <v>0.93735809999999997</v>
      </c>
      <c r="K39" s="58">
        <v>0.96709140000000005</v>
      </c>
      <c r="L39" s="58">
        <v>0.98900010000000005</v>
      </c>
      <c r="M39" s="58">
        <v>1.0084355</v>
      </c>
      <c r="N39" s="58">
        <v>1.0266869999999999</v>
      </c>
      <c r="O39" s="58">
        <v>1.0444092</v>
      </c>
      <c r="P39" s="58">
        <v>1.061896</v>
      </c>
      <c r="Q39" s="58">
        <v>1.0792189999999999</v>
      </c>
      <c r="R39" s="58">
        <v>1.0964354000000001</v>
      </c>
      <c r="U39" s="4"/>
      <c r="V39" s="4">
        <v>17</v>
      </c>
      <c r="W39" s="4">
        <v>34</v>
      </c>
      <c r="X39" s="4">
        <v>720</v>
      </c>
      <c r="Y39" s="4">
        <f t="shared" si="8"/>
        <v>21132</v>
      </c>
      <c r="Z39" s="4">
        <f t="shared" si="18"/>
        <v>880.5</v>
      </c>
      <c r="AA39" s="4">
        <f t="shared" si="10"/>
        <v>2.4106776180698151</v>
      </c>
      <c r="AB39" s="12">
        <v>0.53100599999999998</v>
      </c>
      <c r="AC39" s="62">
        <v>0.81237300000000001</v>
      </c>
      <c r="AD39" s="62">
        <v>0.746695</v>
      </c>
      <c r="AE39" s="62">
        <v>0.711565</v>
      </c>
      <c r="AF39" s="62">
        <v>0.68588700000000002</v>
      </c>
      <c r="AG39" s="62">
        <v>0.66339700000000001</v>
      </c>
      <c r="AH39" s="62">
        <v>0.64246599999999998</v>
      </c>
      <c r="AI39" s="62">
        <v>0.62252300000000005</v>
      </c>
      <c r="AJ39" s="62">
        <v>0.60335000000000005</v>
      </c>
      <c r="AK39" s="62">
        <v>0.58488399999999996</v>
      </c>
      <c r="AL39" s="62">
        <v>0.56709399999999999</v>
      </c>
      <c r="AP39" s="235"/>
      <c r="AQ39" s="4">
        <v>5</v>
      </c>
      <c r="AR39" s="151">
        <v>44144</v>
      </c>
      <c r="AS39" s="151">
        <v>3737.7</v>
      </c>
      <c r="AT39" s="151">
        <v>8021000</v>
      </c>
      <c r="AU39" s="151">
        <v>443360</v>
      </c>
      <c r="AV39" s="151">
        <v>257360</v>
      </c>
      <c r="AW39" s="151">
        <v>146570</v>
      </c>
      <c r="AX39" s="151">
        <v>97560</v>
      </c>
      <c r="AY39" s="167"/>
      <c r="BA39" s="66">
        <v>33</v>
      </c>
      <c r="BB39" s="101">
        <f t="shared" si="13"/>
        <v>201.25</v>
      </c>
      <c r="BC39" s="103">
        <v>0.63897530000000002</v>
      </c>
      <c r="BD39" s="66"/>
      <c r="BE39" s="64">
        <f t="shared" si="14"/>
        <v>201.25</v>
      </c>
      <c r="BF39" s="12">
        <v>0.72509460000000003</v>
      </c>
      <c r="BG39" s="66"/>
      <c r="BH39" s="64">
        <f t="shared" si="15"/>
        <v>201.25</v>
      </c>
      <c r="BI39" s="104">
        <v>0.9107113</v>
      </c>
      <c r="BJ39" s="66">
        <v>33</v>
      </c>
      <c r="BK39" s="64">
        <f t="shared" si="16"/>
        <v>201.25</v>
      </c>
      <c r="BL39" s="104">
        <v>1.0109680000000001</v>
      </c>
      <c r="BM39" s="66">
        <v>33</v>
      </c>
      <c r="BN39" s="64">
        <f t="shared" si="17"/>
        <v>201.25</v>
      </c>
      <c r="BO39" s="103">
        <v>0.9969943</v>
      </c>
      <c r="BR39" s="64">
        <f t="shared" si="12"/>
        <v>207.5</v>
      </c>
      <c r="BS39" s="18">
        <f t="shared" si="0"/>
        <v>66.936214889039988</v>
      </c>
      <c r="BT39" s="18">
        <f t="shared" si="1"/>
        <v>60.626003037809994</v>
      </c>
      <c r="BU39" s="18">
        <f t="shared" si="2"/>
        <v>60.069717161720007</v>
      </c>
      <c r="BV39" s="18">
        <f t="shared" si="3"/>
        <v>55.784697286499998</v>
      </c>
      <c r="BW39" s="18">
        <f t="shared" si="4"/>
        <v>48.836550179085002</v>
      </c>
    </row>
    <row r="40" spans="1:75" x14ac:dyDescent="0.25">
      <c r="A40" s="4"/>
      <c r="B40" s="4">
        <v>18</v>
      </c>
      <c r="C40" s="4">
        <v>35</v>
      </c>
      <c r="D40" s="4">
        <v>720</v>
      </c>
      <c r="E40" s="4">
        <f t="shared" si="5"/>
        <v>21852</v>
      </c>
      <c r="F40" s="4">
        <f t="shared" si="6"/>
        <v>910.5</v>
      </c>
      <c r="G40" s="4">
        <f t="shared" si="7"/>
        <v>2.4928131416837784</v>
      </c>
      <c r="H40" s="4">
        <v>1.0378569</v>
      </c>
      <c r="I40" s="58">
        <v>0.88314519999999996</v>
      </c>
      <c r="J40" s="58">
        <v>0.93593110000000002</v>
      </c>
      <c r="K40" s="58">
        <v>0.96562619999999999</v>
      </c>
      <c r="L40" s="58">
        <v>0.98771439999999999</v>
      </c>
      <c r="M40" s="58">
        <v>1.0071181</v>
      </c>
      <c r="N40" s="58">
        <v>1.0253702</v>
      </c>
      <c r="O40" s="58">
        <v>1.0430218</v>
      </c>
      <c r="P40" s="58">
        <v>1.0604963000000001</v>
      </c>
      <c r="Q40" s="58">
        <v>1.0777766</v>
      </c>
      <c r="R40" s="58">
        <v>1.0949526999999999</v>
      </c>
      <c r="U40" s="4"/>
      <c r="V40" s="4">
        <v>18</v>
      </c>
      <c r="W40" s="4">
        <v>35</v>
      </c>
      <c r="X40" s="4">
        <v>720</v>
      </c>
      <c r="Y40" s="4">
        <f t="shared" si="8"/>
        <v>21852</v>
      </c>
      <c r="Z40" s="4">
        <f t="shared" si="18"/>
        <v>910.5</v>
      </c>
      <c r="AA40" s="4">
        <f t="shared" si="10"/>
        <v>2.4928131416837784</v>
      </c>
      <c r="AB40" s="12">
        <v>0.53264400000000001</v>
      </c>
      <c r="AC40" s="62">
        <v>0.81261700000000003</v>
      </c>
      <c r="AD40" s="62">
        <v>0.74713200000000002</v>
      </c>
      <c r="AE40" s="62">
        <v>0.71201800000000004</v>
      </c>
      <c r="AF40" s="62">
        <v>0.68624300000000005</v>
      </c>
      <c r="AG40" s="62">
        <v>0.66377699999999995</v>
      </c>
      <c r="AH40" s="62">
        <v>0.64288400000000001</v>
      </c>
      <c r="AI40" s="62">
        <v>0.62298600000000004</v>
      </c>
      <c r="AJ40" s="62">
        <v>0.60383699999999996</v>
      </c>
      <c r="AK40" s="62">
        <v>0.58539300000000005</v>
      </c>
      <c r="AL40" s="62">
        <v>0.56761700000000004</v>
      </c>
      <c r="AP40" s="235"/>
      <c r="AQ40" s="4">
        <v>7</v>
      </c>
      <c r="AR40" s="151">
        <v>39029</v>
      </c>
      <c r="AS40" s="151">
        <v>4895.3999999999996</v>
      </c>
      <c r="AT40" s="151">
        <v>7953700</v>
      </c>
      <c r="AU40" s="151">
        <v>400480</v>
      </c>
      <c r="AV40" s="151">
        <v>249120</v>
      </c>
      <c r="AW40" s="151">
        <v>144990</v>
      </c>
      <c r="AX40" s="151">
        <v>98980</v>
      </c>
      <c r="AY40" s="167"/>
      <c r="BA40" s="67">
        <v>34</v>
      </c>
      <c r="BB40" s="101">
        <f t="shared" si="13"/>
        <v>207.5</v>
      </c>
      <c r="BC40" s="103">
        <v>0.51049739999999999</v>
      </c>
      <c r="BD40" s="68"/>
      <c r="BE40" s="64">
        <f t="shared" si="14"/>
        <v>207.5</v>
      </c>
      <c r="BF40" s="12">
        <v>0.58478609999999998</v>
      </c>
      <c r="BG40" s="68"/>
      <c r="BH40" s="64">
        <f t="shared" si="15"/>
        <v>207.5</v>
      </c>
      <c r="BI40" s="104">
        <v>0.751834</v>
      </c>
      <c r="BJ40" s="68">
        <v>34</v>
      </c>
      <c r="BK40" s="64">
        <f t="shared" si="16"/>
        <v>207.5</v>
      </c>
      <c r="BL40" s="104">
        <v>0.84090350000000003</v>
      </c>
      <c r="BM40" s="68">
        <v>34</v>
      </c>
      <c r="BN40" s="64">
        <f t="shared" si="17"/>
        <v>207.5</v>
      </c>
      <c r="BO40" s="103">
        <v>0.83144370000000001</v>
      </c>
      <c r="BR40" s="64">
        <f t="shared" si="12"/>
        <v>213.75</v>
      </c>
      <c r="BS40" s="18">
        <f t="shared" si="0"/>
        <v>49.551617827359998</v>
      </c>
      <c r="BT40" s="18">
        <f t="shared" si="1"/>
        <v>45.209671485930002</v>
      </c>
      <c r="BU40" s="18">
        <f t="shared" si="2"/>
        <v>45.476360256656001</v>
      </c>
      <c r="BV40" s="18">
        <f t="shared" si="3"/>
        <v>42.4291838607</v>
      </c>
      <c r="BW40" s="18">
        <f t="shared" si="4"/>
        <v>37.186303007195001</v>
      </c>
    </row>
    <row r="41" spans="1:75" x14ac:dyDescent="0.25">
      <c r="A41" s="4"/>
      <c r="B41" s="4">
        <v>19</v>
      </c>
      <c r="C41" s="4">
        <v>36</v>
      </c>
      <c r="D41" s="4">
        <v>720</v>
      </c>
      <c r="E41" s="4">
        <f t="shared" si="5"/>
        <v>22572</v>
      </c>
      <c r="F41" s="4">
        <f t="shared" si="6"/>
        <v>940.5</v>
      </c>
      <c r="G41" s="4">
        <f t="shared" si="7"/>
        <v>2.5749486652977414</v>
      </c>
      <c r="H41" s="4">
        <v>1.0353406999999999</v>
      </c>
      <c r="I41" s="58">
        <v>0.88149949999999999</v>
      </c>
      <c r="J41" s="58">
        <v>0.93405729999999998</v>
      </c>
      <c r="K41" s="58">
        <v>0.96429909999999996</v>
      </c>
      <c r="L41" s="58">
        <v>0.98639069999999995</v>
      </c>
      <c r="M41" s="58">
        <v>1.0058638</v>
      </c>
      <c r="N41" s="58">
        <v>1.024044</v>
      </c>
      <c r="O41" s="58">
        <v>1.0417063</v>
      </c>
      <c r="P41" s="58">
        <v>1.0591012</v>
      </c>
      <c r="Q41" s="58">
        <v>1.0763583999999999</v>
      </c>
      <c r="R41" s="58">
        <v>1.0934931999999999</v>
      </c>
      <c r="U41" s="4"/>
      <c r="V41" s="4">
        <v>19</v>
      </c>
      <c r="W41" s="4">
        <v>36</v>
      </c>
      <c r="X41" s="4">
        <v>720</v>
      </c>
      <c r="Y41" s="4">
        <f t="shared" si="8"/>
        <v>22572</v>
      </c>
      <c r="Z41" s="4">
        <f t="shared" si="18"/>
        <v>940.5</v>
      </c>
      <c r="AA41" s="4">
        <f t="shared" si="10"/>
        <v>2.5749486652977414</v>
      </c>
      <c r="AB41" s="12">
        <v>0.53441000000000005</v>
      </c>
      <c r="AC41" s="62">
        <v>0.81309699999999996</v>
      </c>
      <c r="AD41" s="62">
        <v>0.747668</v>
      </c>
      <c r="AE41" s="62">
        <v>0.71240700000000001</v>
      </c>
      <c r="AF41" s="62">
        <v>0.68660200000000005</v>
      </c>
      <c r="AG41" s="62">
        <v>0.66416799999999998</v>
      </c>
      <c r="AH41" s="62">
        <v>0.64332199999999995</v>
      </c>
      <c r="AI41" s="62">
        <v>0.62344100000000002</v>
      </c>
      <c r="AJ41" s="62">
        <v>0.604321</v>
      </c>
      <c r="AK41" s="62">
        <v>0.585893</v>
      </c>
      <c r="AL41" s="62">
        <v>0.56813199999999997</v>
      </c>
      <c r="AO41" s="146">
        <f>AR41/(AR41+AT41)</f>
        <v>7.1096434902481924E-3</v>
      </c>
      <c r="AP41" s="234" t="s">
        <v>235</v>
      </c>
      <c r="AQ41" s="4">
        <v>0</v>
      </c>
      <c r="AR41" s="151">
        <v>57288</v>
      </c>
      <c r="AS41" s="151">
        <v>0</v>
      </c>
      <c r="AT41" s="151">
        <v>8000500</v>
      </c>
      <c r="AU41" s="151">
        <v>665270</v>
      </c>
      <c r="AV41" s="151">
        <v>317490</v>
      </c>
      <c r="AW41" s="151">
        <v>166050</v>
      </c>
      <c r="AX41" s="151">
        <v>112050</v>
      </c>
      <c r="AY41" s="167"/>
      <c r="BA41" s="66">
        <v>35</v>
      </c>
      <c r="BB41" s="101">
        <f t="shared" si="13"/>
        <v>213.75</v>
      </c>
      <c r="BC41" s="103">
        <v>0.37791160000000001</v>
      </c>
      <c r="BD41" s="66"/>
      <c r="BE41" s="64">
        <f t="shared" si="14"/>
        <v>213.75</v>
      </c>
      <c r="BF41" s="12">
        <v>0.43608330000000001</v>
      </c>
      <c r="BG41" s="66"/>
      <c r="BH41" s="64">
        <f t="shared" si="15"/>
        <v>213.75</v>
      </c>
      <c r="BI41" s="104">
        <v>0.5691832</v>
      </c>
      <c r="BJ41" s="66">
        <v>35</v>
      </c>
      <c r="BK41" s="64">
        <f t="shared" si="16"/>
        <v>213.75</v>
      </c>
      <c r="BL41" s="104">
        <v>0.63958130000000002</v>
      </c>
      <c r="BM41" s="66">
        <v>35</v>
      </c>
      <c r="BN41" s="64">
        <f t="shared" si="17"/>
        <v>213.75</v>
      </c>
      <c r="BO41" s="103">
        <v>0.63309789999999999</v>
      </c>
      <c r="BR41" s="64">
        <f t="shared" si="12"/>
        <v>220</v>
      </c>
      <c r="BS41" s="18">
        <f t="shared" si="0"/>
        <v>37.504899681680001</v>
      </c>
      <c r="BT41" s="18">
        <f t="shared" si="1"/>
        <v>34.516661544469997</v>
      </c>
      <c r="BU41" s="18">
        <f t="shared" si="2"/>
        <v>33.905984219198004</v>
      </c>
      <c r="BV41" s="18">
        <f t="shared" si="3"/>
        <v>31.517420079599997</v>
      </c>
      <c r="BW41" s="18">
        <f t="shared" si="4"/>
        <v>27.507423949635001</v>
      </c>
    </row>
    <row r="42" spans="1:75" x14ac:dyDescent="0.25">
      <c r="A42" s="4"/>
      <c r="B42" s="4">
        <v>20</v>
      </c>
      <c r="C42" s="4">
        <v>37</v>
      </c>
      <c r="D42" s="4">
        <v>720</v>
      </c>
      <c r="E42" s="4">
        <f t="shared" si="5"/>
        <v>23292</v>
      </c>
      <c r="F42" s="4">
        <f t="shared" si="6"/>
        <v>970.5</v>
      </c>
      <c r="G42" s="4">
        <f t="shared" si="7"/>
        <v>2.6570841889117043</v>
      </c>
      <c r="H42" s="4">
        <v>1.0330321</v>
      </c>
      <c r="I42" s="58">
        <v>0.88003580000000003</v>
      </c>
      <c r="J42" s="58">
        <v>0.93278989999999995</v>
      </c>
      <c r="K42" s="58">
        <v>0.96291740000000003</v>
      </c>
      <c r="L42" s="58">
        <v>0.98512069999999996</v>
      </c>
      <c r="M42" s="58">
        <v>1.0045443999999999</v>
      </c>
      <c r="N42" s="58">
        <v>1.0227782999999999</v>
      </c>
      <c r="O42" s="58">
        <v>1.0403998000000001</v>
      </c>
      <c r="P42" s="58">
        <v>1.0577650999999999</v>
      </c>
      <c r="Q42" s="58">
        <v>1.0749712</v>
      </c>
      <c r="R42" s="58">
        <v>1.0920597000000001</v>
      </c>
      <c r="U42" s="4"/>
      <c r="V42" s="4">
        <v>20</v>
      </c>
      <c r="W42" s="4">
        <v>37</v>
      </c>
      <c r="X42" s="4">
        <v>720</v>
      </c>
      <c r="Y42" s="4">
        <f t="shared" si="8"/>
        <v>23292</v>
      </c>
      <c r="Z42" s="4">
        <f t="shared" si="18"/>
        <v>970.5</v>
      </c>
      <c r="AA42" s="4">
        <f t="shared" si="10"/>
        <v>2.6570841889117043</v>
      </c>
      <c r="AB42" s="12">
        <v>0.53593999999999997</v>
      </c>
      <c r="AC42" s="62">
        <v>0.81330599999999997</v>
      </c>
      <c r="AD42" s="62">
        <v>0.74786200000000003</v>
      </c>
      <c r="AE42" s="62">
        <v>0.71270699999999998</v>
      </c>
      <c r="AF42" s="62">
        <v>0.68692399999999998</v>
      </c>
      <c r="AG42" s="62">
        <v>0.66455500000000001</v>
      </c>
      <c r="AH42" s="62">
        <v>0.643733</v>
      </c>
      <c r="AI42" s="62">
        <v>0.62387999999999999</v>
      </c>
      <c r="AJ42" s="62">
        <v>0.60478299999999996</v>
      </c>
      <c r="AK42" s="62">
        <v>0.58637899999999998</v>
      </c>
      <c r="AL42" s="62">
        <v>0.56863799999999998</v>
      </c>
      <c r="AP42" s="234"/>
      <c r="AQ42" s="4">
        <v>1</v>
      </c>
      <c r="AR42" s="151">
        <v>54624</v>
      </c>
      <c r="AS42" s="151">
        <v>766.39</v>
      </c>
      <c r="AT42" s="151">
        <v>7972400</v>
      </c>
      <c r="AU42" s="151">
        <v>636580</v>
      </c>
      <c r="AV42" s="151">
        <v>315450</v>
      </c>
      <c r="AW42" s="151">
        <v>167290</v>
      </c>
      <c r="AX42" s="151">
        <v>111940</v>
      </c>
      <c r="AY42" s="167"/>
      <c r="BA42" s="67">
        <v>36</v>
      </c>
      <c r="BB42" s="101">
        <f t="shared" si="13"/>
        <v>220</v>
      </c>
      <c r="BC42" s="103">
        <v>0.28603580000000001</v>
      </c>
      <c r="BD42" s="68"/>
      <c r="BE42" s="64">
        <f t="shared" si="14"/>
        <v>220</v>
      </c>
      <c r="BF42" s="12">
        <v>0.33294069999999998</v>
      </c>
      <c r="BG42" s="68"/>
      <c r="BH42" s="64">
        <f t="shared" si="15"/>
        <v>220</v>
      </c>
      <c r="BI42" s="104">
        <v>0.42436810000000003</v>
      </c>
      <c r="BJ42" s="68">
        <v>36</v>
      </c>
      <c r="BK42" s="64">
        <f t="shared" si="16"/>
        <v>220</v>
      </c>
      <c r="BL42" s="104">
        <v>0.47509639999999997</v>
      </c>
      <c r="BM42" s="68">
        <v>36</v>
      </c>
      <c r="BN42" s="64">
        <f t="shared" si="17"/>
        <v>220</v>
      </c>
      <c r="BO42" s="103">
        <v>0.46831469999999997</v>
      </c>
      <c r="BR42" s="64">
        <f>BR41+5.2376</f>
        <v>225.23759999999999</v>
      </c>
      <c r="BS42" s="18">
        <f t="shared" si="0"/>
        <v>0</v>
      </c>
      <c r="BT42" s="18">
        <f t="shared" si="1"/>
        <v>0</v>
      </c>
      <c r="BU42" s="18">
        <f t="shared" si="2"/>
        <v>0</v>
      </c>
      <c r="BV42" s="18">
        <f t="shared" si="3"/>
        <v>0</v>
      </c>
      <c r="BW42" s="18">
        <f t="shared" si="4"/>
        <v>0</v>
      </c>
    </row>
    <row r="43" spans="1:75" x14ac:dyDescent="0.25">
      <c r="A43" s="4"/>
      <c r="B43" s="4">
        <v>21</v>
      </c>
      <c r="C43" s="4">
        <v>38</v>
      </c>
      <c r="D43" s="4">
        <v>720</v>
      </c>
      <c r="E43" s="4">
        <f t="shared" si="5"/>
        <v>24012</v>
      </c>
      <c r="F43" s="4">
        <f t="shared" si="6"/>
        <v>1000.5</v>
      </c>
      <c r="G43" s="4">
        <f t="shared" si="7"/>
        <v>2.7392197125256672</v>
      </c>
      <c r="H43" s="4">
        <v>1.0311634999999999</v>
      </c>
      <c r="I43" s="58">
        <v>0.87871560000000004</v>
      </c>
      <c r="J43" s="58">
        <v>0.93128710000000003</v>
      </c>
      <c r="K43" s="58">
        <v>0.9615899</v>
      </c>
      <c r="L43" s="58">
        <v>0.98380619999999996</v>
      </c>
      <c r="M43" s="58">
        <v>1.0032456000000001</v>
      </c>
      <c r="N43" s="58">
        <v>1.0214380000000001</v>
      </c>
      <c r="O43" s="58">
        <v>1.0390769</v>
      </c>
      <c r="P43" s="58">
        <v>1.0564127000000001</v>
      </c>
      <c r="Q43" s="58">
        <v>1.0735766</v>
      </c>
      <c r="R43" s="58">
        <v>1.090624</v>
      </c>
      <c r="U43" s="4"/>
      <c r="V43" s="4">
        <v>21</v>
      </c>
      <c r="W43" s="4">
        <v>38</v>
      </c>
      <c r="X43" s="4">
        <v>720</v>
      </c>
      <c r="Y43" s="4">
        <f t="shared" si="8"/>
        <v>24012</v>
      </c>
      <c r="Z43" s="4">
        <f t="shared" si="18"/>
        <v>1000.5</v>
      </c>
      <c r="AA43" s="4">
        <f t="shared" si="10"/>
        <v>2.7392197125256672</v>
      </c>
      <c r="AB43" s="12">
        <v>0.53699799999999998</v>
      </c>
      <c r="AC43" s="62">
        <v>0.81327099999999997</v>
      </c>
      <c r="AD43" s="62">
        <v>0.74800699999999998</v>
      </c>
      <c r="AE43" s="62">
        <v>0.71301599999999998</v>
      </c>
      <c r="AF43" s="62">
        <v>0.68729399999999996</v>
      </c>
      <c r="AG43" s="62">
        <v>0.66495199999999999</v>
      </c>
      <c r="AH43" s="62">
        <v>0.64415699999999998</v>
      </c>
      <c r="AI43" s="62">
        <v>0.62432200000000004</v>
      </c>
      <c r="AJ43" s="62">
        <v>0.60525399999999996</v>
      </c>
      <c r="AK43" s="62">
        <v>0.58687199999999995</v>
      </c>
      <c r="AL43" s="62">
        <v>0.56914799999999999</v>
      </c>
      <c r="AP43" s="234"/>
      <c r="AQ43" s="4">
        <v>3</v>
      </c>
      <c r="AR43" s="151">
        <v>49338</v>
      </c>
      <c r="AS43" s="151">
        <v>2204.1</v>
      </c>
      <c r="AT43" s="151">
        <v>7912000</v>
      </c>
      <c r="AU43" s="151">
        <v>581100</v>
      </c>
      <c r="AV43" s="151">
        <v>309960</v>
      </c>
      <c r="AW43" s="151">
        <v>168230</v>
      </c>
      <c r="AX43" s="151">
        <v>112190</v>
      </c>
      <c r="AY43" s="167"/>
      <c r="BA43" s="66">
        <v>37</v>
      </c>
      <c r="BB43" s="101">
        <f>BB42+5.2376</f>
        <v>225.23759999999999</v>
      </c>
      <c r="BC43" s="103">
        <v>0</v>
      </c>
      <c r="BD43" s="66"/>
      <c r="BE43" s="64">
        <f>BE42+5.2376</f>
        <v>225.23759999999999</v>
      </c>
      <c r="BF43" s="12">
        <v>0</v>
      </c>
      <c r="BG43" s="66"/>
      <c r="BH43" s="64">
        <f>BH42+5.2376</f>
        <v>225.23759999999999</v>
      </c>
      <c r="BI43" s="104">
        <v>0</v>
      </c>
      <c r="BJ43" s="66">
        <v>37</v>
      </c>
      <c r="BK43" s="64">
        <f>BK42+5.2376</f>
        <v>225.23759999999999</v>
      </c>
      <c r="BL43" s="104">
        <v>0</v>
      </c>
      <c r="BM43" s="66">
        <v>37</v>
      </c>
      <c r="BN43" s="64">
        <f>BN42+5.2376</f>
        <v>225.23759999999999</v>
      </c>
      <c r="BO43" s="103">
        <v>0</v>
      </c>
      <c r="BR43" s="64">
        <f>BR42+(14.7624/2)</f>
        <v>232.61879999999999</v>
      </c>
      <c r="BS43" s="18">
        <f t="shared" si="0"/>
        <v>0</v>
      </c>
      <c r="BT43" s="18">
        <f t="shared" si="1"/>
        <v>0</v>
      </c>
      <c r="BU43" s="18">
        <f t="shared" si="2"/>
        <v>0</v>
      </c>
      <c r="BV43" s="18">
        <f t="shared" si="3"/>
        <v>0</v>
      </c>
      <c r="BW43" s="18">
        <f t="shared" si="4"/>
        <v>0</v>
      </c>
    </row>
    <row r="44" spans="1:75" x14ac:dyDescent="0.25">
      <c r="A44" s="4"/>
      <c r="B44" s="4">
        <v>22</v>
      </c>
      <c r="C44" s="4">
        <v>39</v>
      </c>
      <c r="D44" s="4">
        <v>720</v>
      </c>
      <c r="E44" s="4">
        <f t="shared" si="5"/>
        <v>24732</v>
      </c>
      <c r="F44" s="4">
        <f t="shared" si="6"/>
        <v>1030.5</v>
      </c>
      <c r="G44" s="4">
        <f t="shared" si="7"/>
        <v>2.8213552361396306</v>
      </c>
      <c r="H44" s="13">
        <v>1.0291526</v>
      </c>
      <c r="I44" s="58">
        <v>0.87741769999999997</v>
      </c>
      <c r="J44" s="58">
        <v>0.92995729999999999</v>
      </c>
      <c r="K44" s="58">
        <v>0.96026769999999995</v>
      </c>
      <c r="L44" s="58">
        <v>0.98239469999999995</v>
      </c>
      <c r="M44" s="58">
        <v>1.0018066000000001</v>
      </c>
      <c r="N44" s="58">
        <v>1.0200549000000001</v>
      </c>
      <c r="O44" s="58">
        <v>1.0376898999999999</v>
      </c>
      <c r="P44" s="58">
        <v>1.0550447000000001</v>
      </c>
      <c r="Q44" s="58">
        <v>1.0721349</v>
      </c>
      <c r="R44" s="58">
        <v>1.0891447999999999</v>
      </c>
      <c r="U44" s="4"/>
      <c r="V44" s="4">
        <v>22</v>
      </c>
      <c r="W44" s="4">
        <v>39</v>
      </c>
      <c r="X44" s="4">
        <v>720</v>
      </c>
      <c r="Y44" s="4">
        <f t="shared" si="8"/>
        <v>24732</v>
      </c>
      <c r="Z44" s="4">
        <f t="shared" si="18"/>
        <v>1030.5</v>
      </c>
      <c r="AA44" s="4">
        <f t="shared" si="10"/>
        <v>2.8213552361396306</v>
      </c>
      <c r="AB44" s="12">
        <v>0.53817300000000001</v>
      </c>
      <c r="AC44" s="62">
        <v>0.81324600000000002</v>
      </c>
      <c r="AD44" s="62">
        <v>0.74823399999999995</v>
      </c>
      <c r="AE44" s="62">
        <v>0.71335499999999996</v>
      </c>
      <c r="AF44" s="62">
        <v>0.68774000000000002</v>
      </c>
      <c r="AG44" s="62">
        <v>0.66540699999999997</v>
      </c>
      <c r="AH44" s="62">
        <v>0.64461599999999997</v>
      </c>
      <c r="AI44" s="62">
        <v>0.62479700000000005</v>
      </c>
      <c r="AJ44" s="62">
        <v>0.60573299999999997</v>
      </c>
      <c r="AK44" s="62">
        <v>0.58738000000000001</v>
      </c>
      <c r="AL44" s="62">
        <v>0.56966899999999998</v>
      </c>
      <c r="AP44" s="234"/>
      <c r="AQ44" s="4">
        <v>5</v>
      </c>
      <c r="AR44" s="151">
        <v>44411</v>
      </c>
      <c r="AS44" s="151">
        <v>3455.3</v>
      </c>
      <c r="AT44" s="151">
        <v>7849900</v>
      </c>
      <c r="AU44" s="151">
        <v>529960</v>
      </c>
      <c r="AV44" s="151">
        <v>303070</v>
      </c>
      <c r="AW44" s="151">
        <v>167540</v>
      </c>
      <c r="AX44" s="151">
        <v>112890</v>
      </c>
      <c r="AY44" s="167"/>
      <c r="BA44" s="67">
        <v>38</v>
      </c>
      <c r="BB44" s="101">
        <f>BB43+(14.7624/2)</f>
        <v>232.61879999999999</v>
      </c>
      <c r="BC44" s="103">
        <v>0</v>
      </c>
      <c r="BD44" s="68"/>
      <c r="BE44" s="64">
        <f>BE43+(14.7624/2)</f>
        <v>232.61879999999999</v>
      </c>
      <c r="BF44" s="12">
        <v>0</v>
      </c>
      <c r="BG44" s="68"/>
      <c r="BH44" s="64">
        <f>BH43+(14.7624/2)</f>
        <v>232.61879999999999</v>
      </c>
      <c r="BI44" s="104">
        <v>0</v>
      </c>
      <c r="BJ44" s="68">
        <v>38</v>
      </c>
      <c r="BK44" s="64">
        <f>BK43+(14.7624/2)</f>
        <v>232.61879999999999</v>
      </c>
      <c r="BL44" s="104">
        <v>0</v>
      </c>
      <c r="BM44" s="68">
        <v>38</v>
      </c>
      <c r="BN44" s="64">
        <f>BN43+(14.7624/2)</f>
        <v>232.61879999999999</v>
      </c>
      <c r="BO44" s="103">
        <v>0</v>
      </c>
      <c r="BQ44" s="72" t="s">
        <v>252</v>
      </c>
      <c r="BR44" s="4">
        <f>BR42+14.7624</f>
        <v>240</v>
      </c>
      <c r="BS44" s="18">
        <f t="shared" si="0"/>
        <v>0</v>
      </c>
      <c r="BT44" s="18">
        <f t="shared" si="1"/>
        <v>0</v>
      </c>
      <c r="BU44" s="18">
        <f t="shared" si="2"/>
        <v>0</v>
      </c>
      <c r="BV44" s="18">
        <f t="shared" si="3"/>
        <v>0</v>
      </c>
      <c r="BW44" s="18">
        <f t="shared" si="4"/>
        <v>0</v>
      </c>
    </row>
    <row r="45" spans="1:75" x14ac:dyDescent="0.25">
      <c r="A45" s="4"/>
      <c r="B45" s="4">
        <v>23</v>
      </c>
      <c r="C45" s="4">
        <v>40</v>
      </c>
      <c r="D45" s="4">
        <v>720</v>
      </c>
      <c r="E45" s="4">
        <f t="shared" si="5"/>
        <v>25452</v>
      </c>
      <c r="F45" s="4">
        <f t="shared" si="6"/>
        <v>1060.5</v>
      </c>
      <c r="G45" s="4">
        <f t="shared" si="7"/>
        <v>2.9034907597535935</v>
      </c>
      <c r="H45" s="4">
        <v>1.0268739</v>
      </c>
      <c r="I45" s="58">
        <v>0.8761852</v>
      </c>
      <c r="J45" s="58">
        <v>0.92843540000000002</v>
      </c>
      <c r="K45" s="58">
        <v>0.95862369999999997</v>
      </c>
      <c r="L45" s="58">
        <v>0.98102610000000001</v>
      </c>
      <c r="M45" s="57">
        <v>1.0004751999999999</v>
      </c>
      <c r="N45" s="58">
        <v>1.0187457</v>
      </c>
      <c r="O45" s="58">
        <v>1.0363275999999999</v>
      </c>
      <c r="P45" s="58">
        <v>1.0536156999999999</v>
      </c>
      <c r="Q45" s="58">
        <v>1.0707287999999999</v>
      </c>
      <c r="R45" s="58">
        <v>1.0876858</v>
      </c>
      <c r="U45" s="4"/>
      <c r="V45" s="4">
        <v>23</v>
      </c>
      <c r="W45" s="4">
        <v>40</v>
      </c>
      <c r="X45" s="4">
        <v>720</v>
      </c>
      <c r="Y45" s="4">
        <f t="shared" si="8"/>
        <v>25452</v>
      </c>
      <c r="Z45" s="4">
        <f t="shared" si="18"/>
        <v>1060.5</v>
      </c>
      <c r="AA45" s="4">
        <f t="shared" si="10"/>
        <v>2.9034907597535935</v>
      </c>
      <c r="AB45" s="12">
        <v>0.53965399999999997</v>
      </c>
      <c r="AC45" s="62">
        <v>0.81314900000000001</v>
      </c>
      <c r="AD45" s="62">
        <v>0.748529</v>
      </c>
      <c r="AE45" s="62">
        <v>0.71386000000000005</v>
      </c>
      <c r="AF45" s="62">
        <v>0.68814699999999995</v>
      </c>
      <c r="AG45" s="62">
        <v>0.66580700000000004</v>
      </c>
      <c r="AH45" s="62">
        <v>0.64503200000000005</v>
      </c>
      <c r="AI45" s="62">
        <v>0.62525200000000003</v>
      </c>
      <c r="AJ45" s="62">
        <v>0.60622299999999996</v>
      </c>
      <c r="AK45" s="62">
        <v>0.58787400000000001</v>
      </c>
      <c r="AL45" s="62">
        <v>0.57018000000000002</v>
      </c>
      <c r="AP45" s="234"/>
      <c r="AQ45" s="4">
        <v>7</v>
      </c>
      <c r="AR45" s="151">
        <v>39796</v>
      </c>
      <c r="AS45" s="151">
        <v>4552.2</v>
      </c>
      <c r="AT45" s="151">
        <v>7786200</v>
      </c>
      <c r="AU45" s="151">
        <v>482730</v>
      </c>
      <c r="AV45" s="151">
        <v>294950</v>
      </c>
      <c r="AW45" s="151">
        <v>165620</v>
      </c>
      <c r="AX45" s="151">
        <v>113900</v>
      </c>
      <c r="AY45" s="167"/>
      <c r="BA45" s="68">
        <v>39</v>
      </c>
      <c r="BB45" s="97">
        <f>BB43+14.7624</f>
        <v>240</v>
      </c>
      <c r="BC45" s="103">
        <v>0</v>
      </c>
      <c r="BD45" s="68"/>
      <c r="BE45" s="4">
        <f>BE43+14.7624</f>
        <v>240</v>
      </c>
      <c r="BF45" s="12">
        <v>0</v>
      </c>
      <c r="BG45" s="68"/>
      <c r="BH45" s="4">
        <f>BH43+14.7624</f>
        <v>240</v>
      </c>
      <c r="BI45" s="104">
        <v>0</v>
      </c>
      <c r="BJ45" s="68">
        <v>39</v>
      </c>
      <c r="BK45" s="4">
        <f>BK43+14.7624</f>
        <v>240</v>
      </c>
      <c r="BL45" s="104">
        <v>0</v>
      </c>
      <c r="BM45" s="68">
        <v>39</v>
      </c>
      <c r="BN45" s="4">
        <f>BN43+14.7624</f>
        <v>240</v>
      </c>
      <c r="BO45" s="103">
        <v>0</v>
      </c>
    </row>
    <row r="46" spans="1:75" x14ac:dyDescent="0.25">
      <c r="A46" s="4" t="s">
        <v>223</v>
      </c>
      <c r="B46" s="4">
        <v>24</v>
      </c>
      <c r="C46" s="4">
        <v>41</v>
      </c>
      <c r="D46" s="4">
        <v>846</v>
      </c>
      <c r="E46" s="4">
        <f t="shared" si="5"/>
        <v>26298</v>
      </c>
      <c r="F46" s="4">
        <f t="shared" si="6"/>
        <v>1095.75</v>
      </c>
      <c r="G46" s="4">
        <f t="shared" si="7"/>
        <v>3</v>
      </c>
      <c r="H46" s="4">
        <v>1.0250367</v>
      </c>
      <c r="I46" s="58">
        <v>0.8750213</v>
      </c>
      <c r="J46" s="58">
        <v>0.927064</v>
      </c>
      <c r="K46" s="58">
        <v>0.95731759999999999</v>
      </c>
      <c r="L46" s="58">
        <v>0.97969649999999997</v>
      </c>
      <c r="M46" s="58">
        <v>0.99917840000000002</v>
      </c>
      <c r="N46" s="58">
        <v>1.0173752</v>
      </c>
      <c r="O46" s="58">
        <v>1.0349857</v>
      </c>
      <c r="P46" s="58">
        <v>1.0522465999999999</v>
      </c>
      <c r="Q46" s="58">
        <v>1.0692953999999999</v>
      </c>
      <c r="R46" s="58">
        <v>1.0862235</v>
      </c>
      <c r="U46" s="4" t="s">
        <v>223</v>
      </c>
      <c r="V46" s="4">
        <v>24</v>
      </c>
      <c r="W46" s="4">
        <v>41</v>
      </c>
      <c r="X46" s="4">
        <v>846</v>
      </c>
      <c r="Y46" s="4">
        <f t="shared" si="8"/>
        <v>26298</v>
      </c>
      <c r="Z46" s="4">
        <f t="shared" si="18"/>
        <v>1095.75</v>
      </c>
      <c r="AA46" s="4">
        <f t="shared" si="10"/>
        <v>3</v>
      </c>
      <c r="AB46" s="12">
        <v>0.54067100000000001</v>
      </c>
      <c r="AC46" s="62">
        <v>0.81297200000000003</v>
      </c>
      <c r="AD46" s="62">
        <v>0.74879200000000001</v>
      </c>
      <c r="AE46" s="62">
        <v>0.71420399999999995</v>
      </c>
      <c r="AF46" s="62">
        <v>0.68849800000000005</v>
      </c>
      <c r="AG46" s="62">
        <v>0.66616600000000004</v>
      </c>
      <c r="AH46" s="62">
        <v>0.64545399999999997</v>
      </c>
      <c r="AI46" s="62">
        <v>0.62569799999999998</v>
      </c>
      <c r="AJ46" s="62">
        <v>0.60669799999999996</v>
      </c>
      <c r="AK46" s="62">
        <v>0.58837499999999998</v>
      </c>
      <c r="AL46" s="62">
        <v>0.57069599999999998</v>
      </c>
      <c r="AO46" s="146">
        <f>AR46/(AR46+AT46)</f>
        <v>7.1096852861585484E-3</v>
      </c>
      <c r="AP46" s="200" t="s">
        <v>236</v>
      </c>
      <c r="AQ46" s="4">
        <v>0</v>
      </c>
      <c r="AR46" s="151">
        <v>55998</v>
      </c>
      <c r="AS46" s="151">
        <v>0</v>
      </c>
      <c r="AT46" s="151">
        <v>7820300</v>
      </c>
      <c r="AU46" s="151">
        <v>760880</v>
      </c>
      <c r="AV46" s="151">
        <v>363120</v>
      </c>
      <c r="AW46" s="151">
        <v>189920</v>
      </c>
      <c r="AX46" s="151">
        <v>128150</v>
      </c>
      <c r="AY46" s="167"/>
      <c r="BC46" s="102"/>
    </row>
    <row r="47" spans="1:75" x14ac:dyDescent="0.25">
      <c r="A47" s="4"/>
      <c r="B47" s="4">
        <v>1</v>
      </c>
      <c r="C47" s="4">
        <v>42</v>
      </c>
      <c r="D47" s="4">
        <v>720</v>
      </c>
      <c r="E47" s="4">
        <f t="shared" si="5"/>
        <v>27018</v>
      </c>
      <c r="F47" s="4">
        <f t="shared" si="6"/>
        <v>1125.75</v>
      </c>
      <c r="G47" s="4">
        <f t="shared" si="7"/>
        <v>3.0821355236139629</v>
      </c>
      <c r="H47" s="4">
        <v>1.0250587</v>
      </c>
      <c r="I47" s="58">
        <v>0.87502279999999999</v>
      </c>
      <c r="J47" s="58">
        <v>0.92706840000000001</v>
      </c>
      <c r="K47" s="58">
        <v>0.95727139999999999</v>
      </c>
      <c r="L47" s="58">
        <v>0.97971350000000001</v>
      </c>
      <c r="M47" s="58">
        <v>0.99919550000000001</v>
      </c>
      <c r="N47" s="58">
        <v>1.0173873</v>
      </c>
      <c r="O47" s="58">
        <v>1.0349984000000001</v>
      </c>
      <c r="P47" s="58">
        <v>1.0522549999999999</v>
      </c>
      <c r="Q47" s="58">
        <v>1.0693041000000001</v>
      </c>
      <c r="R47" s="58">
        <v>1.0862461000000001</v>
      </c>
      <c r="S47" t="s">
        <v>243</v>
      </c>
      <c r="U47" s="4"/>
      <c r="V47" s="4">
        <v>1</v>
      </c>
      <c r="W47" s="4">
        <v>42</v>
      </c>
      <c r="X47" s="4">
        <v>720</v>
      </c>
      <c r="Y47" s="4">
        <f t="shared" si="8"/>
        <v>27018</v>
      </c>
      <c r="Z47" s="4">
        <f t="shared" si="18"/>
        <v>1125.75</v>
      </c>
      <c r="AA47" s="4">
        <f t="shared" si="10"/>
        <v>3.0821355236139629</v>
      </c>
      <c r="AB47" s="12">
        <v>0.54073499999999997</v>
      </c>
      <c r="AC47" s="62">
        <v>0.81303899999999996</v>
      </c>
      <c r="AD47" s="62">
        <v>0.74882099999999996</v>
      </c>
      <c r="AE47" s="62">
        <v>0.71424399999999999</v>
      </c>
      <c r="AF47" s="62">
        <v>0.68850699999999998</v>
      </c>
      <c r="AG47" s="62">
        <v>0.66617199999999999</v>
      </c>
      <c r="AH47" s="62">
        <v>0.645459</v>
      </c>
      <c r="AI47" s="62">
        <v>0.62570099999999995</v>
      </c>
      <c r="AJ47" s="62">
        <v>0.60670000000000002</v>
      </c>
      <c r="AK47" s="62">
        <v>0.58837799999999996</v>
      </c>
      <c r="AL47" s="62">
        <v>0.57069400000000003</v>
      </c>
      <c r="AM47" t="s">
        <v>243</v>
      </c>
      <c r="AP47" s="200"/>
      <c r="AQ47" s="4">
        <v>1</v>
      </c>
      <c r="AR47" s="151">
        <v>53610</v>
      </c>
      <c r="AS47" s="151">
        <v>703.23</v>
      </c>
      <c r="AT47" s="151">
        <v>7793800</v>
      </c>
      <c r="AU47" s="151">
        <v>731030</v>
      </c>
      <c r="AV47" s="151">
        <v>361100</v>
      </c>
      <c r="AW47" s="151">
        <v>190190</v>
      </c>
      <c r="AX47" s="151">
        <v>127990</v>
      </c>
      <c r="AY47" s="167"/>
    </row>
    <row r="48" spans="1:75" x14ac:dyDescent="0.25">
      <c r="A48" s="4"/>
      <c r="B48" s="4">
        <v>2</v>
      </c>
      <c r="C48" s="4">
        <v>43</v>
      </c>
      <c r="D48" s="4">
        <v>720</v>
      </c>
      <c r="E48" s="4">
        <f t="shared" si="5"/>
        <v>27738</v>
      </c>
      <c r="F48" s="4">
        <f t="shared" si="6"/>
        <v>1155.75</v>
      </c>
      <c r="G48" s="4">
        <f t="shared" si="7"/>
        <v>3.1642710472279263</v>
      </c>
      <c r="H48" s="4">
        <v>1.0225519000000001</v>
      </c>
      <c r="I48" s="58">
        <v>0.87356199999999995</v>
      </c>
      <c r="J48" s="58">
        <v>0.92565989999999998</v>
      </c>
      <c r="K48" s="58">
        <v>0.95592699999999997</v>
      </c>
      <c r="L48" s="58">
        <v>0.97836869999999998</v>
      </c>
      <c r="M48" s="58">
        <v>0.99783790000000006</v>
      </c>
      <c r="N48" s="58">
        <v>1.0160203000000001</v>
      </c>
      <c r="O48" s="58">
        <v>1.0335671</v>
      </c>
      <c r="P48" s="58">
        <v>1.0508454</v>
      </c>
      <c r="Q48" s="58">
        <v>1.0678791000000001</v>
      </c>
      <c r="R48" s="58">
        <v>1.0847792999999999</v>
      </c>
      <c r="U48" s="4"/>
      <c r="V48" s="4">
        <v>2</v>
      </c>
      <c r="W48" s="4">
        <v>43</v>
      </c>
      <c r="X48" s="4">
        <v>720</v>
      </c>
      <c r="Y48" s="4">
        <f t="shared" si="8"/>
        <v>27738</v>
      </c>
      <c r="Z48" s="4">
        <f t="shared" si="18"/>
        <v>1155.75</v>
      </c>
      <c r="AA48" s="4">
        <f t="shared" si="10"/>
        <v>3.1642710472279263</v>
      </c>
      <c r="AB48" s="95">
        <v>0.54238299999999995</v>
      </c>
      <c r="AC48" s="62">
        <v>0.81340800000000002</v>
      </c>
      <c r="AD48" s="62">
        <v>0.74906600000000001</v>
      </c>
      <c r="AE48" s="62">
        <v>0.71448400000000001</v>
      </c>
      <c r="AF48" s="62">
        <v>0.688832</v>
      </c>
      <c r="AG48" s="62">
        <v>0.66655500000000001</v>
      </c>
      <c r="AH48" s="62">
        <v>0.64589099999999999</v>
      </c>
      <c r="AI48" s="62">
        <v>0.62617999999999996</v>
      </c>
      <c r="AJ48" s="62">
        <v>0.60718799999999995</v>
      </c>
      <c r="AK48" s="62">
        <v>0.58887500000000004</v>
      </c>
      <c r="AL48" s="62">
        <v>0.57120499999999996</v>
      </c>
      <c r="AP48" s="200"/>
      <c r="AQ48" s="4">
        <v>3</v>
      </c>
      <c r="AR48" s="151">
        <v>48847</v>
      </c>
      <c r="AS48" s="151">
        <v>2037.6</v>
      </c>
      <c r="AT48" s="151">
        <v>7736500</v>
      </c>
      <c r="AU48" s="151">
        <v>672580</v>
      </c>
      <c r="AV48" s="151">
        <v>355770</v>
      </c>
      <c r="AW48" s="151">
        <v>189670</v>
      </c>
      <c r="AX48" s="151">
        <v>128020</v>
      </c>
      <c r="AY48" s="167"/>
    </row>
    <row r="49" spans="1:51" x14ac:dyDescent="0.25">
      <c r="A49" s="4"/>
      <c r="B49" s="4">
        <v>3</v>
      </c>
      <c r="C49" s="4">
        <v>44</v>
      </c>
      <c r="D49" s="4">
        <v>720</v>
      </c>
      <c r="E49" s="4">
        <f t="shared" si="5"/>
        <v>28458</v>
      </c>
      <c r="F49" s="4">
        <f t="shared" si="6"/>
        <v>1185.75</v>
      </c>
      <c r="G49" s="4">
        <f t="shared" si="7"/>
        <v>3.2464065708418892</v>
      </c>
      <c r="H49" s="4">
        <v>1.020472</v>
      </c>
      <c r="I49" s="58">
        <v>0.87217880000000003</v>
      </c>
      <c r="J49" s="58">
        <v>0.92427459999999995</v>
      </c>
      <c r="K49" s="58">
        <v>0.95456149999999995</v>
      </c>
      <c r="L49" s="58">
        <v>0.97709539999999995</v>
      </c>
      <c r="M49" s="58">
        <v>0.99651909999999999</v>
      </c>
      <c r="N49" s="58">
        <v>1.0146637999999999</v>
      </c>
      <c r="O49" s="58">
        <v>1.0322096000000001</v>
      </c>
      <c r="P49" s="58">
        <v>1.0494357000000001</v>
      </c>
      <c r="Q49" s="58">
        <v>1.0665017000000001</v>
      </c>
      <c r="R49" s="58">
        <v>1.0833489000000001</v>
      </c>
      <c r="U49" s="4"/>
      <c r="V49" s="4">
        <v>3</v>
      </c>
      <c r="W49" s="4">
        <v>44</v>
      </c>
      <c r="X49" s="4">
        <v>720</v>
      </c>
      <c r="Y49" s="4">
        <f t="shared" si="8"/>
        <v>28458</v>
      </c>
      <c r="Z49" s="4">
        <f t="shared" si="18"/>
        <v>1185.75</v>
      </c>
      <c r="AA49" s="4">
        <f t="shared" si="10"/>
        <v>3.2464065708418892</v>
      </c>
      <c r="AB49" s="12">
        <v>0.54359900000000005</v>
      </c>
      <c r="AC49" s="62">
        <v>0.81360399999999999</v>
      </c>
      <c r="AD49" s="62">
        <v>0.74934699999999999</v>
      </c>
      <c r="AE49" s="62">
        <v>0.71477199999999996</v>
      </c>
      <c r="AF49" s="62">
        <v>0.68915099999999996</v>
      </c>
      <c r="AG49" s="62">
        <v>0.66694900000000001</v>
      </c>
      <c r="AH49" s="62">
        <v>0.64632900000000004</v>
      </c>
      <c r="AI49" s="62">
        <v>0.62663899999999995</v>
      </c>
      <c r="AJ49" s="62">
        <v>0.60767099999999996</v>
      </c>
      <c r="AK49" s="62">
        <v>0.58935899999999997</v>
      </c>
      <c r="AL49" s="62">
        <v>0.57170799999999999</v>
      </c>
      <c r="AP49" s="200"/>
      <c r="AQ49" s="4">
        <v>5</v>
      </c>
      <c r="AR49" s="151">
        <v>44385</v>
      </c>
      <c r="AS49" s="151">
        <v>3212.2</v>
      </c>
      <c r="AT49" s="151">
        <v>7677700</v>
      </c>
      <c r="AU49" s="151">
        <v>617990</v>
      </c>
      <c r="AV49" s="151">
        <v>349100</v>
      </c>
      <c r="AW49" s="151">
        <v>188030</v>
      </c>
      <c r="AX49" s="151">
        <v>128430</v>
      </c>
      <c r="AY49" s="167"/>
    </row>
    <row r="50" spans="1:51" x14ac:dyDescent="0.25">
      <c r="A50" s="4"/>
      <c r="B50" s="4">
        <v>4</v>
      </c>
      <c r="C50" s="4">
        <v>45</v>
      </c>
      <c r="D50" s="4">
        <v>720</v>
      </c>
      <c r="E50" s="4">
        <f t="shared" si="5"/>
        <v>29178</v>
      </c>
      <c r="F50" s="4">
        <f t="shared" si="6"/>
        <v>1215.75</v>
      </c>
      <c r="G50" s="4">
        <f t="shared" si="7"/>
        <v>3.3285420944558521</v>
      </c>
      <c r="H50" s="4">
        <v>1.0181636000000001</v>
      </c>
      <c r="I50" s="58">
        <v>0.87072740000000004</v>
      </c>
      <c r="J50" s="58">
        <v>0.92284639999999996</v>
      </c>
      <c r="K50" s="58">
        <v>0.9532505</v>
      </c>
      <c r="L50" s="58">
        <v>0.97576189999999996</v>
      </c>
      <c r="M50" s="58">
        <v>0.99519230000000003</v>
      </c>
      <c r="N50" s="58">
        <v>1.0133046999999999</v>
      </c>
      <c r="O50" s="58">
        <v>1.0308622000000001</v>
      </c>
      <c r="P50" s="58">
        <v>1.0480809</v>
      </c>
      <c r="Q50" s="58">
        <v>1.0650805000000001</v>
      </c>
      <c r="R50" s="58">
        <v>1.0819456999999999</v>
      </c>
      <c r="U50" s="4"/>
      <c r="V50" s="4">
        <v>4</v>
      </c>
      <c r="W50" s="4">
        <v>45</v>
      </c>
      <c r="X50" s="4">
        <v>720</v>
      </c>
      <c r="Y50" s="4">
        <f t="shared" si="8"/>
        <v>29178</v>
      </c>
      <c r="Z50" s="4">
        <f t="shared" si="18"/>
        <v>1215.75</v>
      </c>
      <c r="AA50" s="4">
        <f t="shared" si="10"/>
        <v>3.3285420944558521</v>
      </c>
      <c r="AB50" s="12">
        <v>0.54525100000000004</v>
      </c>
      <c r="AC50" s="62">
        <v>0.81415599999999999</v>
      </c>
      <c r="AD50" s="62">
        <v>0.74970800000000004</v>
      </c>
      <c r="AE50" s="62">
        <v>0.71508499999999997</v>
      </c>
      <c r="AF50" s="62">
        <v>0.68952500000000005</v>
      </c>
      <c r="AG50" s="62">
        <v>0.66735299999999997</v>
      </c>
      <c r="AH50" s="62">
        <v>0.64676100000000003</v>
      </c>
      <c r="AI50" s="62">
        <v>0.627081</v>
      </c>
      <c r="AJ50" s="62">
        <v>0.60813099999999998</v>
      </c>
      <c r="AK50" s="62">
        <v>0.58984499999999995</v>
      </c>
      <c r="AL50" s="62">
        <v>0.57219799999999998</v>
      </c>
      <c r="AP50" s="200"/>
      <c r="AQ50" s="4">
        <v>7</v>
      </c>
      <c r="AR50" s="151">
        <v>40187</v>
      </c>
      <c r="AS50" s="151">
        <v>4253</v>
      </c>
      <c r="AT50" s="151">
        <v>7617300</v>
      </c>
      <c r="AU50" s="151">
        <v>566990</v>
      </c>
      <c r="AV50" s="151">
        <v>341220</v>
      </c>
      <c r="AW50" s="151">
        <v>185510</v>
      </c>
      <c r="AX50" s="151">
        <v>129110</v>
      </c>
      <c r="AY50" s="167"/>
    </row>
    <row r="51" spans="1:51" x14ac:dyDescent="0.25">
      <c r="A51" s="4"/>
      <c r="B51" s="4">
        <v>5</v>
      </c>
      <c r="C51" s="4">
        <v>46</v>
      </c>
      <c r="D51" s="4">
        <v>720</v>
      </c>
      <c r="E51" s="4">
        <f t="shared" si="5"/>
        <v>29898</v>
      </c>
      <c r="F51" s="4">
        <f t="shared" si="6"/>
        <v>1245.75</v>
      </c>
      <c r="G51" s="4">
        <f t="shared" si="7"/>
        <v>3.4106776180698151</v>
      </c>
      <c r="H51" s="4">
        <v>1.0158895999999999</v>
      </c>
      <c r="I51" s="58">
        <v>0.86936150000000001</v>
      </c>
      <c r="J51" s="58">
        <v>0.92155529999999997</v>
      </c>
      <c r="K51" s="58">
        <v>0.95195129999999994</v>
      </c>
      <c r="L51" s="58">
        <v>0.97456089999999995</v>
      </c>
      <c r="M51" s="58">
        <v>0.99387639999999999</v>
      </c>
      <c r="N51" s="58">
        <v>1.0120106</v>
      </c>
      <c r="O51" s="58">
        <v>1.0295224000000001</v>
      </c>
      <c r="P51" s="58">
        <v>1.0467111</v>
      </c>
      <c r="Q51" s="58">
        <v>1.0637155</v>
      </c>
      <c r="R51" s="58">
        <v>1.0804948999999999</v>
      </c>
      <c r="U51" s="4"/>
      <c r="V51" s="4">
        <v>5</v>
      </c>
      <c r="W51" s="4">
        <v>46</v>
      </c>
      <c r="X51" s="4">
        <v>720</v>
      </c>
      <c r="Y51" s="4">
        <f t="shared" si="8"/>
        <v>29898</v>
      </c>
      <c r="Z51" s="4">
        <f t="shared" si="18"/>
        <v>1245.75</v>
      </c>
      <c r="AA51" s="4">
        <f t="shared" si="10"/>
        <v>3.4106776180698151</v>
      </c>
      <c r="AB51" s="12">
        <v>0.54680399999999996</v>
      </c>
      <c r="AC51" s="62">
        <v>0.81453600000000004</v>
      </c>
      <c r="AD51" s="62">
        <v>0.749892</v>
      </c>
      <c r="AE51" s="63">
        <v>0.71533400000000003</v>
      </c>
      <c r="AF51" s="62">
        <v>0.68983499999999998</v>
      </c>
      <c r="AG51" s="62">
        <v>0.66775099999999998</v>
      </c>
      <c r="AH51" s="62">
        <v>0.64717000000000002</v>
      </c>
      <c r="AI51" s="62">
        <v>0.62752200000000002</v>
      </c>
      <c r="AJ51" s="62">
        <v>0.60860099999999995</v>
      </c>
      <c r="AK51" s="62">
        <v>0.59032899999999999</v>
      </c>
      <c r="AL51" s="62">
        <v>0.57270900000000002</v>
      </c>
      <c r="AO51" s="146">
        <f>AR51/(AR51+AT51)</f>
        <v>7.1097481761662152E-3</v>
      </c>
      <c r="AP51" s="200" t="s">
        <v>237</v>
      </c>
      <c r="AQ51" s="4">
        <v>0</v>
      </c>
      <c r="AR51" s="151">
        <v>54706</v>
      </c>
      <c r="AS51" s="151">
        <v>0</v>
      </c>
      <c r="AT51" s="151">
        <v>7639800</v>
      </c>
      <c r="AU51" s="151">
        <v>856630</v>
      </c>
      <c r="AV51" s="151">
        <v>408820</v>
      </c>
      <c r="AW51" s="151">
        <v>213820</v>
      </c>
      <c r="AX51" s="151">
        <v>144280</v>
      </c>
      <c r="AY51" s="167"/>
    </row>
    <row r="52" spans="1:51" x14ac:dyDescent="0.25">
      <c r="A52" s="4"/>
      <c r="B52" s="4">
        <v>6</v>
      </c>
      <c r="C52" s="4">
        <v>47</v>
      </c>
      <c r="D52" s="4">
        <v>720</v>
      </c>
      <c r="E52" s="4">
        <f t="shared" si="5"/>
        <v>30618</v>
      </c>
      <c r="F52" s="4">
        <f t="shared" si="6"/>
        <v>1275.75</v>
      </c>
      <c r="G52" s="4">
        <f t="shared" si="7"/>
        <v>3.4928131416837784</v>
      </c>
      <c r="H52" s="4">
        <v>1.0137388000000001</v>
      </c>
      <c r="I52" s="58">
        <v>0.86808850000000004</v>
      </c>
      <c r="J52" s="58">
        <v>0.9202842</v>
      </c>
      <c r="K52" s="58">
        <v>0.95071850000000002</v>
      </c>
      <c r="L52" s="58">
        <v>0.97313130000000003</v>
      </c>
      <c r="M52" s="58">
        <v>0.99259909999999996</v>
      </c>
      <c r="N52" s="58">
        <v>1.0106820999999999</v>
      </c>
      <c r="O52" s="58">
        <v>1.0281992</v>
      </c>
      <c r="P52" s="58">
        <v>1.0453893999999999</v>
      </c>
      <c r="Q52" s="58">
        <v>1.0623267000000001</v>
      </c>
      <c r="R52" s="58">
        <v>1.0790834</v>
      </c>
      <c r="U52" s="4"/>
      <c r="V52" s="4">
        <v>6</v>
      </c>
      <c r="W52" s="4">
        <v>47</v>
      </c>
      <c r="X52" s="4">
        <v>720</v>
      </c>
      <c r="Y52" s="4">
        <f t="shared" si="8"/>
        <v>30618</v>
      </c>
      <c r="Z52" s="4">
        <f t="shared" si="18"/>
        <v>1275.75</v>
      </c>
      <c r="AA52" s="4">
        <f t="shared" si="10"/>
        <v>3.4928131416837784</v>
      </c>
      <c r="AB52" s="12">
        <v>0.54811500000000002</v>
      </c>
      <c r="AC52" s="62">
        <v>0.81471099999999996</v>
      </c>
      <c r="AD52" s="62">
        <v>0.75012000000000001</v>
      </c>
      <c r="AE52" s="62">
        <v>0.71554899999999999</v>
      </c>
      <c r="AF52" s="62">
        <v>0.69020400000000004</v>
      </c>
      <c r="AG52" s="62">
        <v>0.66811299999999996</v>
      </c>
      <c r="AH52" s="62">
        <v>0.64757399999999998</v>
      </c>
      <c r="AI52" s="62">
        <v>0.62795699999999999</v>
      </c>
      <c r="AJ52" s="62">
        <v>0.60905600000000004</v>
      </c>
      <c r="AK52" s="62">
        <v>0.59081600000000001</v>
      </c>
      <c r="AL52" s="62">
        <v>0.57320899999999997</v>
      </c>
      <c r="AP52" s="200"/>
      <c r="AQ52" s="4">
        <v>1</v>
      </c>
      <c r="AR52" s="151">
        <v>52546</v>
      </c>
      <c r="AS52" s="151">
        <v>649.05999999999995</v>
      </c>
      <c r="AT52" s="151">
        <v>7614700</v>
      </c>
      <c r="AU52" s="151">
        <v>825780</v>
      </c>
      <c r="AV52" s="151">
        <v>406860</v>
      </c>
      <c r="AW52" s="151">
        <v>213100</v>
      </c>
      <c r="AX52" s="151">
        <v>144090</v>
      </c>
      <c r="AY52" s="167"/>
    </row>
    <row r="53" spans="1:51" x14ac:dyDescent="0.25">
      <c r="A53" s="4"/>
      <c r="B53" s="4">
        <v>7</v>
      </c>
      <c r="C53" s="4">
        <v>48</v>
      </c>
      <c r="D53" s="4">
        <v>720</v>
      </c>
      <c r="E53" s="4">
        <f t="shared" si="5"/>
        <v>31338</v>
      </c>
      <c r="F53" s="4">
        <f t="shared" si="6"/>
        <v>1305.75</v>
      </c>
      <c r="G53" s="4">
        <f t="shared" si="7"/>
        <v>3.5749486652977414</v>
      </c>
      <c r="H53" s="4">
        <v>1.0113713</v>
      </c>
      <c r="I53" s="58">
        <v>0.86651330000000004</v>
      </c>
      <c r="J53" s="58">
        <v>0.91886670000000004</v>
      </c>
      <c r="K53" s="58">
        <v>0.94938610000000001</v>
      </c>
      <c r="L53" s="58">
        <v>0.97189409999999998</v>
      </c>
      <c r="M53" s="58">
        <v>0.99133590000000005</v>
      </c>
      <c r="N53" s="58">
        <v>1.0094205000000001</v>
      </c>
      <c r="O53" s="58">
        <v>1.0268930000000001</v>
      </c>
      <c r="P53" s="58">
        <v>1.0440218000000001</v>
      </c>
      <c r="Q53" s="58">
        <v>1.0609751999999999</v>
      </c>
      <c r="R53" s="58">
        <v>1.0777211</v>
      </c>
      <c r="U53" s="4"/>
      <c r="V53" s="4">
        <v>7</v>
      </c>
      <c r="W53" s="4">
        <v>48</v>
      </c>
      <c r="X53" s="4">
        <v>720</v>
      </c>
      <c r="Y53" s="4">
        <f t="shared" si="8"/>
        <v>31338</v>
      </c>
      <c r="Z53" s="4">
        <f t="shared" si="18"/>
        <v>1305.75</v>
      </c>
      <c r="AA53" s="4">
        <f t="shared" si="10"/>
        <v>3.5749486652977414</v>
      </c>
      <c r="AB53" s="12">
        <v>0.54981800000000003</v>
      </c>
      <c r="AC53" s="62">
        <v>0.81547199999999997</v>
      </c>
      <c r="AD53" s="62">
        <v>0.75047799999999998</v>
      </c>
      <c r="AE53" s="62">
        <v>0.71588200000000002</v>
      </c>
      <c r="AF53" s="62">
        <v>0.69056300000000004</v>
      </c>
      <c r="AG53" s="62">
        <v>0.66848099999999999</v>
      </c>
      <c r="AH53" s="62">
        <v>0.64796500000000001</v>
      </c>
      <c r="AI53" s="62">
        <v>0.62839</v>
      </c>
      <c r="AJ53" s="62">
        <v>0.60952600000000001</v>
      </c>
      <c r="AK53" s="62">
        <v>0.59129299999999996</v>
      </c>
      <c r="AL53" s="62">
        <v>0.57369400000000004</v>
      </c>
      <c r="AP53" s="200"/>
      <c r="AQ53" s="4">
        <v>3</v>
      </c>
      <c r="AR53" s="150">
        <v>48221</v>
      </c>
      <c r="AS53" s="151">
        <v>1892.7</v>
      </c>
      <c r="AT53" s="151">
        <v>7560300</v>
      </c>
      <c r="AU53" s="151">
        <v>764730</v>
      </c>
      <c r="AV53" s="151">
        <v>401740</v>
      </c>
      <c r="AW53" s="151">
        <v>210980</v>
      </c>
      <c r="AX53" s="151">
        <v>143970</v>
      </c>
      <c r="AY53" s="167"/>
    </row>
    <row r="54" spans="1:51" x14ac:dyDescent="0.25">
      <c r="A54" s="4"/>
      <c r="B54" s="4">
        <v>8</v>
      </c>
      <c r="C54" s="4">
        <v>49</v>
      </c>
      <c r="D54" s="4">
        <v>720</v>
      </c>
      <c r="E54" s="4">
        <f t="shared" si="5"/>
        <v>32058</v>
      </c>
      <c r="F54" s="4">
        <f t="shared" si="6"/>
        <v>1335.75</v>
      </c>
      <c r="G54" s="4">
        <f t="shared" si="7"/>
        <v>3.6570841889117043</v>
      </c>
      <c r="H54" s="4">
        <v>1.0090014</v>
      </c>
      <c r="I54" s="58">
        <v>0.86518360000000005</v>
      </c>
      <c r="J54" s="58">
        <v>0.91749400000000003</v>
      </c>
      <c r="K54" s="58">
        <v>0.94799009999999995</v>
      </c>
      <c r="L54" s="58">
        <v>0.97053040000000002</v>
      </c>
      <c r="M54" s="58">
        <v>0.99002129999999999</v>
      </c>
      <c r="N54" s="58">
        <v>1.008127</v>
      </c>
      <c r="O54" s="58">
        <v>1.025596</v>
      </c>
      <c r="P54" s="58">
        <v>1.0427150999999999</v>
      </c>
      <c r="Q54" s="58">
        <v>1.0596018</v>
      </c>
      <c r="R54" s="58">
        <v>1.0762885</v>
      </c>
      <c r="U54" s="4"/>
      <c r="V54" s="4">
        <v>8</v>
      </c>
      <c r="W54" s="4">
        <v>49</v>
      </c>
      <c r="X54" s="4">
        <v>720</v>
      </c>
      <c r="Y54" s="4">
        <f t="shared" si="8"/>
        <v>32058</v>
      </c>
      <c r="Z54" s="4">
        <f t="shared" si="18"/>
        <v>1335.75</v>
      </c>
      <c r="AA54" s="4">
        <f t="shared" si="10"/>
        <v>3.6570841889117043</v>
      </c>
      <c r="AB54" s="12">
        <v>0.55155299999999996</v>
      </c>
      <c r="AC54" s="62">
        <v>0.81600099999999998</v>
      </c>
      <c r="AD54" s="62">
        <v>0.75081399999999998</v>
      </c>
      <c r="AE54" s="62">
        <v>0.71626000000000001</v>
      </c>
      <c r="AF54" s="62">
        <v>0.69093199999999999</v>
      </c>
      <c r="AG54" s="62">
        <v>0.66886800000000002</v>
      </c>
      <c r="AH54" s="62">
        <v>0.64838399999999996</v>
      </c>
      <c r="AI54" s="62">
        <v>0.62883199999999995</v>
      </c>
      <c r="AJ54" s="62">
        <v>0.60998699999999995</v>
      </c>
      <c r="AK54" s="62">
        <v>0.59177999999999997</v>
      </c>
      <c r="AL54" s="62">
        <v>0.57420199999999999</v>
      </c>
      <c r="AP54" s="200"/>
      <c r="AQ54" s="4">
        <v>5</v>
      </c>
      <c r="AR54" s="151">
        <v>44152</v>
      </c>
      <c r="AS54" s="151">
        <v>2998.6</v>
      </c>
      <c r="AT54" s="151">
        <v>7504500</v>
      </c>
      <c r="AU54" s="151">
        <v>707140</v>
      </c>
      <c r="AV54" s="151">
        <v>395360</v>
      </c>
      <c r="AW54" s="151">
        <v>208190</v>
      </c>
      <c r="AX54" s="151">
        <v>144150</v>
      </c>
      <c r="AY54" s="167"/>
    </row>
    <row r="55" spans="1:51" x14ac:dyDescent="0.25">
      <c r="A55" s="4"/>
      <c r="B55" s="4">
        <v>9</v>
      </c>
      <c r="C55" s="4">
        <v>50</v>
      </c>
      <c r="D55" s="4">
        <v>720</v>
      </c>
      <c r="E55" s="4">
        <f t="shared" si="5"/>
        <v>32778</v>
      </c>
      <c r="F55" s="4">
        <f t="shared" si="6"/>
        <v>1365.75</v>
      </c>
      <c r="G55" s="4">
        <f t="shared" si="7"/>
        <v>3.7392197125256672</v>
      </c>
      <c r="H55" s="4">
        <v>1.0065010000000001</v>
      </c>
      <c r="I55" s="58">
        <v>0.86383560000000004</v>
      </c>
      <c r="J55" s="58">
        <v>0.91609640000000003</v>
      </c>
      <c r="K55" s="58">
        <v>0.94670739999999998</v>
      </c>
      <c r="L55" s="58">
        <v>0.96930550000000004</v>
      </c>
      <c r="M55" s="58">
        <v>0.98874220000000002</v>
      </c>
      <c r="N55" s="58">
        <v>1.0068051</v>
      </c>
      <c r="O55" s="58">
        <v>1.0242579999999999</v>
      </c>
      <c r="P55" s="58">
        <v>1.041361</v>
      </c>
      <c r="Q55" s="58">
        <v>1.058238</v>
      </c>
      <c r="R55" s="58">
        <v>1.0749089000000001</v>
      </c>
      <c r="U55" s="4"/>
      <c r="V55" s="4">
        <v>9</v>
      </c>
      <c r="W55" s="4">
        <v>50</v>
      </c>
      <c r="X55" s="4">
        <v>720</v>
      </c>
      <c r="Y55" s="4">
        <f t="shared" si="8"/>
        <v>32778</v>
      </c>
      <c r="Z55" s="4">
        <f t="shared" si="18"/>
        <v>1365.75</v>
      </c>
      <c r="AA55" s="4">
        <f t="shared" si="10"/>
        <v>3.7392197125256672</v>
      </c>
      <c r="AB55" s="12">
        <v>0.55346099999999998</v>
      </c>
      <c r="AC55" s="62">
        <v>0.81671099999999996</v>
      </c>
      <c r="AD55" s="62">
        <v>0.75116700000000003</v>
      </c>
      <c r="AE55" s="62">
        <v>0.716584</v>
      </c>
      <c r="AF55" s="62">
        <v>0.69124699999999994</v>
      </c>
      <c r="AG55" s="62">
        <v>0.66925400000000002</v>
      </c>
      <c r="AH55" s="62">
        <v>0.64881299999999997</v>
      </c>
      <c r="AI55" s="62">
        <v>0.62928300000000004</v>
      </c>
      <c r="AJ55" s="62">
        <v>0.610456</v>
      </c>
      <c r="AK55" s="62">
        <v>0.59226199999999996</v>
      </c>
      <c r="AL55" s="62">
        <v>0.57469499999999996</v>
      </c>
      <c r="AP55" s="200"/>
      <c r="AQ55" s="4">
        <v>7</v>
      </c>
      <c r="AR55" s="151">
        <v>40311</v>
      </c>
      <c r="AS55" s="151">
        <v>3987.5</v>
      </c>
      <c r="AT55" s="151">
        <v>7447200</v>
      </c>
      <c r="AU55" s="151">
        <v>652810</v>
      </c>
      <c r="AV55" s="151">
        <v>387790</v>
      </c>
      <c r="AW55" s="151">
        <v>204880</v>
      </c>
      <c r="AX55" s="151">
        <v>144550</v>
      </c>
      <c r="AY55" s="167"/>
    </row>
    <row r="56" spans="1:51" x14ac:dyDescent="0.25">
      <c r="A56" s="4"/>
      <c r="B56" s="4">
        <v>10</v>
      </c>
      <c r="C56" s="4">
        <v>51</v>
      </c>
      <c r="D56" s="4">
        <v>720</v>
      </c>
      <c r="E56" s="4">
        <f t="shared" si="5"/>
        <v>33498</v>
      </c>
      <c r="F56" s="4">
        <f t="shared" si="6"/>
        <v>1395.75</v>
      </c>
      <c r="G56" s="4">
        <f t="shared" si="7"/>
        <v>3.8213552361396306</v>
      </c>
      <c r="H56" s="4">
        <v>1.0039393000000001</v>
      </c>
      <c r="I56" s="58">
        <v>0.86219630000000003</v>
      </c>
      <c r="J56" s="58">
        <v>0.91476420000000003</v>
      </c>
      <c r="K56" s="58">
        <v>0.94543180000000004</v>
      </c>
      <c r="L56" s="58">
        <v>0.96796139999999997</v>
      </c>
      <c r="M56" s="58">
        <v>0.98742180000000002</v>
      </c>
      <c r="N56" s="58">
        <v>1.0055107999999999</v>
      </c>
      <c r="O56" s="58">
        <v>1.0229659</v>
      </c>
      <c r="P56" s="58">
        <v>1.0400388</v>
      </c>
      <c r="Q56" s="58">
        <v>1.0568907000000001</v>
      </c>
      <c r="R56" s="58">
        <v>1.0735711999999999</v>
      </c>
      <c r="U56" s="4"/>
      <c r="V56" s="4">
        <v>10</v>
      </c>
      <c r="W56" s="4">
        <v>51</v>
      </c>
      <c r="X56" s="4">
        <v>720</v>
      </c>
      <c r="Y56" s="4">
        <f t="shared" si="8"/>
        <v>33498</v>
      </c>
      <c r="Z56" s="4">
        <f t="shared" si="18"/>
        <v>1395.75</v>
      </c>
      <c r="AA56" s="4">
        <f t="shared" si="10"/>
        <v>3.8213552361396306</v>
      </c>
      <c r="AB56" s="12">
        <v>0.55540800000000001</v>
      </c>
      <c r="AC56" s="62">
        <v>0.81750400000000001</v>
      </c>
      <c r="AD56" s="62">
        <v>0.75158000000000003</v>
      </c>
      <c r="AE56" s="62">
        <v>0.71687000000000001</v>
      </c>
      <c r="AF56" s="62">
        <v>0.691604</v>
      </c>
      <c r="AG56" s="62">
        <v>0.66964900000000005</v>
      </c>
      <c r="AH56" s="62">
        <v>0.64922500000000005</v>
      </c>
      <c r="AI56" s="62">
        <v>0.62971100000000002</v>
      </c>
      <c r="AJ56" s="62">
        <v>0.61091300000000004</v>
      </c>
      <c r="AK56" s="62">
        <v>0.59273900000000002</v>
      </c>
      <c r="AL56" s="62">
        <v>0.57517499999999999</v>
      </c>
      <c r="AO56" s="146">
        <f>AR56/(AR56+AT56)</f>
        <v>7.1097015325705688E-3</v>
      </c>
      <c r="AP56" s="200" t="s">
        <v>238</v>
      </c>
      <c r="AQ56" s="4">
        <v>0</v>
      </c>
      <c r="AR56" s="151">
        <v>53411</v>
      </c>
      <c r="AS56" s="151">
        <v>0</v>
      </c>
      <c r="AT56" s="151">
        <v>7459000</v>
      </c>
      <c r="AU56" s="151">
        <v>952530</v>
      </c>
      <c r="AV56" s="151">
        <v>454580</v>
      </c>
      <c r="AW56" s="151">
        <v>237750</v>
      </c>
      <c r="AX56" s="151">
        <v>160430</v>
      </c>
      <c r="AY56" s="167"/>
    </row>
    <row r="57" spans="1:51" x14ac:dyDescent="0.25">
      <c r="A57" s="4"/>
      <c r="B57" s="4">
        <v>11</v>
      </c>
      <c r="C57" s="4">
        <v>52</v>
      </c>
      <c r="D57" s="4">
        <v>720</v>
      </c>
      <c r="E57" s="4">
        <f t="shared" si="5"/>
        <v>34218</v>
      </c>
      <c r="F57" s="4">
        <f t="shared" si="6"/>
        <v>1425.75</v>
      </c>
      <c r="G57" s="4">
        <f t="shared" si="7"/>
        <v>3.9034907597535935</v>
      </c>
      <c r="H57" s="10">
        <v>1.0015129</v>
      </c>
      <c r="I57" s="58">
        <v>0.86097670000000004</v>
      </c>
      <c r="J57" s="58">
        <v>0.91336700000000004</v>
      </c>
      <c r="K57" s="58">
        <v>0.94410819999999995</v>
      </c>
      <c r="L57" s="58">
        <v>0.96668920000000003</v>
      </c>
      <c r="M57" s="58">
        <v>0.98613949999999995</v>
      </c>
      <c r="N57" s="58">
        <v>1.0042127000000001</v>
      </c>
      <c r="O57" s="58">
        <v>1.021606</v>
      </c>
      <c r="P57" s="58">
        <v>1.0387084</v>
      </c>
      <c r="Q57" s="58">
        <v>1.0555407000000001</v>
      </c>
      <c r="R57" s="58">
        <v>1.0721943</v>
      </c>
      <c r="U57" s="4"/>
      <c r="V57" s="4">
        <v>11</v>
      </c>
      <c r="W57" s="4">
        <v>52</v>
      </c>
      <c r="X57" s="4">
        <v>720</v>
      </c>
      <c r="Y57" s="4">
        <f t="shared" si="8"/>
        <v>34218</v>
      </c>
      <c r="Z57" s="4">
        <f t="shared" si="18"/>
        <v>1425.75</v>
      </c>
      <c r="AA57" s="4">
        <f t="shared" si="10"/>
        <v>3.9034907597535935</v>
      </c>
      <c r="AB57" s="12">
        <v>0.55720800000000004</v>
      </c>
      <c r="AC57" s="62">
        <v>0.81805799999999995</v>
      </c>
      <c r="AD57" s="62">
        <v>0.75198600000000004</v>
      </c>
      <c r="AE57" s="62">
        <v>0.71723000000000003</v>
      </c>
      <c r="AF57" s="62">
        <v>0.69196599999999997</v>
      </c>
      <c r="AG57" s="62">
        <v>0.670045</v>
      </c>
      <c r="AH57" s="62">
        <v>0.64964900000000003</v>
      </c>
      <c r="AI57" s="62">
        <v>0.63017400000000001</v>
      </c>
      <c r="AJ57" s="62">
        <v>0.61138199999999998</v>
      </c>
      <c r="AK57" s="62">
        <v>0.59322399999999997</v>
      </c>
      <c r="AL57" s="62">
        <v>0.57567400000000002</v>
      </c>
      <c r="AP57" s="200"/>
      <c r="AQ57" s="4">
        <v>1</v>
      </c>
      <c r="AR57" s="151">
        <v>51445</v>
      </c>
      <c r="AS57" s="151">
        <v>601.82000000000005</v>
      </c>
      <c r="AT57" s="151">
        <v>7435200</v>
      </c>
      <c r="AU57" s="151">
        <v>920780</v>
      </c>
      <c r="AV57" s="151">
        <v>452720</v>
      </c>
      <c r="AW57" s="151">
        <v>236030</v>
      </c>
      <c r="AX57" s="151">
        <v>160230</v>
      </c>
      <c r="AY57" s="167"/>
    </row>
    <row r="58" spans="1:51" x14ac:dyDescent="0.25">
      <c r="A58" s="4"/>
      <c r="B58" s="4">
        <v>12</v>
      </c>
      <c r="C58" s="4">
        <v>53</v>
      </c>
      <c r="D58" s="4">
        <v>846</v>
      </c>
      <c r="E58" s="4">
        <f t="shared" si="5"/>
        <v>35064</v>
      </c>
      <c r="F58" s="4">
        <f t="shared" si="6"/>
        <v>1461</v>
      </c>
      <c r="G58" s="4">
        <f t="shared" si="7"/>
        <v>4</v>
      </c>
      <c r="H58" s="4">
        <v>0.99908710000000001</v>
      </c>
      <c r="I58" s="58">
        <v>0.8593075</v>
      </c>
      <c r="J58" s="58">
        <v>0.91192340000000005</v>
      </c>
      <c r="K58" s="58">
        <v>0.94279100000000005</v>
      </c>
      <c r="L58" s="58">
        <v>0.96542649999999997</v>
      </c>
      <c r="M58" s="58">
        <v>0.98486269999999998</v>
      </c>
      <c r="N58" s="58">
        <v>1.0029273000000001</v>
      </c>
      <c r="O58" s="58">
        <v>1.0203161000000001</v>
      </c>
      <c r="P58" s="58">
        <v>1.0374055</v>
      </c>
      <c r="Q58" s="58">
        <v>1.054189</v>
      </c>
      <c r="R58" s="58">
        <v>1.0707892999999999</v>
      </c>
      <c r="U58" s="4"/>
      <c r="V58" s="4">
        <v>12</v>
      </c>
      <c r="W58" s="4">
        <v>53</v>
      </c>
      <c r="X58" s="4">
        <v>846</v>
      </c>
      <c r="Y58" s="4">
        <f t="shared" si="8"/>
        <v>35064</v>
      </c>
      <c r="Z58" s="4">
        <f t="shared" si="18"/>
        <v>1461</v>
      </c>
      <c r="AA58" s="4">
        <f t="shared" si="10"/>
        <v>4</v>
      </c>
      <c r="AB58" s="12">
        <v>0.55902200000000002</v>
      </c>
      <c r="AC58" s="63">
        <v>0.81909500000000002</v>
      </c>
      <c r="AD58" s="62">
        <v>0.75247299999999995</v>
      </c>
      <c r="AE58" s="62">
        <v>0.71763299999999997</v>
      </c>
      <c r="AF58" s="62">
        <v>0.69232099999999996</v>
      </c>
      <c r="AG58" s="62">
        <v>0.67042999999999997</v>
      </c>
      <c r="AH58" s="62">
        <v>0.65006699999999995</v>
      </c>
      <c r="AI58" s="62">
        <v>0.63061500000000004</v>
      </c>
      <c r="AJ58" s="62">
        <v>0.611842</v>
      </c>
      <c r="AK58" s="62">
        <v>0.59371099999999999</v>
      </c>
      <c r="AL58" s="62">
        <v>0.576183</v>
      </c>
      <c r="AP58" s="200"/>
      <c r="AQ58" s="4">
        <v>3</v>
      </c>
      <c r="AR58" s="151">
        <v>47494</v>
      </c>
      <c r="AS58" s="151">
        <v>1764.8</v>
      </c>
      <c r="AT58" s="151">
        <v>7383600</v>
      </c>
      <c r="AU58" s="151">
        <v>857450</v>
      </c>
      <c r="AV58" s="151">
        <v>447860</v>
      </c>
      <c r="AW58" s="151">
        <v>232220</v>
      </c>
      <c r="AX58" s="151">
        <v>160000</v>
      </c>
      <c r="AY58" s="167"/>
    </row>
    <row r="59" spans="1:51" x14ac:dyDescent="0.25">
      <c r="A59" s="4"/>
      <c r="B59" s="4">
        <v>13</v>
      </c>
      <c r="C59" s="4">
        <v>54</v>
      </c>
      <c r="D59" s="4">
        <v>720</v>
      </c>
      <c r="E59" s="4">
        <f t="shared" si="5"/>
        <v>35784</v>
      </c>
      <c r="F59" s="4">
        <f t="shared" si="6"/>
        <v>1491</v>
      </c>
      <c r="G59" s="4">
        <f t="shared" si="7"/>
        <v>4.0821355236139629</v>
      </c>
      <c r="H59" s="4">
        <v>0.99624159999999995</v>
      </c>
      <c r="I59" s="58">
        <v>0.85764189999999996</v>
      </c>
      <c r="J59" s="58">
        <v>0.91028549999999997</v>
      </c>
      <c r="K59" s="58">
        <v>0.94123400000000002</v>
      </c>
      <c r="L59" s="58">
        <v>0.96386780000000005</v>
      </c>
      <c r="M59" s="58">
        <v>0.98345749999999998</v>
      </c>
      <c r="N59" s="58">
        <v>1.0014189</v>
      </c>
      <c r="O59" s="58">
        <v>1.0187861</v>
      </c>
      <c r="P59" s="58">
        <v>1.0358315</v>
      </c>
      <c r="Q59" s="58">
        <v>1.0526165999999999</v>
      </c>
      <c r="R59" s="58">
        <v>1.0691974</v>
      </c>
      <c r="U59" s="4"/>
      <c r="V59" s="4">
        <v>13</v>
      </c>
      <c r="W59" s="4">
        <v>54</v>
      </c>
      <c r="X59" s="4">
        <v>720</v>
      </c>
      <c r="Y59" s="4">
        <f t="shared" si="8"/>
        <v>35784</v>
      </c>
      <c r="Z59" s="4">
        <f t="shared" si="18"/>
        <v>1491</v>
      </c>
      <c r="AA59" s="4">
        <f t="shared" si="10"/>
        <v>4.0821355236139629</v>
      </c>
      <c r="AB59" s="12">
        <v>0.56111</v>
      </c>
      <c r="AC59" s="62">
        <v>0.81999</v>
      </c>
      <c r="AD59" s="62">
        <v>0.75301099999999999</v>
      </c>
      <c r="AE59" s="62">
        <v>0.71807799999999999</v>
      </c>
      <c r="AF59" s="62">
        <v>0.69277100000000003</v>
      </c>
      <c r="AG59" s="62">
        <v>0.670875</v>
      </c>
      <c r="AH59" s="62">
        <v>0.65056899999999995</v>
      </c>
      <c r="AI59" s="62">
        <v>0.63114000000000003</v>
      </c>
      <c r="AJ59" s="62">
        <v>0.61239500000000002</v>
      </c>
      <c r="AK59" s="62">
        <v>0.59427799999999997</v>
      </c>
      <c r="AL59" s="62">
        <v>0.57676000000000005</v>
      </c>
      <c r="AP59" s="200"/>
      <c r="AQ59" s="4">
        <v>5</v>
      </c>
      <c r="AR59" s="151">
        <v>43766</v>
      </c>
      <c r="AS59" s="151">
        <v>2808.2</v>
      </c>
      <c r="AT59" s="151">
        <v>7330500</v>
      </c>
      <c r="AU59" s="151">
        <v>797190</v>
      </c>
      <c r="AV59" s="151">
        <v>441790</v>
      </c>
      <c r="AW59" s="151">
        <v>228160</v>
      </c>
      <c r="AX59" s="151">
        <v>160010</v>
      </c>
      <c r="AY59" s="167"/>
    </row>
    <row r="60" spans="1:51" x14ac:dyDescent="0.25">
      <c r="A60" s="4"/>
      <c r="B60" s="4">
        <v>14</v>
      </c>
      <c r="C60" s="4">
        <v>55</v>
      </c>
      <c r="D60" s="4">
        <v>720</v>
      </c>
      <c r="E60" s="4">
        <f t="shared" si="5"/>
        <v>36504</v>
      </c>
      <c r="F60" s="4">
        <f t="shared" si="6"/>
        <v>1521</v>
      </c>
      <c r="G60" s="4">
        <f t="shared" si="7"/>
        <v>4.1642710472279258</v>
      </c>
      <c r="H60" s="4">
        <v>0.9936526</v>
      </c>
      <c r="I60" s="58">
        <v>0.85616219999999998</v>
      </c>
      <c r="J60" s="58">
        <v>0.90893570000000001</v>
      </c>
      <c r="K60" s="58">
        <v>0.93996230000000003</v>
      </c>
      <c r="L60" s="58">
        <v>0.96265129999999999</v>
      </c>
      <c r="M60" s="58">
        <v>0.98206610000000005</v>
      </c>
      <c r="N60" s="57">
        <v>1.0002622999999999</v>
      </c>
      <c r="O60" s="58">
        <v>1.0175004000000001</v>
      </c>
      <c r="P60" s="58">
        <v>1.0344882</v>
      </c>
      <c r="Q60" s="58">
        <v>1.0512817000000001</v>
      </c>
      <c r="R60" s="58">
        <v>1.0678365999999999</v>
      </c>
      <c r="U60" s="4"/>
      <c r="V60" s="4">
        <v>14</v>
      </c>
      <c r="W60" s="4">
        <v>55</v>
      </c>
      <c r="X60" s="4">
        <v>720</v>
      </c>
      <c r="Y60" s="4">
        <f t="shared" si="8"/>
        <v>36504</v>
      </c>
      <c r="Z60" s="4">
        <f t="shared" si="18"/>
        <v>1521</v>
      </c>
      <c r="AA60" s="4">
        <f t="shared" si="10"/>
        <v>4.1642710472279258</v>
      </c>
      <c r="AB60" s="12">
        <v>0.56318699999999999</v>
      </c>
      <c r="AC60" s="62">
        <v>0.82069899999999996</v>
      </c>
      <c r="AD60" s="62">
        <v>0.75345899999999999</v>
      </c>
      <c r="AE60" s="62">
        <v>0.71840099999999996</v>
      </c>
      <c r="AF60" s="62">
        <v>0.69310300000000002</v>
      </c>
      <c r="AG60" s="62">
        <v>0.67129000000000005</v>
      </c>
      <c r="AH60" s="62">
        <v>0.65094399999999997</v>
      </c>
      <c r="AI60" s="62">
        <v>0.63158099999999995</v>
      </c>
      <c r="AJ60" s="62">
        <v>0.612869</v>
      </c>
      <c r="AK60" s="62">
        <v>0.59475800000000001</v>
      </c>
      <c r="AL60" s="62">
        <v>0.57725599999999999</v>
      </c>
      <c r="AP60" s="200"/>
      <c r="AQ60" s="4">
        <v>7</v>
      </c>
      <c r="AR60" s="151">
        <v>40236</v>
      </c>
      <c r="AS60" s="151">
        <v>3748.8</v>
      </c>
      <c r="AT60" s="151">
        <v>7276000</v>
      </c>
      <c r="AU60" s="151">
        <v>739900</v>
      </c>
      <c r="AV60" s="151">
        <v>434580</v>
      </c>
      <c r="AW60" s="151">
        <v>223900</v>
      </c>
      <c r="AX60" s="151">
        <v>160190</v>
      </c>
      <c r="AY60" s="167"/>
    </row>
    <row r="61" spans="1:51" x14ac:dyDescent="0.25">
      <c r="A61" s="4"/>
      <c r="B61" s="4">
        <v>15</v>
      </c>
      <c r="C61" s="4">
        <v>56</v>
      </c>
      <c r="D61" s="4">
        <v>720</v>
      </c>
      <c r="E61" s="4">
        <f t="shared" si="5"/>
        <v>37224</v>
      </c>
      <c r="F61" s="4">
        <f t="shared" si="6"/>
        <v>1551</v>
      </c>
      <c r="G61" s="4">
        <f t="shared" si="7"/>
        <v>4.2464065708418888</v>
      </c>
      <c r="H61" s="4">
        <v>0.99117449999999996</v>
      </c>
      <c r="I61" s="58">
        <v>0.85474090000000003</v>
      </c>
      <c r="J61" s="58">
        <v>0.90764670000000003</v>
      </c>
      <c r="K61" s="58">
        <v>0.93867420000000001</v>
      </c>
      <c r="L61" s="58">
        <v>0.96138230000000002</v>
      </c>
      <c r="M61" s="58">
        <v>0.98086530000000005</v>
      </c>
      <c r="N61" s="58">
        <v>0.99881200000000003</v>
      </c>
      <c r="O61" s="58">
        <v>1.0162504000000001</v>
      </c>
      <c r="P61" s="58">
        <v>1.0331792</v>
      </c>
      <c r="Q61" s="58">
        <v>1.0499366999999999</v>
      </c>
      <c r="R61" s="58">
        <v>1.0666142999999999</v>
      </c>
      <c r="U61" s="4"/>
      <c r="V61" s="4">
        <v>15</v>
      </c>
      <c r="W61" s="4">
        <v>56</v>
      </c>
      <c r="X61" s="4">
        <v>720</v>
      </c>
      <c r="Y61" s="4">
        <f t="shared" si="8"/>
        <v>37224</v>
      </c>
      <c r="Z61" s="4">
        <f t="shared" si="18"/>
        <v>1551</v>
      </c>
      <c r="AA61" s="4">
        <f t="shared" si="10"/>
        <v>4.2464065708418888</v>
      </c>
      <c r="AB61" s="12">
        <v>0.56511199999999995</v>
      </c>
      <c r="AC61" s="62">
        <v>0.82151399999999997</v>
      </c>
      <c r="AD61" s="62">
        <v>0.754</v>
      </c>
      <c r="AE61" s="62">
        <v>0.71876499999999999</v>
      </c>
      <c r="AF61" s="62">
        <v>0.69347199999999998</v>
      </c>
      <c r="AG61" s="62">
        <v>0.67166199999999998</v>
      </c>
      <c r="AH61" s="62">
        <v>0.65140799999999999</v>
      </c>
      <c r="AI61" s="62">
        <v>0.63201700000000005</v>
      </c>
      <c r="AJ61" s="62">
        <v>0.61334100000000003</v>
      </c>
      <c r="AK61" s="62">
        <v>0.59524900000000003</v>
      </c>
      <c r="AL61" s="62">
        <v>0.57770999999999995</v>
      </c>
    </row>
    <row r="62" spans="1:51" x14ac:dyDescent="0.25">
      <c r="A62" s="4"/>
      <c r="B62" s="4">
        <v>16</v>
      </c>
      <c r="C62" s="4">
        <v>57</v>
      </c>
      <c r="D62" s="4">
        <v>720</v>
      </c>
      <c r="E62" s="4">
        <f t="shared" si="5"/>
        <v>37944</v>
      </c>
      <c r="F62" s="4">
        <f t="shared" si="6"/>
        <v>1581</v>
      </c>
      <c r="G62" s="4">
        <f t="shared" si="7"/>
        <v>4.3285420944558526</v>
      </c>
      <c r="H62" s="4">
        <v>0.9884406</v>
      </c>
      <c r="I62" s="58">
        <v>0.85335649999999996</v>
      </c>
      <c r="J62" s="58">
        <v>0.90626249999999997</v>
      </c>
      <c r="K62" s="58">
        <v>0.93741180000000002</v>
      </c>
      <c r="L62" s="58">
        <v>0.96018619999999999</v>
      </c>
      <c r="M62" s="58">
        <v>0.97960979999999998</v>
      </c>
      <c r="N62" s="58">
        <v>0.99764600000000003</v>
      </c>
      <c r="O62" s="58">
        <v>1.0149195</v>
      </c>
      <c r="P62" s="58">
        <v>1.0318769000000001</v>
      </c>
      <c r="Q62" s="58">
        <v>1.0486211000000001</v>
      </c>
      <c r="R62" s="58">
        <v>1.0651735</v>
      </c>
      <c r="U62" s="4"/>
      <c r="V62" s="4">
        <v>16</v>
      </c>
      <c r="W62" s="4">
        <v>57</v>
      </c>
      <c r="X62" s="4">
        <v>720</v>
      </c>
      <c r="Y62" s="4">
        <f t="shared" si="8"/>
        <v>37944</v>
      </c>
      <c r="Z62" s="4">
        <f t="shared" si="18"/>
        <v>1581</v>
      </c>
      <c r="AA62" s="4">
        <f t="shared" si="10"/>
        <v>4.3285420944558526</v>
      </c>
      <c r="AB62" s="12">
        <v>0.56748900000000002</v>
      </c>
      <c r="AC62" s="62">
        <v>0.82210700000000003</v>
      </c>
      <c r="AD62" s="62">
        <v>0.75445399999999996</v>
      </c>
      <c r="AE62" s="62">
        <v>0.71918599999999999</v>
      </c>
      <c r="AF62" s="62">
        <v>0.69384500000000005</v>
      </c>
      <c r="AG62" s="62">
        <v>0.67205499999999996</v>
      </c>
      <c r="AH62" s="62">
        <v>0.65181699999999998</v>
      </c>
      <c r="AI62" s="62">
        <v>0.63248000000000004</v>
      </c>
      <c r="AJ62" s="62">
        <v>0.61380599999999996</v>
      </c>
      <c r="AK62" s="62">
        <v>0.59572700000000001</v>
      </c>
      <c r="AL62" s="62">
        <v>0.578233</v>
      </c>
    </row>
    <row r="63" spans="1:51" x14ac:dyDescent="0.25">
      <c r="A63" s="4"/>
      <c r="B63" s="4">
        <v>17</v>
      </c>
      <c r="C63" s="4">
        <v>58</v>
      </c>
      <c r="D63" s="4">
        <v>720</v>
      </c>
      <c r="E63" s="4">
        <f t="shared" si="5"/>
        <v>38664</v>
      </c>
      <c r="F63" s="4">
        <f t="shared" si="6"/>
        <v>1611</v>
      </c>
      <c r="G63" s="4">
        <f t="shared" si="7"/>
        <v>4.4106776180698155</v>
      </c>
      <c r="H63" s="4">
        <v>0.98535010000000001</v>
      </c>
      <c r="I63" s="58">
        <v>0.85178860000000001</v>
      </c>
      <c r="J63" s="65">
        <v>0.90498290000000003</v>
      </c>
      <c r="K63" s="58">
        <v>0.93613970000000002</v>
      </c>
      <c r="L63" s="58">
        <v>0.95891510000000002</v>
      </c>
      <c r="M63" s="58">
        <v>0.97834719999999997</v>
      </c>
      <c r="N63" s="58">
        <v>0.99633769999999999</v>
      </c>
      <c r="O63" s="58">
        <v>1.0136514999999999</v>
      </c>
      <c r="P63" s="58">
        <v>1.0305835999999999</v>
      </c>
      <c r="Q63" s="58">
        <v>1.0472682</v>
      </c>
      <c r="R63" s="58">
        <v>1.0639152999999999</v>
      </c>
      <c r="U63" s="4"/>
      <c r="V63" s="4">
        <v>17</v>
      </c>
      <c r="W63" s="4">
        <v>58</v>
      </c>
      <c r="X63" s="4">
        <v>720</v>
      </c>
      <c r="Y63" s="4">
        <f t="shared" si="8"/>
        <v>38664</v>
      </c>
      <c r="Z63" s="4">
        <f t="shared" si="18"/>
        <v>1611</v>
      </c>
      <c r="AA63" s="4">
        <f t="shared" si="10"/>
        <v>4.4106776180698155</v>
      </c>
      <c r="AB63" s="12">
        <v>0.57041500000000001</v>
      </c>
      <c r="AC63" s="62">
        <v>0.82342599999999999</v>
      </c>
      <c r="AD63" s="62">
        <v>0.75492300000000001</v>
      </c>
      <c r="AE63" s="62">
        <v>0.71961299999999995</v>
      </c>
      <c r="AF63" s="62">
        <v>0.69422700000000004</v>
      </c>
      <c r="AG63" s="62">
        <v>0.67247800000000002</v>
      </c>
      <c r="AH63" s="62">
        <v>0.65226300000000004</v>
      </c>
      <c r="AI63" s="62">
        <v>0.63293299999999997</v>
      </c>
      <c r="AJ63" s="62">
        <v>0.61427699999999996</v>
      </c>
      <c r="AK63" s="62">
        <v>0.59622399999999998</v>
      </c>
      <c r="AL63" s="62">
        <v>0.57870699999999997</v>
      </c>
    </row>
    <row r="64" spans="1:51" x14ac:dyDescent="0.25">
      <c r="A64" s="4"/>
      <c r="B64" s="4">
        <v>18</v>
      </c>
      <c r="C64" s="4">
        <v>59</v>
      </c>
      <c r="D64" s="4">
        <v>720</v>
      </c>
      <c r="E64" s="4">
        <f t="shared" si="5"/>
        <v>39384</v>
      </c>
      <c r="F64" s="4">
        <f t="shared" si="6"/>
        <v>1641</v>
      </c>
      <c r="G64" s="4">
        <f t="shared" si="7"/>
        <v>4.4928131416837784</v>
      </c>
      <c r="H64" s="4">
        <v>0.98233159999999997</v>
      </c>
      <c r="I64" s="58">
        <v>0.85017750000000003</v>
      </c>
      <c r="J64" s="58">
        <v>0.90351919999999997</v>
      </c>
      <c r="K64" s="58">
        <v>0.93489829999999996</v>
      </c>
      <c r="L64" s="58">
        <v>0.95768059999999999</v>
      </c>
      <c r="M64" s="58">
        <v>0.97714290000000004</v>
      </c>
      <c r="N64" s="58">
        <v>0.99509420000000004</v>
      </c>
      <c r="O64" s="58">
        <v>1.0123732999999999</v>
      </c>
      <c r="P64" s="58">
        <v>1.0292878999999999</v>
      </c>
      <c r="Q64" s="58">
        <v>1.0460153000000001</v>
      </c>
      <c r="R64" s="58">
        <v>1.0624726</v>
      </c>
      <c r="U64" s="4"/>
      <c r="V64" s="4">
        <v>18</v>
      </c>
      <c r="W64" s="4">
        <v>59</v>
      </c>
      <c r="X64" s="4">
        <v>720</v>
      </c>
      <c r="Y64" s="4">
        <f t="shared" si="8"/>
        <v>39384</v>
      </c>
      <c r="Z64" s="4">
        <f t="shared" si="18"/>
        <v>1641</v>
      </c>
      <c r="AA64" s="4">
        <f t="shared" si="10"/>
        <v>4.4928131416837784</v>
      </c>
      <c r="AB64" s="12">
        <v>0.573237</v>
      </c>
      <c r="AC64" s="62">
        <v>0.82467000000000001</v>
      </c>
      <c r="AD64" s="62">
        <v>0.75560799999999995</v>
      </c>
      <c r="AE64" s="62">
        <v>0.72000900000000001</v>
      </c>
      <c r="AF64" s="62">
        <v>0.69463799999999998</v>
      </c>
      <c r="AG64" s="62">
        <v>0.67287200000000003</v>
      </c>
      <c r="AH64" s="62">
        <v>0.65268300000000001</v>
      </c>
      <c r="AI64" s="62">
        <v>0.633378</v>
      </c>
      <c r="AJ64" s="62">
        <v>0.61474600000000001</v>
      </c>
      <c r="AK64" s="62">
        <v>0.59669000000000005</v>
      </c>
      <c r="AL64" s="62">
        <v>0.579233</v>
      </c>
    </row>
    <row r="65" spans="1:39" x14ac:dyDescent="0.25">
      <c r="A65" s="4"/>
      <c r="B65" s="4">
        <v>19</v>
      </c>
      <c r="C65" s="4">
        <v>60</v>
      </c>
      <c r="D65" s="4">
        <v>720</v>
      </c>
      <c r="E65" s="4">
        <f t="shared" si="5"/>
        <v>40104</v>
      </c>
      <c r="F65" s="4">
        <f t="shared" si="6"/>
        <v>1671</v>
      </c>
      <c r="G65" s="4">
        <f t="shared" si="7"/>
        <v>4.5749486652977414</v>
      </c>
      <c r="H65" s="4">
        <v>0.97935530000000004</v>
      </c>
      <c r="I65" s="58">
        <v>0.84855389999999997</v>
      </c>
      <c r="J65" s="58">
        <v>0.90205559999999996</v>
      </c>
      <c r="K65" s="58">
        <v>0.93361910000000004</v>
      </c>
      <c r="L65" s="58">
        <v>0.95646889999999996</v>
      </c>
      <c r="M65" s="58">
        <v>0.97583500000000001</v>
      </c>
      <c r="N65" s="58">
        <v>0.99395199999999995</v>
      </c>
      <c r="O65" s="58">
        <v>1.0111155999999999</v>
      </c>
      <c r="P65" s="58">
        <v>1.0280514000000001</v>
      </c>
      <c r="Q65" s="59">
        <v>1.0446983999999999</v>
      </c>
      <c r="R65" s="58">
        <v>1.0611358</v>
      </c>
      <c r="U65" s="4"/>
      <c r="V65" s="4">
        <v>19</v>
      </c>
      <c r="W65" s="4">
        <v>60</v>
      </c>
      <c r="X65" s="4">
        <v>720</v>
      </c>
      <c r="Y65" s="4">
        <f t="shared" si="8"/>
        <v>40104</v>
      </c>
      <c r="Z65" s="4">
        <f t="shared" si="18"/>
        <v>1671</v>
      </c>
      <c r="AA65" s="4">
        <f t="shared" si="10"/>
        <v>4.5749486652977414</v>
      </c>
      <c r="AB65" s="12">
        <v>0.57601400000000003</v>
      </c>
      <c r="AC65" s="62">
        <v>0.82603899999999997</v>
      </c>
      <c r="AD65" s="62">
        <v>0.75635300000000005</v>
      </c>
      <c r="AE65" s="62">
        <v>0.720441</v>
      </c>
      <c r="AF65" s="62">
        <v>0.69502399999999998</v>
      </c>
      <c r="AG65" s="62">
        <v>0.673288</v>
      </c>
      <c r="AH65" s="62">
        <v>0.65306699999999995</v>
      </c>
      <c r="AI65" s="62">
        <v>0.63382000000000005</v>
      </c>
      <c r="AJ65" s="62">
        <v>0.61519500000000005</v>
      </c>
      <c r="AK65" s="62">
        <v>0.59716999999999998</v>
      </c>
      <c r="AL65" s="62">
        <v>0.57972800000000002</v>
      </c>
    </row>
    <row r="66" spans="1:39" x14ac:dyDescent="0.25">
      <c r="A66" s="4"/>
      <c r="B66" s="4">
        <v>20</v>
      </c>
      <c r="C66" s="4">
        <v>61</v>
      </c>
      <c r="D66" s="4">
        <v>720</v>
      </c>
      <c r="E66" s="4">
        <f t="shared" si="5"/>
        <v>40824</v>
      </c>
      <c r="F66" s="4">
        <f t="shared" si="6"/>
        <v>1701</v>
      </c>
      <c r="G66" s="4">
        <f t="shared" si="7"/>
        <v>4.6570841889117043</v>
      </c>
      <c r="H66" s="4">
        <v>0.97600469999999995</v>
      </c>
      <c r="I66" s="58">
        <v>0.84672029999999998</v>
      </c>
      <c r="J66" s="58">
        <v>0.90067419999999998</v>
      </c>
      <c r="K66" s="58">
        <v>0.93220219999999998</v>
      </c>
      <c r="L66" s="58">
        <v>0.95518939999999997</v>
      </c>
      <c r="M66" s="58">
        <v>0.97459390000000001</v>
      </c>
      <c r="N66" s="58">
        <v>0.99254730000000002</v>
      </c>
      <c r="O66" s="58">
        <v>1.0100180999999999</v>
      </c>
      <c r="P66" s="58">
        <v>1.0267630999999999</v>
      </c>
      <c r="Q66" s="58">
        <v>1.0433673000000001</v>
      </c>
      <c r="R66" s="58">
        <v>1.0598232999999999</v>
      </c>
      <c r="U66" s="4"/>
      <c r="V66" s="4">
        <v>20</v>
      </c>
      <c r="W66" s="4">
        <v>61</v>
      </c>
      <c r="X66" s="4">
        <v>720</v>
      </c>
      <c r="Y66" s="4">
        <f t="shared" si="8"/>
        <v>40824</v>
      </c>
      <c r="Z66" s="4">
        <f t="shared" si="18"/>
        <v>1701</v>
      </c>
      <c r="AA66" s="4">
        <f t="shared" si="10"/>
        <v>4.6570841889117043</v>
      </c>
      <c r="AB66" s="12">
        <v>0.57943999999999996</v>
      </c>
      <c r="AC66" s="62">
        <v>0.82781099999999996</v>
      </c>
      <c r="AD66" s="62">
        <v>0.75706200000000001</v>
      </c>
      <c r="AE66" s="62">
        <v>0.72095699999999996</v>
      </c>
      <c r="AF66" s="62">
        <v>0.69543200000000005</v>
      </c>
      <c r="AG66" s="62">
        <v>0.67368899999999998</v>
      </c>
      <c r="AH66" s="62">
        <v>0.65353700000000003</v>
      </c>
      <c r="AI66" s="62">
        <v>0.63421799999999995</v>
      </c>
      <c r="AJ66" s="62">
        <v>0.61566100000000001</v>
      </c>
      <c r="AK66" s="62">
        <v>0.59765999999999997</v>
      </c>
      <c r="AL66" s="62">
        <v>0.58021800000000001</v>
      </c>
    </row>
    <row r="67" spans="1:39" x14ac:dyDescent="0.25">
      <c r="A67" s="4"/>
      <c r="B67" s="4">
        <v>21</v>
      </c>
      <c r="C67" s="4">
        <v>62</v>
      </c>
      <c r="D67" s="4">
        <v>720</v>
      </c>
      <c r="E67" s="4">
        <f t="shared" si="5"/>
        <v>41544</v>
      </c>
      <c r="F67" s="4">
        <f t="shared" si="6"/>
        <v>1731</v>
      </c>
      <c r="G67" s="4">
        <f t="shared" si="7"/>
        <v>4.7392197125256672</v>
      </c>
      <c r="H67" s="4">
        <v>0.97261629999999999</v>
      </c>
      <c r="I67" s="58">
        <v>0.84495790000000004</v>
      </c>
      <c r="J67" s="58">
        <v>0.89911810000000003</v>
      </c>
      <c r="K67" s="58">
        <v>0.9309385</v>
      </c>
      <c r="L67" s="58">
        <v>0.9538702</v>
      </c>
      <c r="M67" s="58">
        <v>0.97335740000000004</v>
      </c>
      <c r="N67" s="58">
        <v>0.99136219999999997</v>
      </c>
      <c r="O67" s="58">
        <v>1.0085715</v>
      </c>
      <c r="P67" s="58">
        <v>1.0254433000000001</v>
      </c>
      <c r="Q67" s="58">
        <v>1.0421910999999999</v>
      </c>
      <c r="R67" s="58">
        <v>1.0585433</v>
      </c>
      <c r="U67" s="4"/>
      <c r="V67" s="4">
        <v>21</v>
      </c>
      <c r="W67" s="4">
        <v>62</v>
      </c>
      <c r="X67" s="4">
        <v>720</v>
      </c>
      <c r="Y67" s="4">
        <f t="shared" si="8"/>
        <v>41544</v>
      </c>
      <c r="Z67" s="4">
        <f t="shared" si="18"/>
        <v>1731</v>
      </c>
      <c r="AA67" s="4">
        <f t="shared" si="10"/>
        <v>4.7392197125256672</v>
      </c>
      <c r="AB67" s="12">
        <v>0.58291999999999999</v>
      </c>
      <c r="AC67" s="62">
        <v>0.82969300000000001</v>
      </c>
      <c r="AD67" s="62">
        <v>0.75785100000000005</v>
      </c>
      <c r="AE67" s="62">
        <v>0.72150700000000001</v>
      </c>
      <c r="AF67" s="62">
        <v>0.69589000000000001</v>
      </c>
      <c r="AG67" s="62">
        <v>0.67410700000000001</v>
      </c>
      <c r="AH67" s="62">
        <v>0.65395599999999998</v>
      </c>
      <c r="AI67" s="63">
        <v>0.634718</v>
      </c>
      <c r="AJ67" s="62">
        <v>0.61614000000000002</v>
      </c>
      <c r="AK67" s="62">
        <v>0.59810300000000005</v>
      </c>
      <c r="AL67" s="62">
        <v>0.58069700000000002</v>
      </c>
    </row>
    <row r="68" spans="1:39" x14ac:dyDescent="0.25">
      <c r="A68" s="4"/>
      <c r="B68" s="4">
        <v>22</v>
      </c>
      <c r="C68" s="4">
        <v>63</v>
      </c>
      <c r="D68" s="4">
        <v>720</v>
      </c>
      <c r="E68" s="4">
        <f t="shared" si="5"/>
        <v>42264</v>
      </c>
      <c r="F68" s="4">
        <f t="shared" si="6"/>
        <v>1761</v>
      </c>
      <c r="G68" s="4">
        <f t="shared" si="7"/>
        <v>4.8213552361396301</v>
      </c>
      <c r="H68" s="4">
        <v>0.96926179999999995</v>
      </c>
      <c r="I68" s="58">
        <v>0.84301959999999998</v>
      </c>
      <c r="J68" s="58">
        <v>0.89783009999999996</v>
      </c>
      <c r="K68" s="58">
        <v>0.92957639999999997</v>
      </c>
      <c r="L68" s="58">
        <v>0.95266079999999997</v>
      </c>
      <c r="M68" s="58">
        <v>0.97212509999999996</v>
      </c>
      <c r="N68" s="58">
        <v>0.99005889999999996</v>
      </c>
      <c r="O68" s="58">
        <v>1.0073312999999999</v>
      </c>
      <c r="P68" s="58">
        <v>1.0242990000000001</v>
      </c>
      <c r="Q68" s="58">
        <v>1.0407428000000001</v>
      </c>
      <c r="R68" s="58">
        <v>1.0571809000000001</v>
      </c>
      <c r="U68" s="4"/>
      <c r="V68" s="4">
        <v>22</v>
      </c>
      <c r="W68" s="4">
        <v>63</v>
      </c>
      <c r="X68" s="4">
        <v>720</v>
      </c>
      <c r="Y68" s="4">
        <f t="shared" si="8"/>
        <v>42264</v>
      </c>
      <c r="Z68" s="4">
        <f t="shared" si="18"/>
        <v>1761</v>
      </c>
      <c r="AA68" s="4">
        <f t="shared" si="10"/>
        <v>4.8213552361396301</v>
      </c>
      <c r="AB68" s="12">
        <v>0.58638599999999996</v>
      </c>
      <c r="AC68" s="62">
        <v>0.83168500000000001</v>
      </c>
      <c r="AD68" s="62">
        <v>0.75851999999999997</v>
      </c>
      <c r="AE68" s="62">
        <v>0.72203700000000004</v>
      </c>
      <c r="AF68" s="62">
        <v>0.69632000000000005</v>
      </c>
      <c r="AG68" s="62">
        <v>0.67453200000000002</v>
      </c>
      <c r="AH68" s="62">
        <v>0.65441099999999996</v>
      </c>
      <c r="AI68" s="62">
        <v>0.63517400000000002</v>
      </c>
      <c r="AJ68" s="62">
        <v>0.61656999999999995</v>
      </c>
      <c r="AK68" s="62">
        <v>0.59862800000000005</v>
      </c>
      <c r="AL68" s="62">
        <v>0.58120099999999997</v>
      </c>
    </row>
    <row r="69" spans="1:39" x14ac:dyDescent="0.25">
      <c r="A69" s="4"/>
      <c r="B69" s="4">
        <v>23</v>
      </c>
      <c r="C69" s="4">
        <v>64</v>
      </c>
      <c r="D69" s="4">
        <v>720</v>
      </c>
      <c r="E69" s="4">
        <f t="shared" si="5"/>
        <v>42984</v>
      </c>
      <c r="F69" s="4">
        <f t="shared" si="6"/>
        <v>1791</v>
      </c>
      <c r="G69" s="4">
        <f t="shared" si="7"/>
        <v>4.9034907597535931</v>
      </c>
      <c r="H69" s="4">
        <v>0.96584119999999996</v>
      </c>
      <c r="I69" s="58">
        <v>0.84111979999999997</v>
      </c>
      <c r="J69" s="58">
        <v>0.89617869999999999</v>
      </c>
      <c r="K69" s="58">
        <v>0.92834430000000001</v>
      </c>
      <c r="L69" s="58">
        <v>0.95139379999999996</v>
      </c>
      <c r="M69" s="58">
        <v>0.97091170000000004</v>
      </c>
      <c r="N69" s="58">
        <v>0.98900189999999999</v>
      </c>
      <c r="O69" s="58">
        <v>1.0060750999999999</v>
      </c>
      <c r="P69" s="58">
        <v>1.0229059</v>
      </c>
      <c r="Q69" s="58">
        <v>1.0394933</v>
      </c>
      <c r="R69" s="58">
        <v>1.0560020999999999</v>
      </c>
      <c r="U69" s="4"/>
      <c r="V69" s="4">
        <v>23</v>
      </c>
      <c r="W69" s="4">
        <v>64</v>
      </c>
      <c r="X69" s="4">
        <v>720</v>
      </c>
      <c r="Y69" s="4">
        <f t="shared" si="8"/>
        <v>42984</v>
      </c>
      <c r="Z69" s="4">
        <f t="shared" si="18"/>
        <v>1791</v>
      </c>
      <c r="AA69" s="4">
        <f t="shared" si="10"/>
        <v>4.9034907597535931</v>
      </c>
      <c r="AB69" s="12">
        <v>0.58995399999999998</v>
      </c>
      <c r="AC69" s="62">
        <v>0.833789</v>
      </c>
      <c r="AD69" s="63">
        <v>0.759432</v>
      </c>
      <c r="AE69" s="62">
        <v>0.72250000000000003</v>
      </c>
      <c r="AF69" s="62">
        <v>0.69675100000000001</v>
      </c>
      <c r="AG69" s="62">
        <v>0.67494900000000002</v>
      </c>
      <c r="AH69" s="62">
        <v>0.65478099999999995</v>
      </c>
      <c r="AI69" s="62">
        <v>0.63562399999999997</v>
      </c>
      <c r="AJ69" s="62">
        <v>0.61706700000000003</v>
      </c>
      <c r="AK69" s="62">
        <v>0.59909599999999996</v>
      </c>
      <c r="AL69" s="62">
        <v>0.58164899999999997</v>
      </c>
    </row>
    <row r="70" spans="1:39" x14ac:dyDescent="0.25">
      <c r="A70" s="4" t="s">
        <v>224</v>
      </c>
      <c r="B70" s="4">
        <v>24</v>
      </c>
      <c r="C70" s="4">
        <v>65</v>
      </c>
      <c r="D70" s="4">
        <v>846</v>
      </c>
      <c r="E70" s="4">
        <f t="shared" si="5"/>
        <v>43830</v>
      </c>
      <c r="F70" s="4">
        <f t="shared" si="6"/>
        <v>1826.25</v>
      </c>
      <c r="G70" s="4">
        <f t="shared" si="7"/>
        <v>5</v>
      </c>
      <c r="H70" s="4">
        <v>0.96243809999999996</v>
      </c>
      <c r="I70" s="58">
        <v>0.83907900000000002</v>
      </c>
      <c r="J70" s="58">
        <v>0.89474730000000002</v>
      </c>
      <c r="K70" s="13">
        <v>0.92699810000000005</v>
      </c>
      <c r="L70" s="58">
        <v>0.95018769999999997</v>
      </c>
      <c r="M70" s="58">
        <v>0.96971929999999995</v>
      </c>
      <c r="N70" s="58">
        <v>0.98756820000000001</v>
      </c>
      <c r="O70" s="58">
        <v>1.0048391999999999</v>
      </c>
      <c r="P70" s="58">
        <v>1.0216460000000001</v>
      </c>
      <c r="Q70" s="58">
        <v>1.0382043999999999</v>
      </c>
      <c r="R70" s="58">
        <v>1.0545488999999999</v>
      </c>
      <c r="U70" s="4" t="s">
        <v>224</v>
      </c>
      <c r="V70" s="4">
        <v>24</v>
      </c>
      <c r="W70" s="4">
        <v>65</v>
      </c>
      <c r="X70" s="4">
        <v>846</v>
      </c>
      <c r="Y70" s="4">
        <f t="shared" si="8"/>
        <v>43830</v>
      </c>
      <c r="Z70" s="4">
        <f t="shared" si="18"/>
        <v>1826.25</v>
      </c>
      <c r="AA70" s="4">
        <f t="shared" si="10"/>
        <v>5</v>
      </c>
      <c r="AB70" s="12">
        <v>0.59353400000000001</v>
      </c>
      <c r="AC70" s="62">
        <v>0.83609599999999995</v>
      </c>
      <c r="AD70" s="62">
        <v>0.76037600000000005</v>
      </c>
      <c r="AE70" s="62">
        <v>0.72306199999999998</v>
      </c>
      <c r="AF70" s="62">
        <v>0.69719399999999998</v>
      </c>
      <c r="AG70" s="62">
        <v>0.675369</v>
      </c>
      <c r="AH70" s="62">
        <v>0.65527599999999997</v>
      </c>
      <c r="AI70" s="62">
        <v>0.63606799999999997</v>
      </c>
      <c r="AJ70" s="62">
        <v>0.61753000000000002</v>
      </c>
      <c r="AK70" s="95">
        <v>0.59957499999999997</v>
      </c>
      <c r="AL70" s="62">
        <v>0.58218599999999998</v>
      </c>
    </row>
    <row r="71" spans="1:39" x14ac:dyDescent="0.25">
      <c r="A71" s="4"/>
      <c r="B71" s="4">
        <v>1</v>
      </c>
      <c r="C71" s="4">
        <v>66</v>
      </c>
      <c r="D71" s="4">
        <v>720</v>
      </c>
      <c r="E71" s="4">
        <f t="shared" ref="E71:E94" si="20">E70+D71</f>
        <v>44550</v>
      </c>
      <c r="F71" s="4">
        <f t="shared" ref="F71:F94" si="21">E71/24</f>
        <v>1856.25</v>
      </c>
      <c r="G71" s="4">
        <f t="shared" ref="G71:G94" si="22">F71/365.25</f>
        <v>5.0821355236139629</v>
      </c>
      <c r="H71" s="4">
        <v>0.9624066</v>
      </c>
      <c r="I71" s="4">
        <v>0.83907019999999999</v>
      </c>
      <c r="J71" s="4">
        <v>0.89469690000000002</v>
      </c>
      <c r="K71" s="4">
        <v>0.92699750000000003</v>
      </c>
      <c r="L71" s="4">
        <v>0.95017960000000001</v>
      </c>
      <c r="M71" s="4">
        <v>0.96971739999999995</v>
      </c>
      <c r="N71" s="13">
        <v>0.98763690000000004</v>
      </c>
      <c r="O71" s="13">
        <v>1.0048296000000001</v>
      </c>
      <c r="P71" s="13">
        <v>1.0216483999999999</v>
      </c>
      <c r="Q71" s="13">
        <v>1.0381986000000001</v>
      </c>
      <c r="R71" s="13">
        <v>1.0546087</v>
      </c>
      <c r="S71" t="s">
        <v>243</v>
      </c>
      <c r="U71" s="4"/>
      <c r="V71" s="4">
        <v>1</v>
      </c>
      <c r="W71" s="4">
        <v>66</v>
      </c>
      <c r="X71" s="4">
        <v>720</v>
      </c>
      <c r="Y71" s="4">
        <f t="shared" si="8"/>
        <v>44550</v>
      </c>
      <c r="Z71" s="4">
        <f t="shared" si="18"/>
        <v>1856.25</v>
      </c>
      <c r="AA71" s="4">
        <f t="shared" si="10"/>
        <v>5.0821355236139629</v>
      </c>
      <c r="AB71" s="12">
        <v>0.59353800000000001</v>
      </c>
      <c r="AC71" s="12">
        <v>0.83608899999999997</v>
      </c>
      <c r="AD71" s="12">
        <v>0.76042200000000004</v>
      </c>
      <c r="AE71" s="12">
        <v>0.72308700000000004</v>
      </c>
      <c r="AF71" s="12">
        <v>0.69721100000000003</v>
      </c>
      <c r="AG71" s="12">
        <v>0.67538100000000001</v>
      </c>
      <c r="AH71" s="12">
        <v>0.65526899999999999</v>
      </c>
      <c r="AI71" s="12">
        <v>0.63607599999999997</v>
      </c>
      <c r="AJ71" s="12">
        <v>0.61753400000000003</v>
      </c>
      <c r="AK71" s="12">
        <v>0.59958</v>
      </c>
      <c r="AL71" s="12">
        <v>0.58217200000000002</v>
      </c>
      <c r="AM71" t="s">
        <v>243</v>
      </c>
    </row>
    <row r="72" spans="1:39" x14ac:dyDescent="0.25">
      <c r="A72" s="4"/>
      <c r="B72" s="4">
        <v>2</v>
      </c>
      <c r="C72" s="4">
        <v>67</v>
      </c>
      <c r="D72" s="4">
        <v>720</v>
      </c>
      <c r="E72" s="4">
        <f t="shared" si="20"/>
        <v>45270</v>
      </c>
      <c r="F72" s="4">
        <f t="shared" si="21"/>
        <v>1886.25</v>
      </c>
      <c r="G72" s="4">
        <f t="shared" si="22"/>
        <v>5.1642710472279258</v>
      </c>
      <c r="H72" s="4">
        <v>0.95904140000000004</v>
      </c>
      <c r="I72" s="4">
        <v>0.83705039999999997</v>
      </c>
      <c r="J72" s="4">
        <v>0.89317550000000001</v>
      </c>
      <c r="K72" s="4">
        <v>0.92567829999999995</v>
      </c>
      <c r="L72" s="4">
        <v>0.9489282</v>
      </c>
      <c r="M72" s="4">
        <v>0.96849909999999995</v>
      </c>
      <c r="N72" s="13">
        <v>0.98643360000000002</v>
      </c>
      <c r="O72" s="13">
        <v>1.0036516</v>
      </c>
      <c r="P72" s="13">
        <v>1.0205531000000001</v>
      </c>
      <c r="Q72" s="13">
        <v>1.0369710999999999</v>
      </c>
      <c r="R72" s="13">
        <v>1.0532657999999999</v>
      </c>
      <c r="U72" s="4"/>
      <c r="V72" s="4">
        <v>2</v>
      </c>
      <c r="W72" s="4">
        <v>67</v>
      </c>
      <c r="X72" s="4">
        <v>720</v>
      </c>
      <c r="Y72" s="4">
        <f t="shared" ref="Y72:Y94" si="23">Y71+X72</f>
        <v>45270</v>
      </c>
      <c r="Z72" s="4">
        <f t="shared" si="18"/>
        <v>1886.25</v>
      </c>
      <c r="AA72" s="4">
        <f t="shared" ref="AA72:AA94" si="24">Z72/365.25</f>
        <v>5.1642710472279258</v>
      </c>
      <c r="AB72" s="12">
        <v>0.59712299999999996</v>
      </c>
      <c r="AC72" s="12">
        <v>0.83843100000000004</v>
      </c>
      <c r="AD72" s="12">
        <v>0.76131599999999999</v>
      </c>
      <c r="AE72" s="12">
        <v>0.72366399999999997</v>
      </c>
      <c r="AF72" s="12">
        <v>0.69767599999999996</v>
      </c>
      <c r="AG72" s="12">
        <v>0.67579900000000004</v>
      </c>
      <c r="AH72" s="12">
        <v>0.65568800000000005</v>
      </c>
      <c r="AI72" s="12">
        <v>0.63650200000000001</v>
      </c>
      <c r="AJ72" s="12">
        <v>0.61794700000000002</v>
      </c>
      <c r="AK72" s="12">
        <v>0.60004500000000005</v>
      </c>
      <c r="AL72" s="12">
        <v>0.58267500000000005</v>
      </c>
    </row>
    <row r="73" spans="1:39" x14ac:dyDescent="0.25">
      <c r="A73" s="4"/>
      <c r="B73" s="4">
        <v>3</v>
      </c>
      <c r="C73" s="4">
        <v>68</v>
      </c>
      <c r="D73" s="4">
        <v>720</v>
      </c>
      <c r="E73" s="4">
        <f t="shared" si="20"/>
        <v>45990</v>
      </c>
      <c r="F73" s="4">
        <f t="shared" si="21"/>
        <v>1916.25</v>
      </c>
      <c r="G73" s="4">
        <f t="shared" si="22"/>
        <v>5.2464065708418888</v>
      </c>
      <c r="H73" s="4">
        <v>0.95571200000000001</v>
      </c>
      <c r="I73" s="4">
        <v>0.83513250000000006</v>
      </c>
      <c r="J73" s="4">
        <v>0.89168820000000004</v>
      </c>
      <c r="K73" s="4">
        <v>0.92439039999999995</v>
      </c>
      <c r="L73" s="4">
        <v>0.94768300000000005</v>
      </c>
      <c r="M73" s="4">
        <v>0.96726630000000002</v>
      </c>
      <c r="N73" s="13">
        <v>0.98515750000000002</v>
      </c>
      <c r="O73" s="13">
        <v>1.0023576999999999</v>
      </c>
      <c r="P73" s="13">
        <v>1.0191261</v>
      </c>
      <c r="Q73" s="13">
        <v>1.0356452</v>
      </c>
      <c r="R73" s="13">
        <v>1.0521419000000001</v>
      </c>
      <c r="U73" s="4"/>
      <c r="V73" s="4">
        <v>3</v>
      </c>
      <c r="W73" s="4">
        <v>68</v>
      </c>
      <c r="X73" s="4">
        <v>720</v>
      </c>
      <c r="Y73" s="4">
        <f t="shared" si="23"/>
        <v>45990</v>
      </c>
      <c r="Z73" s="4">
        <f t="shared" si="18"/>
        <v>1916.25</v>
      </c>
      <c r="AA73" s="4">
        <f t="shared" si="24"/>
        <v>5.2464065708418888</v>
      </c>
      <c r="AB73" s="12">
        <v>0.60065900000000005</v>
      </c>
      <c r="AC73" s="12">
        <v>0.84063900000000003</v>
      </c>
      <c r="AD73" s="12">
        <v>0.76222299999999998</v>
      </c>
      <c r="AE73" s="12">
        <v>0.72426800000000002</v>
      </c>
      <c r="AF73" s="12">
        <v>0.69816400000000001</v>
      </c>
      <c r="AG73" s="12">
        <v>0.67626500000000001</v>
      </c>
      <c r="AH73" s="12">
        <v>0.65616300000000005</v>
      </c>
      <c r="AI73" s="12">
        <v>0.63698399999999999</v>
      </c>
      <c r="AJ73" s="12">
        <v>0.61847300000000005</v>
      </c>
      <c r="AK73" s="12">
        <v>0.600549</v>
      </c>
      <c r="AL73" s="12">
        <v>0.58311900000000005</v>
      </c>
    </row>
    <row r="74" spans="1:39" x14ac:dyDescent="0.25">
      <c r="A74" s="4"/>
      <c r="B74" s="4">
        <v>4</v>
      </c>
      <c r="C74" s="4">
        <v>69</v>
      </c>
      <c r="D74" s="4">
        <v>720</v>
      </c>
      <c r="E74" s="4">
        <f t="shared" si="20"/>
        <v>46710</v>
      </c>
      <c r="F74" s="4">
        <f t="shared" si="21"/>
        <v>1946.25</v>
      </c>
      <c r="G74" s="4">
        <f t="shared" si="22"/>
        <v>5.3285420944558526</v>
      </c>
      <c r="H74" s="4">
        <v>0.95238210000000001</v>
      </c>
      <c r="I74" s="4">
        <v>0.83313349999999997</v>
      </c>
      <c r="J74" s="4">
        <v>0.89003089999999996</v>
      </c>
      <c r="K74" s="4">
        <v>0.92298469999999999</v>
      </c>
      <c r="L74" s="13">
        <v>0.94642170000000003</v>
      </c>
      <c r="M74" s="13">
        <v>0.96601190000000003</v>
      </c>
      <c r="N74" s="13">
        <v>0.9839483</v>
      </c>
      <c r="O74" s="10">
        <v>1.0011304999999999</v>
      </c>
      <c r="P74" s="13">
        <v>1.0178685000000001</v>
      </c>
      <c r="Q74" s="13">
        <v>1.0345314999999999</v>
      </c>
      <c r="R74" s="13">
        <v>1.0506328</v>
      </c>
      <c r="U74" s="4"/>
      <c r="V74" s="4">
        <v>4</v>
      </c>
      <c r="W74" s="4">
        <v>69</v>
      </c>
      <c r="X74" s="4">
        <v>720</v>
      </c>
      <c r="Y74" s="4">
        <f t="shared" si="23"/>
        <v>46710</v>
      </c>
      <c r="Z74" s="4">
        <f t="shared" si="18"/>
        <v>1946.25</v>
      </c>
      <c r="AA74" s="4">
        <f t="shared" si="24"/>
        <v>5.3285420944558526</v>
      </c>
      <c r="AB74" s="12">
        <v>0.604186</v>
      </c>
      <c r="AC74" s="12">
        <v>0.84290900000000002</v>
      </c>
      <c r="AD74" s="12">
        <v>0.76333600000000001</v>
      </c>
      <c r="AE74" s="12">
        <v>0.72491499999999998</v>
      </c>
      <c r="AF74" s="12">
        <v>0.69870100000000002</v>
      </c>
      <c r="AG74" s="12">
        <v>0.676755</v>
      </c>
      <c r="AH74" s="12">
        <v>0.65662799999999999</v>
      </c>
      <c r="AI74" s="12">
        <v>0.637459</v>
      </c>
      <c r="AJ74" s="12">
        <v>0.61896899999999999</v>
      </c>
      <c r="AK74" s="12">
        <v>0.600993</v>
      </c>
      <c r="AL74" s="12">
        <v>0.58368600000000004</v>
      </c>
    </row>
    <row r="75" spans="1:39" x14ac:dyDescent="0.25">
      <c r="A75" s="4"/>
      <c r="B75" s="4">
        <v>5</v>
      </c>
      <c r="C75" s="4">
        <v>70</v>
      </c>
      <c r="D75" s="4">
        <v>720</v>
      </c>
      <c r="E75" s="4">
        <f t="shared" si="20"/>
        <v>47430</v>
      </c>
      <c r="F75" s="4">
        <f t="shared" si="21"/>
        <v>1976.25</v>
      </c>
      <c r="G75" s="4">
        <f t="shared" si="22"/>
        <v>5.4106776180698155</v>
      </c>
      <c r="H75" s="4">
        <v>0.94907160000000002</v>
      </c>
      <c r="I75" s="4">
        <v>0.83126100000000003</v>
      </c>
      <c r="J75" s="4">
        <v>0.88849339999999999</v>
      </c>
      <c r="K75" s="4">
        <v>0.92174619999999996</v>
      </c>
      <c r="L75" s="13">
        <v>0.94526969999999999</v>
      </c>
      <c r="M75" s="13">
        <v>0.96480290000000002</v>
      </c>
      <c r="N75" s="13">
        <v>0.9827321</v>
      </c>
      <c r="O75" s="13">
        <v>0.99989660000000002</v>
      </c>
      <c r="P75" s="13">
        <v>1.0166214</v>
      </c>
      <c r="Q75" s="13">
        <v>1.0330615000000001</v>
      </c>
      <c r="R75" s="13">
        <v>1.0494353999999999</v>
      </c>
      <c r="U75" s="4"/>
      <c r="V75" s="4">
        <v>5</v>
      </c>
      <c r="W75" s="4">
        <v>70</v>
      </c>
      <c r="X75" s="4">
        <v>720</v>
      </c>
      <c r="Y75" s="4">
        <f t="shared" si="23"/>
        <v>47430</v>
      </c>
      <c r="Z75" s="4">
        <f t="shared" si="18"/>
        <v>1976.25</v>
      </c>
      <c r="AA75" s="4">
        <f t="shared" si="24"/>
        <v>5.4106776180698155</v>
      </c>
      <c r="AB75" s="12">
        <v>0.60772099999999996</v>
      </c>
      <c r="AC75" s="12">
        <v>0.84504699999999999</v>
      </c>
      <c r="AD75" s="12">
        <v>0.76442699999999997</v>
      </c>
      <c r="AE75" s="12">
        <v>0.72550899999999996</v>
      </c>
      <c r="AF75" s="12">
        <v>0.69917899999999999</v>
      </c>
      <c r="AG75" s="12">
        <v>0.67722800000000005</v>
      </c>
      <c r="AH75" s="12">
        <v>0.65709200000000001</v>
      </c>
      <c r="AI75" s="12">
        <v>0.637934</v>
      </c>
      <c r="AJ75" s="12">
        <v>0.61945099999999997</v>
      </c>
      <c r="AK75" s="12">
        <v>0.60154700000000005</v>
      </c>
      <c r="AL75" s="12">
        <v>0.58416400000000002</v>
      </c>
    </row>
    <row r="76" spans="1:39" x14ac:dyDescent="0.25">
      <c r="A76" s="4"/>
      <c r="B76" s="4">
        <v>6</v>
      </c>
      <c r="C76" s="4">
        <v>71</v>
      </c>
      <c r="D76" s="4">
        <v>720</v>
      </c>
      <c r="E76" s="4">
        <f t="shared" si="20"/>
        <v>48150</v>
      </c>
      <c r="F76" s="4">
        <f t="shared" si="21"/>
        <v>2006.25</v>
      </c>
      <c r="G76" s="4">
        <f t="shared" si="22"/>
        <v>5.4928131416837784</v>
      </c>
      <c r="H76" s="4">
        <v>0.94576099999999996</v>
      </c>
      <c r="I76" s="4">
        <v>0.82937289999999997</v>
      </c>
      <c r="J76" s="4">
        <v>0.88687369999999999</v>
      </c>
      <c r="K76" s="4">
        <v>0.92037210000000003</v>
      </c>
      <c r="L76" s="13">
        <v>0.94390339999999995</v>
      </c>
      <c r="M76" s="13">
        <v>0.96360710000000005</v>
      </c>
      <c r="N76" s="13">
        <v>0.98153789999999996</v>
      </c>
      <c r="O76" s="13">
        <v>0.9986855</v>
      </c>
      <c r="P76" s="13">
        <v>1.0155425</v>
      </c>
      <c r="Q76" s="13">
        <v>1.0318639999999999</v>
      </c>
      <c r="R76" s="13">
        <v>1.0481129</v>
      </c>
      <c r="U76" s="4"/>
      <c r="V76" s="4">
        <v>6</v>
      </c>
      <c r="W76" s="4">
        <v>71</v>
      </c>
      <c r="X76" s="4">
        <v>720</v>
      </c>
      <c r="Y76" s="4">
        <f t="shared" si="23"/>
        <v>48150</v>
      </c>
      <c r="Z76" s="4">
        <f t="shared" si="18"/>
        <v>2006.25</v>
      </c>
      <c r="AA76" s="4">
        <f t="shared" si="24"/>
        <v>5.4928131416837784</v>
      </c>
      <c r="AB76" s="12">
        <v>0.61127299999999996</v>
      </c>
      <c r="AC76" s="12">
        <v>0.84717900000000002</v>
      </c>
      <c r="AD76" s="12">
        <v>0.76559500000000003</v>
      </c>
      <c r="AE76" s="12">
        <v>0.72616400000000003</v>
      </c>
      <c r="AF76" s="12">
        <v>0.69971300000000003</v>
      </c>
      <c r="AG76" s="12">
        <v>0.67768099999999998</v>
      </c>
      <c r="AH76" s="12">
        <v>0.65754199999999996</v>
      </c>
      <c r="AI76" s="12">
        <v>0.63839699999999999</v>
      </c>
      <c r="AJ76" s="12">
        <v>0.61987700000000001</v>
      </c>
      <c r="AK76" s="12">
        <v>0.60202299999999997</v>
      </c>
      <c r="AL76" s="12">
        <v>0.58467199999999997</v>
      </c>
    </row>
    <row r="77" spans="1:39" x14ac:dyDescent="0.25">
      <c r="A77" s="4"/>
      <c r="B77" s="4">
        <v>7</v>
      </c>
      <c r="C77" s="4">
        <v>72</v>
      </c>
      <c r="D77" s="4">
        <v>720</v>
      </c>
      <c r="E77" s="4">
        <f t="shared" si="20"/>
        <v>48870</v>
      </c>
      <c r="F77" s="4">
        <f t="shared" si="21"/>
        <v>2036.25</v>
      </c>
      <c r="G77" s="4">
        <f t="shared" si="22"/>
        <v>5.5749486652977414</v>
      </c>
      <c r="H77" s="4">
        <v>0.94250120000000004</v>
      </c>
      <c r="I77" s="4">
        <v>0.82753710000000003</v>
      </c>
      <c r="J77" s="4">
        <v>0.885293</v>
      </c>
      <c r="K77" s="4">
        <v>0.91916439999999999</v>
      </c>
      <c r="L77" s="13">
        <v>0.94275810000000004</v>
      </c>
      <c r="M77" s="13">
        <v>0.96241650000000001</v>
      </c>
      <c r="N77" s="13">
        <v>0.98033570000000003</v>
      </c>
      <c r="O77" s="13">
        <v>0.99754980000000004</v>
      </c>
      <c r="P77" s="13">
        <v>1.0142629999999999</v>
      </c>
      <c r="Q77" s="13">
        <v>1.0306085</v>
      </c>
      <c r="R77" s="13">
        <v>1.0468645000000001</v>
      </c>
      <c r="U77" s="4"/>
      <c r="V77" s="4">
        <v>7</v>
      </c>
      <c r="W77" s="4">
        <v>72</v>
      </c>
      <c r="X77" s="4">
        <v>720</v>
      </c>
      <c r="Y77" s="4">
        <f t="shared" si="23"/>
        <v>48870</v>
      </c>
      <c r="Z77" s="4">
        <f t="shared" si="18"/>
        <v>2036.25</v>
      </c>
      <c r="AA77" s="4">
        <f t="shared" si="24"/>
        <v>5.5749486652977414</v>
      </c>
      <c r="AB77" s="12">
        <v>0.61480299999999999</v>
      </c>
      <c r="AC77" s="12">
        <v>0.84932200000000002</v>
      </c>
      <c r="AD77" s="12">
        <v>0.76675700000000002</v>
      </c>
      <c r="AE77" s="12">
        <v>0.72680400000000001</v>
      </c>
      <c r="AF77" s="12">
        <v>0.70020199999999999</v>
      </c>
      <c r="AG77" s="12">
        <v>0.67814099999999999</v>
      </c>
      <c r="AH77" s="12">
        <v>0.65800599999999998</v>
      </c>
      <c r="AI77" s="12">
        <v>0.63883599999999996</v>
      </c>
      <c r="AJ77" s="12">
        <v>0.62036400000000003</v>
      </c>
      <c r="AK77" s="12">
        <v>0.60250700000000001</v>
      </c>
      <c r="AL77" s="12">
        <v>0.58516000000000001</v>
      </c>
    </row>
    <row r="78" spans="1:39" x14ac:dyDescent="0.25">
      <c r="A78" s="4"/>
      <c r="B78" s="4">
        <v>8</v>
      </c>
      <c r="C78" s="4">
        <v>73</v>
      </c>
      <c r="D78" s="4">
        <v>720</v>
      </c>
      <c r="E78" s="4">
        <f t="shared" si="20"/>
        <v>49590</v>
      </c>
      <c r="F78" s="4">
        <f t="shared" si="21"/>
        <v>2066.25</v>
      </c>
      <c r="G78" s="4">
        <f t="shared" si="22"/>
        <v>5.6570841889117043</v>
      </c>
      <c r="H78" s="4">
        <v>0.93927400000000005</v>
      </c>
      <c r="I78" s="4">
        <v>0.82573850000000004</v>
      </c>
      <c r="J78" s="4">
        <v>0.88359049999999995</v>
      </c>
      <c r="K78" s="4">
        <v>0.91769990000000001</v>
      </c>
      <c r="L78" s="13">
        <v>0.94147570000000003</v>
      </c>
      <c r="M78" s="13">
        <v>0.96120510000000003</v>
      </c>
      <c r="N78" s="13">
        <v>0.97913890000000003</v>
      </c>
      <c r="O78" s="13">
        <v>0.99636290000000005</v>
      </c>
      <c r="P78" s="13">
        <v>1.0128998</v>
      </c>
      <c r="Q78" s="13">
        <v>1.0293707000000001</v>
      </c>
      <c r="R78" s="13">
        <v>1.0456057000000001</v>
      </c>
      <c r="U78" s="4"/>
      <c r="V78" s="4">
        <v>8</v>
      </c>
      <c r="W78" s="4">
        <v>73</v>
      </c>
      <c r="X78" s="4">
        <v>720</v>
      </c>
      <c r="Y78" s="4">
        <f t="shared" si="23"/>
        <v>49590</v>
      </c>
      <c r="Z78" s="4">
        <f t="shared" si="18"/>
        <v>2066.25</v>
      </c>
      <c r="AA78" s="4">
        <f t="shared" si="24"/>
        <v>5.6570841889117043</v>
      </c>
      <c r="AB78" s="12">
        <v>0.61830799999999997</v>
      </c>
      <c r="AC78" s="12">
        <v>0.85136999999999996</v>
      </c>
      <c r="AD78" s="12">
        <v>0.76807800000000004</v>
      </c>
      <c r="AE78" s="12">
        <v>0.72757899999999998</v>
      </c>
      <c r="AF78" s="12">
        <v>0.70077500000000004</v>
      </c>
      <c r="AG78" s="12">
        <v>0.67863200000000001</v>
      </c>
      <c r="AH78" s="12">
        <v>0.65846800000000005</v>
      </c>
      <c r="AI78" s="12">
        <v>0.63929000000000002</v>
      </c>
      <c r="AJ78" s="12">
        <v>0.62088500000000002</v>
      </c>
      <c r="AK78" s="12">
        <v>0.602993</v>
      </c>
      <c r="AL78" s="12">
        <v>0.58565199999999995</v>
      </c>
    </row>
    <row r="79" spans="1:39" x14ac:dyDescent="0.25">
      <c r="A79" s="4"/>
      <c r="B79" s="4">
        <v>9</v>
      </c>
      <c r="C79" s="4">
        <v>74</v>
      </c>
      <c r="D79" s="4">
        <v>720</v>
      </c>
      <c r="E79" s="4">
        <f t="shared" si="20"/>
        <v>50310</v>
      </c>
      <c r="F79" s="4">
        <f t="shared" si="21"/>
        <v>2096.25</v>
      </c>
      <c r="G79" s="4">
        <f t="shared" si="22"/>
        <v>5.7392197125256672</v>
      </c>
      <c r="H79" s="4">
        <v>0.93608769999999997</v>
      </c>
      <c r="I79" s="4">
        <v>0.82393970000000005</v>
      </c>
      <c r="J79" s="4">
        <v>0.88199269999999996</v>
      </c>
      <c r="K79" s="4">
        <v>0.91636519999999999</v>
      </c>
      <c r="L79" s="13">
        <v>0.94028900000000004</v>
      </c>
      <c r="M79" s="13">
        <v>0.95999440000000003</v>
      </c>
      <c r="N79" s="13">
        <v>0.97794270000000005</v>
      </c>
      <c r="O79" s="13">
        <v>0.99514539999999996</v>
      </c>
      <c r="P79" s="13">
        <v>1.0117301999999999</v>
      </c>
      <c r="Q79" s="13">
        <v>1.0281441</v>
      </c>
      <c r="R79" s="13">
        <v>1.0443633000000001</v>
      </c>
      <c r="U79" s="4"/>
      <c r="V79" s="4">
        <v>9</v>
      </c>
      <c r="W79" s="4">
        <v>74</v>
      </c>
      <c r="X79" s="4">
        <v>720</v>
      </c>
      <c r="Y79" s="4">
        <f t="shared" si="23"/>
        <v>50310</v>
      </c>
      <c r="Z79" s="4">
        <f t="shared" si="18"/>
        <v>2096.25</v>
      </c>
      <c r="AA79" s="4">
        <f t="shared" si="24"/>
        <v>5.7392197125256672</v>
      </c>
      <c r="AB79" s="12">
        <v>0.62177899999999997</v>
      </c>
      <c r="AC79" s="12">
        <v>0.85341900000000004</v>
      </c>
      <c r="AD79" s="12">
        <v>0.76937100000000003</v>
      </c>
      <c r="AE79" s="12">
        <v>0.72830799999999996</v>
      </c>
      <c r="AF79" s="12">
        <v>0.70132499999999998</v>
      </c>
      <c r="AG79" s="12">
        <v>0.679145</v>
      </c>
      <c r="AH79" s="12">
        <v>0.65894799999999998</v>
      </c>
      <c r="AI79" s="12">
        <v>0.63976900000000003</v>
      </c>
      <c r="AJ79" s="12">
        <v>0.62135200000000002</v>
      </c>
      <c r="AK79" s="12">
        <v>0.60347399999999995</v>
      </c>
      <c r="AL79" s="12">
        <v>0.58613800000000005</v>
      </c>
    </row>
    <row r="80" spans="1:39" x14ac:dyDescent="0.25">
      <c r="A80" s="4"/>
      <c r="B80" s="4">
        <v>10</v>
      </c>
      <c r="C80" s="4">
        <v>75</v>
      </c>
      <c r="D80" s="4">
        <v>720</v>
      </c>
      <c r="E80" s="4">
        <f t="shared" si="20"/>
        <v>51030</v>
      </c>
      <c r="F80" s="4">
        <f t="shared" si="21"/>
        <v>2126.25</v>
      </c>
      <c r="G80" s="4">
        <f t="shared" si="22"/>
        <v>5.8213552361396301</v>
      </c>
      <c r="H80" s="4">
        <v>0.93293420000000005</v>
      </c>
      <c r="I80" s="4">
        <v>0.82217750000000001</v>
      </c>
      <c r="J80" s="4">
        <v>0.88026550000000003</v>
      </c>
      <c r="K80" s="4">
        <v>0.91498860000000004</v>
      </c>
      <c r="L80" s="13">
        <v>0.93894259999999996</v>
      </c>
      <c r="M80" s="13">
        <v>0.95878229999999998</v>
      </c>
      <c r="N80" s="13">
        <v>0.9768462</v>
      </c>
      <c r="O80" s="13">
        <v>0.99382029999999999</v>
      </c>
      <c r="P80" s="13">
        <v>1.0105073</v>
      </c>
      <c r="Q80" s="13">
        <v>1.0269227000000001</v>
      </c>
      <c r="R80" s="13">
        <v>1.0431244</v>
      </c>
      <c r="U80" s="4"/>
      <c r="V80" s="4">
        <v>10</v>
      </c>
      <c r="W80" s="4">
        <v>75</v>
      </c>
      <c r="X80" s="4">
        <v>720</v>
      </c>
      <c r="Y80" s="4">
        <f t="shared" si="23"/>
        <v>51030</v>
      </c>
      <c r="Z80" s="4">
        <f t="shared" si="18"/>
        <v>2126.25</v>
      </c>
      <c r="AA80" s="4">
        <f t="shared" si="24"/>
        <v>5.8213552361396301</v>
      </c>
      <c r="AB80" s="12">
        <v>0.62520299999999995</v>
      </c>
      <c r="AC80" s="12">
        <v>0.85543599999999997</v>
      </c>
      <c r="AD80" s="12">
        <v>0.770783</v>
      </c>
      <c r="AE80" s="12">
        <v>0.72906400000000005</v>
      </c>
      <c r="AF80" s="12">
        <v>0.701936</v>
      </c>
      <c r="AG80" s="12">
        <v>0.67966000000000004</v>
      </c>
      <c r="AH80" s="12">
        <v>0.65940299999999996</v>
      </c>
      <c r="AI80" s="12">
        <v>0.64029499999999995</v>
      </c>
      <c r="AJ80" s="12">
        <v>0.62183699999999997</v>
      </c>
      <c r="AK80" s="12">
        <v>0.60395699999999997</v>
      </c>
      <c r="AL80" s="12">
        <v>0.58662499999999995</v>
      </c>
    </row>
    <row r="81" spans="1:38" x14ac:dyDescent="0.25">
      <c r="A81" s="4"/>
      <c r="B81" s="4">
        <v>11</v>
      </c>
      <c r="C81" s="4">
        <v>76</v>
      </c>
      <c r="D81" s="4">
        <v>720</v>
      </c>
      <c r="E81" s="4">
        <f t="shared" si="20"/>
        <v>51750</v>
      </c>
      <c r="F81" s="4">
        <f t="shared" si="21"/>
        <v>2156.25</v>
      </c>
      <c r="G81" s="4">
        <f t="shared" si="22"/>
        <v>5.9034907597535931</v>
      </c>
      <c r="H81" s="4">
        <v>0.92983130000000003</v>
      </c>
      <c r="I81" s="4">
        <v>0.82046450000000004</v>
      </c>
      <c r="J81" s="4">
        <v>0.87863610000000003</v>
      </c>
      <c r="K81" s="4">
        <v>0.91363439999999996</v>
      </c>
      <c r="L81" s="13">
        <v>0.93775730000000002</v>
      </c>
      <c r="M81" s="13">
        <v>0.95758209999999999</v>
      </c>
      <c r="N81" s="13">
        <v>0.97551489999999996</v>
      </c>
      <c r="O81" s="13">
        <v>0.99267850000000002</v>
      </c>
      <c r="P81" s="13">
        <v>1.0094031999999999</v>
      </c>
      <c r="Q81" s="13">
        <v>1.0257099999999999</v>
      </c>
      <c r="R81" s="13">
        <v>1.0418931</v>
      </c>
      <c r="U81" s="4"/>
      <c r="V81" s="4">
        <v>11</v>
      </c>
      <c r="W81" s="4">
        <v>76</v>
      </c>
      <c r="X81" s="4">
        <v>720</v>
      </c>
      <c r="Y81" s="4">
        <f t="shared" si="23"/>
        <v>51750</v>
      </c>
      <c r="Z81" s="4">
        <f t="shared" si="18"/>
        <v>2156.25</v>
      </c>
      <c r="AA81" s="4">
        <f t="shared" si="24"/>
        <v>5.9034907597535931</v>
      </c>
      <c r="AB81" s="12">
        <v>0.62856500000000004</v>
      </c>
      <c r="AC81" s="12">
        <v>0.85738999999999999</v>
      </c>
      <c r="AD81" s="12">
        <v>0.77213500000000002</v>
      </c>
      <c r="AE81" s="12">
        <v>0.72987100000000005</v>
      </c>
      <c r="AF81" s="12">
        <v>0.70250199999999996</v>
      </c>
      <c r="AG81" s="12">
        <v>0.68017499999999997</v>
      </c>
      <c r="AH81" s="12">
        <v>0.659941</v>
      </c>
      <c r="AI81" s="12">
        <v>0.64076200000000005</v>
      </c>
      <c r="AJ81" s="12">
        <v>0.62228000000000006</v>
      </c>
      <c r="AK81" s="12">
        <v>0.60443599999999997</v>
      </c>
      <c r="AL81" s="12">
        <v>0.587113</v>
      </c>
    </row>
    <row r="82" spans="1:38" x14ac:dyDescent="0.25">
      <c r="A82" s="4"/>
      <c r="B82" s="4">
        <v>12</v>
      </c>
      <c r="C82" s="4">
        <v>77</v>
      </c>
      <c r="D82" s="4">
        <v>846</v>
      </c>
      <c r="E82" s="4">
        <f t="shared" si="20"/>
        <v>52596</v>
      </c>
      <c r="F82" s="4">
        <f t="shared" si="21"/>
        <v>2191.5</v>
      </c>
      <c r="G82" s="4">
        <f t="shared" si="22"/>
        <v>6</v>
      </c>
      <c r="H82" s="4">
        <v>0.92673689999999997</v>
      </c>
      <c r="I82" s="4">
        <v>0.81872310000000004</v>
      </c>
      <c r="J82" s="4">
        <v>0.87687619999999999</v>
      </c>
      <c r="K82" s="4">
        <v>0.91216439999999999</v>
      </c>
      <c r="L82" s="13">
        <v>0.93644300000000003</v>
      </c>
      <c r="M82" s="13">
        <v>0.95637470000000002</v>
      </c>
      <c r="N82" s="13">
        <v>0.97438780000000003</v>
      </c>
      <c r="O82" s="13">
        <v>0.99147870000000005</v>
      </c>
      <c r="P82" s="13">
        <v>1.0081005999999999</v>
      </c>
      <c r="Q82" s="13">
        <v>1.0244937000000001</v>
      </c>
      <c r="R82" s="13">
        <v>1.0406591999999999</v>
      </c>
      <c r="U82" s="4"/>
      <c r="V82" s="4">
        <v>12</v>
      </c>
      <c r="W82" s="4">
        <v>77</v>
      </c>
      <c r="X82" s="4">
        <v>846</v>
      </c>
      <c r="Y82" s="4">
        <f t="shared" si="23"/>
        <v>52596</v>
      </c>
      <c r="Z82" s="4">
        <f t="shared" si="18"/>
        <v>2191.5</v>
      </c>
      <c r="AA82" s="4">
        <f t="shared" si="24"/>
        <v>6</v>
      </c>
      <c r="AB82" s="12">
        <v>0.63192899999999996</v>
      </c>
      <c r="AC82" s="12">
        <v>0.85931800000000003</v>
      </c>
      <c r="AD82" s="12">
        <v>0.77360300000000004</v>
      </c>
      <c r="AE82" s="12">
        <v>0.73075299999999999</v>
      </c>
      <c r="AF82" s="12">
        <v>0.70313999999999999</v>
      </c>
      <c r="AG82" s="12">
        <v>0.68070600000000003</v>
      </c>
      <c r="AH82" s="12">
        <v>0.66041899999999998</v>
      </c>
      <c r="AI82" s="12">
        <v>0.64124199999999998</v>
      </c>
      <c r="AJ82" s="12">
        <v>0.62279200000000001</v>
      </c>
      <c r="AK82" s="12">
        <v>0.60492699999999999</v>
      </c>
      <c r="AL82" s="12">
        <v>0.58760800000000002</v>
      </c>
    </row>
    <row r="83" spans="1:38" x14ac:dyDescent="0.25">
      <c r="A83" s="4"/>
      <c r="B83" s="4">
        <v>13</v>
      </c>
      <c r="C83" s="4">
        <v>78</v>
      </c>
      <c r="D83" s="4">
        <v>720</v>
      </c>
      <c r="E83" s="4">
        <f t="shared" si="20"/>
        <v>53316</v>
      </c>
      <c r="F83" s="4">
        <f t="shared" si="21"/>
        <v>2221.5</v>
      </c>
      <c r="G83" s="4">
        <f t="shared" si="22"/>
        <v>6.0821355236139629</v>
      </c>
      <c r="H83" s="4">
        <v>0.92312320000000003</v>
      </c>
      <c r="I83" s="4">
        <v>0.81688700000000003</v>
      </c>
      <c r="J83" s="4">
        <v>0.87493560000000004</v>
      </c>
      <c r="K83" s="4">
        <v>0.9105337</v>
      </c>
      <c r="L83" s="13">
        <v>0.93494200000000005</v>
      </c>
      <c r="M83" s="13">
        <v>0.95494849999999998</v>
      </c>
      <c r="N83" s="13">
        <v>0.97296519999999997</v>
      </c>
      <c r="O83" s="13">
        <v>0.99021199999999998</v>
      </c>
      <c r="P83" s="13">
        <v>1.0068272</v>
      </c>
      <c r="Q83" s="13">
        <v>1.0230619000000001</v>
      </c>
      <c r="R83" s="13">
        <v>1.0392048</v>
      </c>
      <c r="U83" s="4"/>
      <c r="V83" s="4">
        <v>13</v>
      </c>
      <c r="W83" s="4">
        <v>78</v>
      </c>
      <c r="X83" s="4">
        <v>720</v>
      </c>
      <c r="Y83" s="4">
        <f t="shared" si="23"/>
        <v>53316</v>
      </c>
      <c r="Z83" s="4">
        <f t="shared" ref="Z83:Z94" si="25">Y83/24</f>
        <v>2221.5</v>
      </c>
      <c r="AA83" s="4">
        <f t="shared" si="24"/>
        <v>6.0821355236139629</v>
      </c>
      <c r="AB83" s="12">
        <v>0.63589499999999999</v>
      </c>
      <c r="AC83" s="12">
        <v>0.86145400000000005</v>
      </c>
      <c r="AD83" s="12">
        <v>0.77525999999999995</v>
      </c>
      <c r="AE83" s="12">
        <v>0.73178900000000002</v>
      </c>
      <c r="AF83" s="12">
        <v>0.70391899999999996</v>
      </c>
      <c r="AG83" s="12">
        <v>0.68134300000000003</v>
      </c>
      <c r="AH83" s="12">
        <v>0.66101699999999997</v>
      </c>
      <c r="AI83" s="12">
        <v>0.64177399999999996</v>
      </c>
      <c r="AJ83" s="12">
        <v>0.62333000000000005</v>
      </c>
      <c r="AK83" s="12">
        <v>0.60550999999999999</v>
      </c>
      <c r="AL83" s="12">
        <v>0.588198</v>
      </c>
    </row>
    <row r="84" spans="1:38" x14ac:dyDescent="0.25">
      <c r="A84" s="4"/>
      <c r="B84" s="4">
        <v>14</v>
      </c>
      <c r="C84" s="4">
        <v>79</v>
      </c>
      <c r="D84" s="4">
        <v>720</v>
      </c>
      <c r="E84" s="4">
        <f t="shared" si="20"/>
        <v>54036</v>
      </c>
      <c r="F84" s="4">
        <f t="shared" si="21"/>
        <v>2251.5</v>
      </c>
      <c r="G84" s="4">
        <f t="shared" si="22"/>
        <v>6.1642710472279258</v>
      </c>
      <c r="H84" s="4">
        <v>0.92004819999999998</v>
      </c>
      <c r="I84" s="4">
        <v>0.81518100000000004</v>
      </c>
      <c r="J84" s="4">
        <v>0.8732839</v>
      </c>
      <c r="K84" s="4">
        <v>0.90901730000000003</v>
      </c>
      <c r="L84" s="13">
        <v>0.93363399999999996</v>
      </c>
      <c r="M84" s="13">
        <v>0.95370509999999997</v>
      </c>
      <c r="N84" s="13">
        <v>0.97176410000000002</v>
      </c>
      <c r="O84" s="13">
        <v>0.9888287</v>
      </c>
      <c r="P84" s="13">
        <v>1.0055662000000001</v>
      </c>
      <c r="Q84" s="13">
        <v>1.0218385000000001</v>
      </c>
      <c r="R84" s="13">
        <v>1.0379651999999999</v>
      </c>
      <c r="U84" s="4"/>
      <c r="V84" s="4">
        <v>14</v>
      </c>
      <c r="W84" s="4">
        <v>79</v>
      </c>
      <c r="X84" s="4">
        <v>720</v>
      </c>
      <c r="Y84" s="4">
        <f t="shared" si="23"/>
        <v>54036</v>
      </c>
      <c r="Z84" s="4">
        <f t="shared" si="25"/>
        <v>2251.5</v>
      </c>
      <c r="AA84" s="4">
        <f t="shared" si="24"/>
        <v>6.1642710472279258</v>
      </c>
      <c r="AB84" s="12">
        <v>0.63929000000000002</v>
      </c>
      <c r="AC84" s="12">
        <v>0.86334699999999998</v>
      </c>
      <c r="AD84" s="12">
        <v>0.77667299999999995</v>
      </c>
      <c r="AE84" s="12">
        <v>0.73272300000000001</v>
      </c>
      <c r="AF84" s="12">
        <v>0.70462100000000005</v>
      </c>
      <c r="AG84" s="12">
        <v>0.681952</v>
      </c>
      <c r="AH84" s="12">
        <v>0.66156300000000001</v>
      </c>
      <c r="AI84" s="12">
        <v>0.64235500000000001</v>
      </c>
      <c r="AJ84" s="12">
        <v>0.62385699999999999</v>
      </c>
      <c r="AK84" s="12">
        <v>0.60602400000000001</v>
      </c>
      <c r="AL84" s="12">
        <v>0.58871099999999998</v>
      </c>
    </row>
    <row r="85" spans="1:38" x14ac:dyDescent="0.25">
      <c r="A85" s="4"/>
      <c r="B85" s="4">
        <v>15</v>
      </c>
      <c r="C85" s="4">
        <v>80</v>
      </c>
      <c r="D85" s="4">
        <v>720</v>
      </c>
      <c r="E85" s="4">
        <f t="shared" si="20"/>
        <v>54756</v>
      </c>
      <c r="F85" s="4">
        <f t="shared" si="21"/>
        <v>2281.5</v>
      </c>
      <c r="G85" s="4">
        <f t="shared" si="22"/>
        <v>6.2464065708418888</v>
      </c>
      <c r="H85" s="4">
        <v>0.91699450000000005</v>
      </c>
      <c r="I85" s="4">
        <v>0.81363529999999995</v>
      </c>
      <c r="J85" s="4">
        <v>0.87156829999999996</v>
      </c>
      <c r="K85" s="4">
        <v>0.90766559999999996</v>
      </c>
      <c r="L85" s="13">
        <v>0.93236110000000005</v>
      </c>
      <c r="M85" s="13">
        <v>0.95247660000000001</v>
      </c>
      <c r="N85" s="13">
        <v>0.97067199999999998</v>
      </c>
      <c r="O85" s="13">
        <v>0.98782099999999995</v>
      </c>
      <c r="P85" s="13">
        <v>1.0042492999999999</v>
      </c>
      <c r="Q85" s="13">
        <v>1.0206195</v>
      </c>
      <c r="R85" s="13">
        <v>1.0367508999999999</v>
      </c>
      <c r="U85" s="4"/>
      <c r="V85" s="4">
        <v>15</v>
      </c>
      <c r="W85" s="4">
        <v>80</v>
      </c>
      <c r="X85" s="4">
        <v>720</v>
      </c>
      <c r="Y85" s="4">
        <f t="shared" si="23"/>
        <v>54756</v>
      </c>
      <c r="Z85" s="4">
        <f t="shared" si="25"/>
        <v>2281.5</v>
      </c>
      <c r="AA85" s="4">
        <f t="shared" si="24"/>
        <v>6.2464065708418888</v>
      </c>
      <c r="AB85" s="12">
        <v>0.64268800000000004</v>
      </c>
      <c r="AC85" s="12">
        <v>0.86508099999999999</v>
      </c>
      <c r="AD85" s="12">
        <v>0.77813500000000002</v>
      </c>
      <c r="AE85" s="12">
        <v>0.73360400000000003</v>
      </c>
      <c r="AF85" s="12">
        <v>0.70529500000000001</v>
      </c>
      <c r="AG85" s="12">
        <v>0.68254499999999996</v>
      </c>
      <c r="AH85" s="12">
        <v>0.66206100000000001</v>
      </c>
      <c r="AI85" s="12">
        <v>0.642818</v>
      </c>
      <c r="AJ85" s="12">
        <v>0.624413</v>
      </c>
      <c r="AK85" s="12">
        <v>0.60653699999999999</v>
      </c>
      <c r="AL85" s="12">
        <v>0.58921999999999997</v>
      </c>
    </row>
    <row r="86" spans="1:38" x14ac:dyDescent="0.25">
      <c r="A86" s="4"/>
      <c r="B86" s="4">
        <v>16</v>
      </c>
      <c r="C86" s="4">
        <v>81</v>
      </c>
      <c r="D86" s="4">
        <v>720</v>
      </c>
      <c r="E86" s="4">
        <f t="shared" si="20"/>
        <v>55476</v>
      </c>
      <c r="F86" s="4">
        <f t="shared" si="21"/>
        <v>2311.5</v>
      </c>
      <c r="G86" s="4">
        <f t="shared" si="22"/>
        <v>6.3285420944558526</v>
      </c>
      <c r="H86" s="4">
        <v>0.91396049999999995</v>
      </c>
      <c r="I86" s="4">
        <v>0.81199889999999997</v>
      </c>
      <c r="J86" s="4">
        <v>0.86991790000000002</v>
      </c>
      <c r="K86" s="4">
        <v>0.90617040000000004</v>
      </c>
      <c r="L86" s="4">
        <v>0.93109549999999996</v>
      </c>
      <c r="M86" s="4">
        <v>0.95126359999999999</v>
      </c>
      <c r="N86" s="13">
        <v>0.9693119</v>
      </c>
      <c r="O86" s="13">
        <v>0.9865429</v>
      </c>
      <c r="P86" s="13">
        <v>1.0031812</v>
      </c>
      <c r="Q86" s="13">
        <v>1.0195297999999999</v>
      </c>
      <c r="R86" s="13">
        <v>1.0355209000000001</v>
      </c>
      <c r="U86" s="4"/>
      <c r="V86" s="4">
        <v>16</v>
      </c>
      <c r="W86" s="4">
        <v>81</v>
      </c>
      <c r="X86" s="4">
        <v>720</v>
      </c>
      <c r="Y86" s="4">
        <f t="shared" si="23"/>
        <v>55476</v>
      </c>
      <c r="Z86" s="4">
        <f t="shared" si="25"/>
        <v>2311.5</v>
      </c>
      <c r="AA86" s="4">
        <f t="shared" si="24"/>
        <v>6.3285420944558526</v>
      </c>
      <c r="AB86" s="12">
        <v>0.64607499999999995</v>
      </c>
      <c r="AC86" s="12">
        <v>0.86689000000000005</v>
      </c>
      <c r="AD86" s="12">
        <v>0.77956199999999998</v>
      </c>
      <c r="AE86" s="12">
        <v>0.73456900000000003</v>
      </c>
      <c r="AF86" s="12">
        <v>0.70595699999999995</v>
      </c>
      <c r="AG86" s="12">
        <v>0.68312200000000001</v>
      </c>
      <c r="AH86" s="12">
        <v>0.66266199999999997</v>
      </c>
      <c r="AI86" s="12">
        <v>0.64336199999999999</v>
      </c>
      <c r="AJ86" s="12">
        <v>0.62488699999999997</v>
      </c>
      <c r="AK86" s="12">
        <v>0.60700399999999999</v>
      </c>
      <c r="AL86" s="12">
        <v>0.58972999999999998</v>
      </c>
    </row>
    <row r="87" spans="1:38" x14ac:dyDescent="0.25">
      <c r="A87" s="4"/>
      <c r="B87" s="4">
        <v>17</v>
      </c>
      <c r="C87" s="4">
        <v>82</v>
      </c>
      <c r="D87" s="4">
        <v>720</v>
      </c>
      <c r="E87" s="4">
        <f t="shared" si="20"/>
        <v>56196</v>
      </c>
      <c r="F87" s="4">
        <f t="shared" si="21"/>
        <v>2341.5</v>
      </c>
      <c r="G87" s="4">
        <f t="shared" si="22"/>
        <v>6.4106776180698155</v>
      </c>
      <c r="H87" s="4">
        <v>0.91094560000000002</v>
      </c>
      <c r="I87" s="4">
        <v>0.81043310000000002</v>
      </c>
      <c r="J87" s="4">
        <v>0.8682185</v>
      </c>
      <c r="K87" s="4">
        <v>0.90477859999999999</v>
      </c>
      <c r="L87" s="4">
        <v>0.92989489999999997</v>
      </c>
      <c r="M87" s="4">
        <v>0.95006809999999997</v>
      </c>
      <c r="N87" s="13">
        <v>0.9682094</v>
      </c>
      <c r="O87" s="13">
        <v>0.98526800000000003</v>
      </c>
      <c r="P87" s="13">
        <v>1.0019773999999999</v>
      </c>
      <c r="Q87" s="13">
        <v>1.0182340999999999</v>
      </c>
      <c r="R87" s="13">
        <v>1.0343020000000001</v>
      </c>
      <c r="U87" s="4"/>
      <c r="V87" s="4">
        <v>17</v>
      </c>
      <c r="W87" s="4">
        <v>82</v>
      </c>
      <c r="X87" s="4">
        <v>720</v>
      </c>
      <c r="Y87" s="4">
        <f t="shared" si="23"/>
        <v>56196</v>
      </c>
      <c r="Z87" s="4">
        <f t="shared" si="25"/>
        <v>2341.5</v>
      </c>
      <c r="AA87" s="4">
        <f t="shared" si="24"/>
        <v>6.4106776180698155</v>
      </c>
      <c r="AB87" s="12">
        <v>0.64944400000000002</v>
      </c>
      <c r="AC87" s="12">
        <v>0.86864300000000005</v>
      </c>
      <c r="AD87" s="12">
        <v>0.78102700000000003</v>
      </c>
      <c r="AE87" s="12">
        <v>0.73551100000000003</v>
      </c>
      <c r="AF87" s="12">
        <v>0.706592</v>
      </c>
      <c r="AG87" s="12">
        <v>0.68369100000000005</v>
      </c>
      <c r="AH87" s="12">
        <v>0.66317499999999996</v>
      </c>
      <c r="AI87" s="12">
        <v>0.64391699999999996</v>
      </c>
      <c r="AJ87" s="12">
        <v>0.62539299999999998</v>
      </c>
      <c r="AK87" s="12">
        <v>0.60753999999999997</v>
      </c>
      <c r="AL87" s="12">
        <v>0.59023700000000001</v>
      </c>
    </row>
    <row r="88" spans="1:38" x14ac:dyDescent="0.25">
      <c r="A88" s="4"/>
      <c r="B88" s="4">
        <v>18</v>
      </c>
      <c r="C88" s="4">
        <v>83</v>
      </c>
      <c r="D88" s="4">
        <v>720</v>
      </c>
      <c r="E88" s="4">
        <f t="shared" si="20"/>
        <v>56916</v>
      </c>
      <c r="F88" s="4">
        <f t="shared" si="21"/>
        <v>2371.5</v>
      </c>
      <c r="G88" s="4">
        <f t="shared" si="22"/>
        <v>6.4928131416837784</v>
      </c>
      <c r="H88" s="4">
        <v>0.90795170000000003</v>
      </c>
      <c r="I88" s="4">
        <v>0.80884579999999995</v>
      </c>
      <c r="J88" s="4">
        <v>0.86657830000000002</v>
      </c>
      <c r="K88" s="4">
        <v>0.90332939999999995</v>
      </c>
      <c r="L88" s="4">
        <v>0.92844610000000005</v>
      </c>
      <c r="M88" s="4">
        <v>0.94895580000000002</v>
      </c>
      <c r="N88" s="13">
        <v>0.96711100000000005</v>
      </c>
      <c r="O88" s="13">
        <v>0.98425530000000006</v>
      </c>
      <c r="P88" s="10">
        <v>1.0007949</v>
      </c>
      <c r="Q88" s="13">
        <v>1.0171167000000001</v>
      </c>
      <c r="R88" s="13">
        <v>1.0330969000000001</v>
      </c>
      <c r="U88" s="4"/>
      <c r="V88" s="4">
        <v>18</v>
      </c>
      <c r="W88" s="4">
        <v>83</v>
      </c>
      <c r="X88" s="4">
        <v>720</v>
      </c>
      <c r="Y88" s="4">
        <f t="shared" si="23"/>
        <v>56916</v>
      </c>
      <c r="Z88" s="4">
        <f t="shared" si="25"/>
        <v>2371.5</v>
      </c>
      <c r="AA88" s="4">
        <f t="shared" si="24"/>
        <v>6.4928131416837784</v>
      </c>
      <c r="AB88" s="12">
        <v>0.65278599999999998</v>
      </c>
      <c r="AC88" s="12">
        <v>0.87040099999999998</v>
      </c>
      <c r="AD88" s="12">
        <v>0.78245500000000001</v>
      </c>
      <c r="AE88" s="12">
        <v>0.736487</v>
      </c>
      <c r="AF88" s="12">
        <v>0.70731900000000003</v>
      </c>
      <c r="AG88" s="12">
        <v>0.68422499999999997</v>
      </c>
      <c r="AH88" s="12">
        <v>0.66366800000000004</v>
      </c>
      <c r="AI88" s="12">
        <v>0.644374</v>
      </c>
      <c r="AJ88" s="12">
        <v>0.62590299999999999</v>
      </c>
      <c r="AK88" s="12">
        <v>0.60802</v>
      </c>
      <c r="AL88" s="12">
        <v>0.59074199999999999</v>
      </c>
    </row>
    <row r="89" spans="1:38" x14ac:dyDescent="0.25">
      <c r="A89" s="4"/>
      <c r="B89" s="4">
        <v>19</v>
      </c>
      <c r="C89" s="4">
        <v>84</v>
      </c>
      <c r="D89" s="4">
        <v>720</v>
      </c>
      <c r="E89" s="4">
        <f t="shared" si="20"/>
        <v>57636</v>
      </c>
      <c r="F89" s="4">
        <f t="shared" si="21"/>
        <v>2401.5</v>
      </c>
      <c r="G89" s="4">
        <f t="shared" si="22"/>
        <v>6.5749486652977414</v>
      </c>
      <c r="H89" s="4">
        <v>0.90496719999999997</v>
      </c>
      <c r="I89" s="4">
        <v>0.80730329999999995</v>
      </c>
      <c r="J89" s="4">
        <v>0.8649076</v>
      </c>
      <c r="K89" s="4">
        <v>0.90194090000000005</v>
      </c>
      <c r="L89" s="4">
        <v>0.92740319999999998</v>
      </c>
      <c r="M89" s="4">
        <v>0.94768439999999998</v>
      </c>
      <c r="N89" s="13">
        <v>0.96578470000000005</v>
      </c>
      <c r="O89" s="13">
        <v>0.98300869999999996</v>
      </c>
      <c r="P89" s="13">
        <v>0.99959690000000001</v>
      </c>
      <c r="Q89" s="13">
        <v>1.0158906000000001</v>
      </c>
      <c r="R89" s="13">
        <v>1.0318906000000001</v>
      </c>
      <c r="U89" s="4"/>
      <c r="V89" s="4">
        <v>19</v>
      </c>
      <c r="W89" s="4">
        <v>84</v>
      </c>
      <c r="X89" s="4">
        <v>720</v>
      </c>
      <c r="Y89" s="4">
        <f t="shared" si="23"/>
        <v>57636</v>
      </c>
      <c r="Z89" s="4">
        <f t="shared" si="25"/>
        <v>2401.5</v>
      </c>
      <c r="AA89" s="4">
        <f t="shared" si="24"/>
        <v>6.5749486652977414</v>
      </c>
      <c r="AB89" s="12">
        <v>0.65614099999999997</v>
      </c>
      <c r="AC89" s="12">
        <v>0.87211700000000003</v>
      </c>
      <c r="AD89" s="12">
        <v>0.78390099999999996</v>
      </c>
      <c r="AE89" s="12">
        <v>0.73743300000000001</v>
      </c>
      <c r="AF89" s="12">
        <v>0.70799900000000004</v>
      </c>
      <c r="AG89" s="12">
        <v>0.68485200000000002</v>
      </c>
      <c r="AH89" s="12">
        <v>0.66428900000000002</v>
      </c>
      <c r="AI89" s="12">
        <v>0.64492300000000002</v>
      </c>
      <c r="AJ89" s="12">
        <v>0.62642600000000004</v>
      </c>
      <c r="AK89" s="12">
        <v>0.60854399999999997</v>
      </c>
      <c r="AL89" s="12">
        <v>0.591252</v>
      </c>
    </row>
    <row r="90" spans="1:38" x14ac:dyDescent="0.25">
      <c r="A90" s="4"/>
      <c r="B90" s="4">
        <v>20</v>
      </c>
      <c r="C90" s="4">
        <v>85</v>
      </c>
      <c r="D90" s="4">
        <v>720</v>
      </c>
      <c r="E90" s="4">
        <f t="shared" si="20"/>
        <v>58356</v>
      </c>
      <c r="F90" s="4">
        <f t="shared" si="21"/>
        <v>2431.5</v>
      </c>
      <c r="G90" s="4">
        <f t="shared" si="22"/>
        <v>6.6570841889117043</v>
      </c>
      <c r="H90" s="4">
        <v>0.90201229999999999</v>
      </c>
      <c r="I90" s="4">
        <v>0.80575949999999996</v>
      </c>
      <c r="J90" s="4">
        <v>0.86329639999999996</v>
      </c>
      <c r="K90" s="4">
        <v>0.90050359999999996</v>
      </c>
      <c r="L90" s="4">
        <v>0.92598760000000002</v>
      </c>
      <c r="M90" s="4">
        <v>0.94640060000000004</v>
      </c>
      <c r="N90" s="13">
        <v>0.96472769999999997</v>
      </c>
      <c r="O90" s="13">
        <v>0.98174410000000001</v>
      </c>
      <c r="P90" s="13">
        <v>0.99836670000000005</v>
      </c>
      <c r="Q90" s="13">
        <v>1.0147233</v>
      </c>
      <c r="R90" s="13">
        <v>1.0307686</v>
      </c>
      <c r="U90" s="4"/>
      <c r="V90" s="4">
        <v>20</v>
      </c>
      <c r="W90" s="4">
        <v>85</v>
      </c>
      <c r="X90" s="4">
        <v>720</v>
      </c>
      <c r="Y90" s="4">
        <f t="shared" si="23"/>
        <v>58356</v>
      </c>
      <c r="Z90" s="4">
        <f t="shared" si="25"/>
        <v>2431.5</v>
      </c>
      <c r="AA90" s="4">
        <f t="shared" si="24"/>
        <v>6.6570841889117043</v>
      </c>
      <c r="AB90" s="12">
        <v>0.65951099999999996</v>
      </c>
      <c r="AC90" s="12">
        <v>0.87383100000000002</v>
      </c>
      <c r="AD90" s="12">
        <v>0.78531200000000001</v>
      </c>
      <c r="AE90" s="12">
        <v>0.73843199999999998</v>
      </c>
      <c r="AF90" s="12">
        <v>0.70877500000000004</v>
      </c>
      <c r="AG90" s="12">
        <v>0.68552299999999999</v>
      </c>
      <c r="AH90" s="12">
        <v>0.664798</v>
      </c>
      <c r="AI90" s="12">
        <v>0.64550399999999997</v>
      </c>
      <c r="AJ90" s="12">
        <v>0.62696499999999999</v>
      </c>
      <c r="AK90" s="12">
        <v>0.60904899999999995</v>
      </c>
      <c r="AL90" s="12">
        <v>0.59173100000000001</v>
      </c>
    </row>
    <row r="91" spans="1:38" x14ac:dyDescent="0.25">
      <c r="A91" s="4"/>
      <c r="B91" s="4">
        <v>21</v>
      </c>
      <c r="C91" s="4">
        <v>86</v>
      </c>
      <c r="D91" s="4">
        <v>720</v>
      </c>
      <c r="E91" s="4">
        <f t="shared" si="20"/>
        <v>59076</v>
      </c>
      <c r="F91" s="4">
        <f t="shared" si="21"/>
        <v>2461.5</v>
      </c>
      <c r="G91" s="4">
        <f t="shared" si="22"/>
        <v>6.7392197125256672</v>
      </c>
      <c r="H91" s="4">
        <v>0.89907700000000002</v>
      </c>
      <c r="I91" s="4">
        <v>0.80425939999999996</v>
      </c>
      <c r="J91" s="4">
        <v>0.86167110000000002</v>
      </c>
      <c r="K91" s="4">
        <v>0.8991458</v>
      </c>
      <c r="L91" s="4">
        <v>0.92478079999999996</v>
      </c>
      <c r="M91" s="4">
        <v>0.94532570000000005</v>
      </c>
      <c r="N91" s="13">
        <v>0.96341549999999998</v>
      </c>
      <c r="O91" s="13">
        <v>0.98070000000000002</v>
      </c>
      <c r="P91" s="13">
        <v>0.99720869999999995</v>
      </c>
      <c r="Q91" s="13">
        <v>1.0134046000000001</v>
      </c>
      <c r="R91" s="13">
        <v>1.0294871000000001</v>
      </c>
      <c r="U91" s="4"/>
      <c r="V91" s="4">
        <v>21</v>
      </c>
      <c r="W91" s="4">
        <v>86</v>
      </c>
      <c r="X91" s="4">
        <v>720</v>
      </c>
      <c r="Y91" s="4">
        <f t="shared" si="23"/>
        <v>59076</v>
      </c>
      <c r="Z91" s="4">
        <f t="shared" si="25"/>
        <v>2461.5</v>
      </c>
      <c r="AA91" s="4">
        <f t="shared" si="24"/>
        <v>6.7392197125256672</v>
      </c>
      <c r="AB91" s="12">
        <v>0.66288999999999998</v>
      </c>
      <c r="AC91" s="12">
        <v>0.87549900000000003</v>
      </c>
      <c r="AD91" s="12">
        <v>0.78673800000000005</v>
      </c>
      <c r="AE91" s="12">
        <v>0.739398</v>
      </c>
      <c r="AF91" s="12">
        <v>0.70948100000000003</v>
      </c>
      <c r="AG91" s="12">
        <v>0.68607700000000005</v>
      </c>
      <c r="AH91" s="12">
        <v>0.66542900000000005</v>
      </c>
      <c r="AI91" s="12">
        <v>0.64599700000000004</v>
      </c>
      <c r="AJ91" s="12">
        <v>0.62748599999999999</v>
      </c>
      <c r="AK91" s="12">
        <v>0.60961200000000004</v>
      </c>
      <c r="AL91" s="12">
        <v>0.59227200000000002</v>
      </c>
    </row>
    <row r="92" spans="1:38" x14ac:dyDescent="0.25">
      <c r="A92" s="4"/>
      <c r="B92" s="4">
        <v>22</v>
      </c>
      <c r="C92" s="4">
        <v>87</v>
      </c>
      <c r="D92" s="4">
        <v>720</v>
      </c>
      <c r="E92" s="4">
        <f t="shared" si="20"/>
        <v>59796</v>
      </c>
      <c r="F92" s="4">
        <f t="shared" si="21"/>
        <v>2491.5</v>
      </c>
      <c r="G92" s="4">
        <f t="shared" si="22"/>
        <v>6.8213552361396301</v>
      </c>
      <c r="H92" s="4">
        <v>0.89615370000000005</v>
      </c>
      <c r="I92" s="4">
        <v>0.8027917</v>
      </c>
      <c r="J92" s="4">
        <v>0.86008620000000002</v>
      </c>
      <c r="K92" s="4">
        <v>0.8976343</v>
      </c>
      <c r="L92" s="4">
        <v>0.9234369</v>
      </c>
      <c r="M92" s="4">
        <v>0.94402810000000004</v>
      </c>
      <c r="N92" s="13">
        <v>0.96229359999999997</v>
      </c>
      <c r="O92" s="13">
        <v>0.97938570000000003</v>
      </c>
      <c r="P92" s="13">
        <v>0.99609669999999995</v>
      </c>
      <c r="Q92" s="13">
        <v>1.0123949999999999</v>
      </c>
      <c r="R92" s="13">
        <v>1.0283867</v>
      </c>
      <c r="U92" s="4"/>
      <c r="V92" s="4">
        <v>22</v>
      </c>
      <c r="W92" s="4">
        <v>87</v>
      </c>
      <c r="X92" s="4">
        <v>720</v>
      </c>
      <c r="Y92" s="4">
        <f t="shared" si="23"/>
        <v>59796</v>
      </c>
      <c r="Z92" s="4">
        <f t="shared" si="25"/>
        <v>2491.5</v>
      </c>
      <c r="AA92" s="4">
        <f t="shared" si="24"/>
        <v>6.8213552361396301</v>
      </c>
      <c r="AB92" s="12">
        <v>0.66627099999999995</v>
      </c>
      <c r="AC92" s="12">
        <v>0.87712500000000004</v>
      </c>
      <c r="AD92" s="12">
        <v>0.78814799999999996</v>
      </c>
      <c r="AE92" s="12">
        <v>0.74047700000000005</v>
      </c>
      <c r="AF92" s="12">
        <v>0.71026699999999998</v>
      </c>
      <c r="AG92" s="12">
        <v>0.68673399999999996</v>
      </c>
      <c r="AH92" s="12">
        <v>0.66598800000000002</v>
      </c>
      <c r="AI92" s="12">
        <v>0.64659299999999997</v>
      </c>
      <c r="AJ92" s="12">
        <v>0.62798799999999999</v>
      </c>
      <c r="AK92" s="12">
        <v>0.61006800000000005</v>
      </c>
      <c r="AL92" s="12">
        <v>0.59275</v>
      </c>
    </row>
    <row r="93" spans="1:38" x14ac:dyDescent="0.25">
      <c r="A93" s="4"/>
      <c r="B93" s="4">
        <v>23</v>
      </c>
      <c r="C93" s="4">
        <v>88</v>
      </c>
      <c r="D93" s="4">
        <v>720</v>
      </c>
      <c r="E93" s="4">
        <f t="shared" si="20"/>
        <v>60516</v>
      </c>
      <c r="F93" s="4">
        <f t="shared" si="21"/>
        <v>2521.5</v>
      </c>
      <c r="G93" s="4">
        <f t="shared" si="22"/>
        <v>6.9034907597535931</v>
      </c>
      <c r="H93" s="4">
        <v>0.89327769999999995</v>
      </c>
      <c r="I93" s="4">
        <v>0.80134289999999997</v>
      </c>
      <c r="J93" s="4">
        <v>0.85847390000000001</v>
      </c>
      <c r="K93" s="4">
        <v>0.8962156</v>
      </c>
      <c r="L93" s="4">
        <v>0.92216600000000004</v>
      </c>
      <c r="M93" s="4">
        <v>0.94285600000000003</v>
      </c>
      <c r="N93" s="13">
        <v>0.96107860000000001</v>
      </c>
      <c r="O93" s="13">
        <v>0.97827889999999995</v>
      </c>
      <c r="P93" s="13">
        <v>0.99491490000000005</v>
      </c>
      <c r="Q93" s="13">
        <v>1.0111657000000001</v>
      </c>
      <c r="R93" s="13">
        <v>1.0271756999999999</v>
      </c>
      <c r="U93" s="4"/>
      <c r="V93" s="4">
        <v>23</v>
      </c>
      <c r="W93" s="4">
        <v>88</v>
      </c>
      <c r="X93" s="4">
        <v>720</v>
      </c>
      <c r="Y93" s="4">
        <f t="shared" si="23"/>
        <v>60516</v>
      </c>
      <c r="Z93" s="4">
        <f t="shared" si="25"/>
        <v>2521.5</v>
      </c>
      <c r="AA93" s="4">
        <f t="shared" si="24"/>
        <v>6.9034907597535931</v>
      </c>
      <c r="AB93" s="12">
        <v>0.66962699999999997</v>
      </c>
      <c r="AC93" s="12">
        <v>0.87873100000000004</v>
      </c>
      <c r="AD93" s="12">
        <v>0.78957900000000003</v>
      </c>
      <c r="AE93" s="12">
        <v>0.74152099999999999</v>
      </c>
      <c r="AF93" s="12">
        <v>0.71104000000000001</v>
      </c>
      <c r="AG93" s="12">
        <v>0.687365</v>
      </c>
      <c r="AH93" s="12">
        <v>0.66657200000000005</v>
      </c>
      <c r="AI93" s="12">
        <v>0.64712199999999998</v>
      </c>
      <c r="AJ93" s="12">
        <v>0.62851900000000005</v>
      </c>
      <c r="AK93" s="12">
        <v>0.61060300000000001</v>
      </c>
      <c r="AL93" s="12">
        <v>0.59327200000000002</v>
      </c>
    </row>
    <row r="94" spans="1:38" x14ac:dyDescent="0.25">
      <c r="A94" s="4" t="s">
        <v>224</v>
      </c>
      <c r="B94" s="4">
        <v>24</v>
      </c>
      <c r="C94" s="4">
        <v>89</v>
      </c>
      <c r="D94" s="4">
        <v>846</v>
      </c>
      <c r="E94" s="4">
        <f t="shared" si="20"/>
        <v>61362</v>
      </c>
      <c r="F94" s="4">
        <f t="shared" si="21"/>
        <v>2556.75</v>
      </c>
      <c r="G94" s="4">
        <f t="shared" si="22"/>
        <v>7</v>
      </c>
      <c r="H94" s="4">
        <v>0.89047149999999997</v>
      </c>
      <c r="I94" s="4">
        <v>0.7999174</v>
      </c>
      <c r="J94" s="4">
        <v>0.85690960000000005</v>
      </c>
      <c r="K94" s="4">
        <v>0.89473179999999997</v>
      </c>
      <c r="L94" s="4">
        <v>0.92084060000000001</v>
      </c>
      <c r="M94" s="4">
        <v>0.94158299999999995</v>
      </c>
      <c r="N94" s="13">
        <v>0.95991910000000003</v>
      </c>
      <c r="O94" s="13">
        <v>0.97708790000000001</v>
      </c>
      <c r="P94" s="13">
        <v>0.99373630000000002</v>
      </c>
      <c r="Q94" s="13">
        <v>1.0099933999999999</v>
      </c>
      <c r="R94" s="13">
        <v>1.0259917000000001</v>
      </c>
      <c r="U94" s="4" t="s">
        <v>224</v>
      </c>
      <c r="V94" s="4">
        <v>24</v>
      </c>
      <c r="W94" s="4">
        <v>89</v>
      </c>
      <c r="X94" s="4">
        <v>846</v>
      </c>
      <c r="Y94" s="4">
        <f t="shared" si="23"/>
        <v>61362</v>
      </c>
      <c r="Z94" s="4">
        <f t="shared" si="25"/>
        <v>2556.75</v>
      </c>
      <c r="AA94" s="4">
        <f t="shared" si="24"/>
        <v>7</v>
      </c>
      <c r="AB94" s="12">
        <v>0.67290399999999995</v>
      </c>
      <c r="AC94" s="12">
        <v>0.88031599999999999</v>
      </c>
      <c r="AD94" s="12">
        <v>0.79096900000000003</v>
      </c>
      <c r="AE94" s="12">
        <v>0.74260400000000004</v>
      </c>
      <c r="AF94" s="12">
        <v>0.71184800000000004</v>
      </c>
      <c r="AG94" s="12">
        <v>0.688056</v>
      </c>
      <c r="AH94" s="12">
        <v>0.66716600000000004</v>
      </c>
      <c r="AI94" s="12">
        <v>0.64768400000000004</v>
      </c>
      <c r="AJ94" s="12">
        <v>0.62905800000000001</v>
      </c>
      <c r="AK94" s="12">
        <v>0.61112500000000003</v>
      </c>
      <c r="AL94" s="12">
        <v>0.59378600000000004</v>
      </c>
    </row>
    <row r="95" spans="1:38" x14ac:dyDescent="0.25"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</row>
  </sheetData>
  <mergeCells count="33">
    <mergeCell ref="X4:X5"/>
    <mergeCell ref="AP11:AP15"/>
    <mergeCell ref="AP16:AP20"/>
    <mergeCell ref="AP21:AP25"/>
    <mergeCell ref="AP4:AP5"/>
    <mergeCell ref="AP6:AP10"/>
    <mergeCell ref="AP41:AP45"/>
    <mergeCell ref="AP46:AP50"/>
    <mergeCell ref="AP51:AP55"/>
    <mergeCell ref="AP56:AP60"/>
    <mergeCell ref="A4:A5"/>
    <mergeCell ref="C4:C5"/>
    <mergeCell ref="D4:D5"/>
    <mergeCell ref="E4:E5"/>
    <mergeCell ref="F4:F5"/>
    <mergeCell ref="Y4:Y5"/>
    <mergeCell ref="Z4:Z5"/>
    <mergeCell ref="AB4:AL4"/>
    <mergeCell ref="G4:G5"/>
    <mergeCell ref="H4:R4"/>
    <mergeCell ref="U4:U5"/>
    <mergeCell ref="W4:W5"/>
    <mergeCell ref="BZ3:CK3"/>
    <mergeCell ref="BZ12:CK12"/>
    <mergeCell ref="AP26:AP30"/>
    <mergeCell ref="AP31:AP35"/>
    <mergeCell ref="AP36:AP40"/>
    <mergeCell ref="BA3:BW3"/>
    <mergeCell ref="BA4:BO4"/>
    <mergeCell ref="BR4:BW4"/>
    <mergeCell ref="AP3:AX3"/>
    <mergeCell ref="AQ4:AQ5"/>
    <mergeCell ref="AR4:AX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Core parameters</vt:lpstr>
      <vt:lpstr>Geometri</vt:lpstr>
      <vt:lpstr>Suhu Gap &amp; Cladding</vt:lpstr>
      <vt:lpstr>Fraksi Volume</vt:lpstr>
      <vt:lpstr>HD FIX</vt:lpstr>
      <vt:lpstr>Nuklida FA1</vt:lpstr>
      <vt:lpstr>Nuklida FA2</vt:lpstr>
      <vt:lpstr>Hasil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Harun Ardiansyah</dc:creator>
  <cp:lastModifiedBy>Harun Ardiansyah</cp:lastModifiedBy>
  <dcterms:created xsi:type="dcterms:W3CDTF">2017-12-20T08:29:11Z</dcterms:created>
  <dcterms:modified xsi:type="dcterms:W3CDTF">2018-07-18T09:52:41Z</dcterms:modified>
</cp:coreProperties>
</file>