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un Ardiansyah\OneDrive\Skripsi Harun\Fixed Excels\"/>
    </mc:Choice>
  </mc:AlternateContent>
  <bookViews>
    <workbookView xWindow="0" yWindow="0" windowWidth="20490" windowHeight="7755" firstSheet="6" activeTab="7"/>
  </bookViews>
  <sheets>
    <sheet name="Core Parameters" sheetId="4" r:id="rId1"/>
    <sheet name="Geometri" sheetId="1" r:id="rId2"/>
    <sheet name="Suhu Gap dan Cladding" sheetId="7" r:id="rId3"/>
    <sheet name="Fraksi Volume" sheetId="8" r:id="rId4"/>
    <sheet name="Variasi HD" sheetId="5" r:id="rId5"/>
    <sheet name="Nuklida FA1" sheetId="2" r:id="rId6"/>
    <sheet name="Nuklida FA2" sheetId="3" r:id="rId7"/>
    <sheet name="Hasil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1" i="6" l="1"/>
  <c r="AU12" i="6" s="1"/>
  <c r="AU13" i="6" s="1"/>
  <c r="AU14" i="6" s="1"/>
  <c r="AU15" i="6" s="1"/>
  <c r="AU16" i="6" s="1"/>
  <c r="AU17" i="6" s="1"/>
  <c r="AU18" i="6" s="1"/>
  <c r="AU19" i="6" s="1"/>
  <c r="AU20" i="6" s="1"/>
  <c r="AU21" i="6" s="1"/>
  <c r="AU22" i="6" s="1"/>
  <c r="AU23" i="6" s="1"/>
  <c r="AU24" i="6" s="1"/>
  <c r="AU25" i="6" s="1"/>
  <c r="AU26" i="6" s="1"/>
  <c r="AU27" i="6" s="1"/>
  <c r="AU28" i="6" s="1"/>
  <c r="AU29" i="6" s="1"/>
  <c r="AU30" i="6" s="1"/>
  <c r="AU31" i="6" s="1"/>
  <c r="AU32" i="6" s="1"/>
  <c r="AU33" i="6" s="1"/>
  <c r="AU34" i="6" s="1"/>
  <c r="AU35" i="6" s="1"/>
  <c r="AU36" i="6" s="1"/>
  <c r="AU37" i="6" s="1"/>
  <c r="AU38" i="6" s="1"/>
  <c r="AU39" i="6" s="1"/>
  <c r="AU40" i="6" s="1"/>
  <c r="AU41" i="6" s="1"/>
  <c r="AU42" i="6" s="1"/>
  <c r="AU43" i="6" s="1"/>
  <c r="AU44" i="6" s="1"/>
  <c r="AU45" i="6" s="1"/>
  <c r="AU46" i="6" s="1"/>
  <c r="AR11" i="6"/>
  <c r="AR12" i="6" s="1"/>
  <c r="AR13" i="6" s="1"/>
  <c r="AR14" i="6" s="1"/>
  <c r="AR15" i="6" s="1"/>
  <c r="AR16" i="6" s="1"/>
  <c r="AR17" i="6" s="1"/>
  <c r="AR18" i="6" s="1"/>
  <c r="AR19" i="6" s="1"/>
  <c r="AR20" i="6" s="1"/>
  <c r="AR21" i="6" s="1"/>
  <c r="AR22" i="6" s="1"/>
  <c r="AR23" i="6" s="1"/>
  <c r="AR24" i="6" s="1"/>
  <c r="AR25" i="6" s="1"/>
  <c r="AR26" i="6" s="1"/>
  <c r="AR27" i="6" s="1"/>
  <c r="AR28" i="6" s="1"/>
  <c r="AR29" i="6" s="1"/>
  <c r="AR30" i="6" s="1"/>
  <c r="AR31" i="6" s="1"/>
  <c r="AR32" i="6" s="1"/>
  <c r="AR33" i="6" s="1"/>
  <c r="AR34" i="6" s="1"/>
  <c r="AR35" i="6" s="1"/>
  <c r="AR36" i="6" s="1"/>
  <c r="AR37" i="6" s="1"/>
  <c r="AR38" i="6" s="1"/>
  <c r="AR39" i="6" s="1"/>
  <c r="AR40" i="6" s="1"/>
  <c r="AR41" i="6" s="1"/>
  <c r="AR42" i="6" s="1"/>
  <c r="AR43" i="6" s="1"/>
  <c r="AR44" i="6" s="1"/>
  <c r="AR45" i="6" s="1"/>
  <c r="AR46" i="6" s="1"/>
  <c r="AR47" i="6" l="1"/>
  <c r="AR48" i="6"/>
  <c r="AU48" i="6"/>
  <c r="AU47" i="6"/>
  <c r="AC6" i="3" l="1"/>
  <c r="B15" i="5"/>
  <c r="B16" i="5"/>
  <c r="AD6" i="3"/>
  <c r="AE6" i="3"/>
  <c r="AF6" i="3"/>
  <c r="AG6" i="3"/>
  <c r="AH6" i="3"/>
  <c r="AI6" i="3"/>
  <c r="AJ6" i="3"/>
  <c r="AK6" i="3"/>
  <c r="AL6" i="3"/>
  <c r="AM6" i="3"/>
  <c r="AN6" i="3"/>
  <c r="AO6" i="3"/>
  <c r="AB6" i="3"/>
  <c r="V6" i="2"/>
  <c r="W6" i="2"/>
  <c r="X6" i="2"/>
  <c r="Y6" i="2"/>
  <c r="Z6" i="2"/>
  <c r="AA6" i="2"/>
  <c r="U6" i="2"/>
  <c r="B17" i="5"/>
  <c r="G6" i="5" l="1"/>
  <c r="F6" i="5"/>
  <c r="F17" i="5" s="1"/>
  <c r="F18" i="5" s="1"/>
  <c r="G17" i="5"/>
  <c r="G18" i="5" s="1"/>
  <c r="T9" i="6" l="1"/>
  <c r="U9" i="6" s="1"/>
  <c r="V9" i="6" s="1"/>
  <c r="BD12" i="6"/>
  <c r="BD13" i="6" s="1"/>
  <c r="BD14" i="6" s="1"/>
  <c r="BD15" i="6" s="1"/>
  <c r="BD16" i="6" s="1"/>
  <c r="BD17" i="6" s="1"/>
  <c r="BD18" i="6" s="1"/>
  <c r="BD19" i="6" s="1"/>
  <c r="BD20" i="6" s="1"/>
  <c r="BD21" i="6" s="1"/>
  <c r="BD22" i="6" s="1"/>
  <c r="BD23" i="6" s="1"/>
  <c r="BD24" i="6" s="1"/>
  <c r="BD25" i="6" s="1"/>
  <c r="BD26" i="6" s="1"/>
  <c r="BD27" i="6" s="1"/>
  <c r="BD28" i="6" s="1"/>
  <c r="BD29" i="6" s="1"/>
  <c r="BD30" i="6" s="1"/>
  <c r="BD31" i="6" s="1"/>
  <c r="BD32" i="6" s="1"/>
  <c r="BD33" i="6" s="1"/>
  <c r="BD34" i="6" s="1"/>
  <c r="BD35" i="6" s="1"/>
  <c r="BD36" i="6" s="1"/>
  <c r="BD37" i="6" s="1"/>
  <c r="BD38" i="6" s="1"/>
  <c r="BD39" i="6" s="1"/>
  <c r="BD40" i="6" s="1"/>
  <c r="BD41" i="6" s="1"/>
  <c r="BD42" i="6" s="1"/>
  <c r="BD43" i="6" s="1"/>
  <c r="BD44" i="6" s="1"/>
  <c r="BD45" i="6" s="1"/>
  <c r="BD46" i="6" s="1"/>
  <c r="BD11" i="6"/>
  <c r="BA11" i="6"/>
  <c r="BA12" i="6" s="1"/>
  <c r="BA13" i="6" s="1"/>
  <c r="BA14" i="6" s="1"/>
  <c r="BA15" i="6" s="1"/>
  <c r="BA16" i="6" s="1"/>
  <c r="BA17" i="6" s="1"/>
  <c r="BA18" i="6" s="1"/>
  <c r="BA19" i="6" s="1"/>
  <c r="BA20" i="6" s="1"/>
  <c r="BA21" i="6" s="1"/>
  <c r="BA22" i="6" s="1"/>
  <c r="BA23" i="6" s="1"/>
  <c r="BA24" i="6" s="1"/>
  <c r="BA25" i="6" s="1"/>
  <c r="BA26" i="6" s="1"/>
  <c r="BA27" i="6" s="1"/>
  <c r="BA28" i="6" s="1"/>
  <c r="BA29" i="6" s="1"/>
  <c r="BA30" i="6" s="1"/>
  <c r="BA31" i="6" s="1"/>
  <c r="BA32" i="6" s="1"/>
  <c r="BA33" i="6" s="1"/>
  <c r="BA34" i="6" s="1"/>
  <c r="BA35" i="6" s="1"/>
  <c r="BA36" i="6" s="1"/>
  <c r="BA37" i="6" s="1"/>
  <c r="BA38" i="6" s="1"/>
  <c r="BA39" i="6" s="1"/>
  <c r="BA40" i="6" s="1"/>
  <c r="BA41" i="6" s="1"/>
  <c r="BA42" i="6" s="1"/>
  <c r="BA43" i="6" s="1"/>
  <c r="BA44" i="6" s="1"/>
  <c r="BA45" i="6" s="1"/>
  <c r="BA46" i="6" s="1"/>
  <c r="AX11" i="6"/>
  <c r="AX12" i="6" s="1"/>
  <c r="AX13" i="6" s="1"/>
  <c r="AX14" i="6" s="1"/>
  <c r="AX15" i="6" s="1"/>
  <c r="AX16" i="6" s="1"/>
  <c r="AX17" i="6" s="1"/>
  <c r="AX18" i="6" s="1"/>
  <c r="AX19" i="6" s="1"/>
  <c r="AX20" i="6" s="1"/>
  <c r="AX21" i="6" s="1"/>
  <c r="AX22" i="6" s="1"/>
  <c r="AX23" i="6" s="1"/>
  <c r="AX24" i="6" s="1"/>
  <c r="AX25" i="6" s="1"/>
  <c r="AX26" i="6" s="1"/>
  <c r="AX27" i="6" s="1"/>
  <c r="AX28" i="6" s="1"/>
  <c r="AX29" i="6" s="1"/>
  <c r="AX30" i="6" s="1"/>
  <c r="AX31" i="6" s="1"/>
  <c r="AX32" i="6" s="1"/>
  <c r="AX33" i="6" s="1"/>
  <c r="AX34" i="6" s="1"/>
  <c r="AX35" i="6" s="1"/>
  <c r="AX36" i="6" s="1"/>
  <c r="AX37" i="6" s="1"/>
  <c r="AX38" i="6" s="1"/>
  <c r="AX39" i="6" s="1"/>
  <c r="AX40" i="6" s="1"/>
  <c r="AX41" i="6" s="1"/>
  <c r="AX42" i="6" s="1"/>
  <c r="AX43" i="6" s="1"/>
  <c r="AX44" i="6" s="1"/>
  <c r="AX45" i="6" s="1"/>
  <c r="AX46" i="6" s="1"/>
  <c r="BA48" i="6" l="1"/>
  <c r="BA47" i="6"/>
  <c r="AX47" i="6"/>
  <c r="AX48" i="6"/>
  <c r="BD48" i="6"/>
  <c r="BD47" i="6"/>
  <c r="AE25" i="6"/>
  <c r="AE21" i="6"/>
  <c r="AE17" i="6"/>
  <c r="AE13" i="6"/>
  <c r="AE29" i="6"/>
  <c r="AE9" i="6"/>
  <c r="BL42" i="6" l="1"/>
  <c r="BI10" i="6" l="1"/>
  <c r="BJ10" i="6"/>
  <c r="BK10" i="6"/>
  <c r="BL10" i="6"/>
  <c r="BM10" i="6"/>
  <c r="BI11" i="6"/>
  <c r="BJ11" i="6"/>
  <c r="BK11" i="6"/>
  <c r="BL11" i="6"/>
  <c r="BM11" i="6"/>
  <c r="BI12" i="6"/>
  <c r="BJ12" i="6"/>
  <c r="BK12" i="6"/>
  <c r="BL12" i="6"/>
  <c r="BM12" i="6"/>
  <c r="BI13" i="6"/>
  <c r="BJ13" i="6"/>
  <c r="BK13" i="6"/>
  <c r="BL13" i="6"/>
  <c r="BM13" i="6"/>
  <c r="BI14" i="6"/>
  <c r="BJ14" i="6"/>
  <c r="BK14" i="6"/>
  <c r="BL14" i="6"/>
  <c r="BM14" i="6"/>
  <c r="BI15" i="6"/>
  <c r="BJ15" i="6"/>
  <c r="BK15" i="6"/>
  <c r="BL15" i="6"/>
  <c r="BM15" i="6"/>
  <c r="BI16" i="6"/>
  <c r="BJ16" i="6"/>
  <c r="BK16" i="6"/>
  <c r="BL16" i="6"/>
  <c r="BM16" i="6"/>
  <c r="BI17" i="6"/>
  <c r="BJ17" i="6"/>
  <c r="BK17" i="6"/>
  <c r="BL17" i="6"/>
  <c r="BM17" i="6"/>
  <c r="BI18" i="6"/>
  <c r="BJ18" i="6"/>
  <c r="BK18" i="6"/>
  <c r="BL18" i="6"/>
  <c r="BM18" i="6"/>
  <c r="BI19" i="6"/>
  <c r="BJ19" i="6"/>
  <c r="BK19" i="6"/>
  <c r="BL19" i="6"/>
  <c r="BM19" i="6"/>
  <c r="BI20" i="6"/>
  <c r="BJ20" i="6"/>
  <c r="BK20" i="6"/>
  <c r="BL20" i="6"/>
  <c r="BM20" i="6"/>
  <c r="BI21" i="6"/>
  <c r="BJ21" i="6"/>
  <c r="BK21" i="6"/>
  <c r="BL21" i="6"/>
  <c r="BM21" i="6"/>
  <c r="BI22" i="6"/>
  <c r="BJ22" i="6"/>
  <c r="BK22" i="6"/>
  <c r="BL22" i="6"/>
  <c r="BM22" i="6"/>
  <c r="BI23" i="6"/>
  <c r="BJ23" i="6"/>
  <c r="BK23" i="6"/>
  <c r="BL23" i="6"/>
  <c r="BM23" i="6"/>
  <c r="BI24" i="6"/>
  <c r="BJ24" i="6"/>
  <c r="BK24" i="6"/>
  <c r="BL24" i="6"/>
  <c r="BM24" i="6"/>
  <c r="BI25" i="6"/>
  <c r="BJ25" i="6"/>
  <c r="BK25" i="6"/>
  <c r="BL25" i="6"/>
  <c r="BM25" i="6"/>
  <c r="BI26" i="6"/>
  <c r="BJ26" i="6"/>
  <c r="BK26" i="6"/>
  <c r="BL26" i="6"/>
  <c r="BM26" i="6"/>
  <c r="BI27" i="6"/>
  <c r="BJ27" i="6"/>
  <c r="BK27" i="6"/>
  <c r="BL27" i="6"/>
  <c r="BM27" i="6"/>
  <c r="BI28" i="6"/>
  <c r="BJ28" i="6"/>
  <c r="BK28" i="6"/>
  <c r="BL28" i="6"/>
  <c r="BM28" i="6"/>
  <c r="BI29" i="6"/>
  <c r="BJ29" i="6"/>
  <c r="BK29" i="6"/>
  <c r="BL29" i="6"/>
  <c r="BM29" i="6"/>
  <c r="BI30" i="6"/>
  <c r="BJ30" i="6"/>
  <c r="BK30" i="6"/>
  <c r="BL30" i="6"/>
  <c r="BM30" i="6"/>
  <c r="BI31" i="6"/>
  <c r="BJ31" i="6"/>
  <c r="BK31" i="6"/>
  <c r="BL31" i="6"/>
  <c r="BM31" i="6"/>
  <c r="BI32" i="6"/>
  <c r="BJ32" i="6"/>
  <c r="BK32" i="6"/>
  <c r="BL32" i="6"/>
  <c r="BM32" i="6"/>
  <c r="BI33" i="6"/>
  <c r="BJ33" i="6"/>
  <c r="BK33" i="6"/>
  <c r="BL33" i="6"/>
  <c r="BM33" i="6"/>
  <c r="BI34" i="6"/>
  <c r="BJ34" i="6"/>
  <c r="BK34" i="6"/>
  <c r="BL34" i="6"/>
  <c r="BM34" i="6"/>
  <c r="BI35" i="6"/>
  <c r="BJ35" i="6"/>
  <c r="BK35" i="6"/>
  <c r="BL35" i="6"/>
  <c r="BM35" i="6"/>
  <c r="BI36" i="6"/>
  <c r="BJ36" i="6"/>
  <c r="BK36" i="6"/>
  <c r="BL36" i="6"/>
  <c r="BM36" i="6"/>
  <c r="BI37" i="6"/>
  <c r="BJ37" i="6"/>
  <c r="BK37" i="6"/>
  <c r="BL37" i="6"/>
  <c r="BM37" i="6"/>
  <c r="BI38" i="6"/>
  <c r="BJ38" i="6"/>
  <c r="BK38" i="6"/>
  <c r="BL38" i="6"/>
  <c r="BM38" i="6"/>
  <c r="BI39" i="6"/>
  <c r="BJ39" i="6"/>
  <c r="BK39" i="6"/>
  <c r="BL39" i="6"/>
  <c r="BM39" i="6"/>
  <c r="BI40" i="6"/>
  <c r="BJ40" i="6"/>
  <c r="BK40" i="6"/>
  <c r="BL40" i="6"/>
  <c r="BM40" i="6"/>
  <c r="BI41" i="6"/>
  <c r="BJ41" i="6"/>
  <c r="BK41" i="6"/>
  <c r="BL41" i="6"/>
  <c r="BM41" i="6"/>
  <c r="BI42" i="6"/>
  <c r="BJ42" i="6"/>
  <c r="BK42" i="6"/>
  <c r="BM42" i="6"/>
  <c r="BI43" i="6"/>
  <c r="BJ43" i="6"/>
  <c r="BK43" i="6"/>
  <c r="BL43" i="6"/>
  <c r="BM43" i="6"/>
  <c r="BI44" i="6"/>
  <c r="BJ44" i="6"/>
  <c r="BK44" i="6"/>
  <c r="BL44" i="6"/>
  <c r="BM44" i="6"/>
  <c r="BI45" i="6"/>
  <c r="BJ45" i="6"/>
  <c r="BK45" i="6"/>
  <c r="BL45" i="6"/>
  <c r="BM45" i="6"/>
  <c r="BI46" i="6"/>
  <c r="BJ46" i="6"/>
  <c r="BK46" i="6"/>
  <c r="BL46" i="6"/>
  <c r="BM46" i="6"/>
  <c r="BI47" i="6"/>
  <c r="BJ47" i="6"/>
  <c r="BK47" i="6"/>
  <c r="BL47" i="6"/>
  <c r="BM47" i="6"/>
  <c r="BM9" i="6"/>
  <c r="BL9" i="6"/>
  <c r="BK9" i="6"/>
  <c r="BJ9" i="6"/>
  <c r="BI9" i="6"/>
  <c r="BH10" i="6"/>
  <c r="BH11" i="6" s="1"/>
  <c r="BH12" i="6" s="1"/>
  <c r="BH13" i="6" s="1"/>
  <c r="BH14" i="6" s="1"/>
  <c r="BH15" i="6" s="1"/>
  <c r="BH16" i="6" s="1"/>
  <c r="BH17" i="6" s="1"/>
  <c r="BH18" i="6" s="1"/>
  <c r="BH19" i="6" s="1"/>
  <c r="BH20" i="6" s="1"/>
  <c r="BH21" i="6" s="1"/>
  <c r="BH22" i="6" s="1"/>
  <c r="BH23" i="6" s="1"/>
  <c r="BH24" i="6" s="1"/>
  <c r="BH25" i="6" s="1"/>
  <c r="BH26" i="6" s="1"/>
  <c r="BH27" i="6" s="1"/>
  <c r="BH28" i="6" s="1"/>
  <c r="BH29" i="6" s="1"/>
  <c r="BH30" i="6" s="1"/>
  <c r="BH31" i="6" s="1"/>
  <c r="BH32" i="6" s="1"/>
  <c r="BH33" i="6" s="1"/>
  <c r="BH34" i="6" s="1"/>
  <c r="BH35" i="6" s="1"/>
  <c r="BH36" i="6" s="1"/>
  <c r="BH37" i="6" s="1"/>
  <c r="BH38" i="6" s="1"/>
  <c r="BH39" i="6" s="1"/>
  <c r="BH40" i="6" s="1"/>
  <c r="BH41" i="6" s="1"/>
  <c r="BH42" i="6" s="1"/>
  <c r="BH43" i="6" s="1"/>
  <c r="BH44" i="6" s="1"/>
  <c r="BH45" i="6" s="1"/>
  <c r="BH46" i="6" l="1"/>
  <c r="BH47" i="6"/>
  <c r="M23" i="8" l="1"/>
  <c r="C21" i="8"/>
  <c r="C11" i="8"/>
  <c r="U18" i="7"/>
  <c r="U17" i="7"/>
  <c r="U19" i="7" s="1"/>
  <c r="U21" i="7" s="1"/>
  <c r="O17" i="7"/>
  <c r="M17" i="7"/>
  <c r="N17" i="7" s="1"/>
  <c r="H17" i="7"/>
  <c r="I17" i="7" s="1"/>
  <c r="G17" i="7"/>
  <c r="J17" i="7" s="1"/>
  <c r="E17" i="7"/>
  <c r="D17" i="7"/>
  <c r="C17" i="7"/>
  <c r="B9" i="7"/>
  <c r="B6" i="7"/>
  <c r="G1" i="7" s="1"/>
  <c r="T5" i="7"/>
  <c r="B5" i="7"/>
  <c r="T4" i="7"/>
  <c r="T3" i="7"/>
  <c r="G3" i="7"/>
  <c r="G2" i="7"/>
  <c r="N4" i="1"/>
  <c r="N5" i="1"/>
  <c r="N6" i="1"/>
  <c r="N7" i="1"/>
  <c r="N3" i="1"/>
  <c r="F6" i="1"/>
  <c r="F22" i="1"/>
  <c r="C21" i="1"/>
  <c r="C20" i="1"/>
  <c r="F16" i="1"/>
  <c r="F19" i="1" s="1"/>
  <c r="C13" i="1"/>
  <c r="C36" i="1" s="1"/>
  <c r="C12" i="1"/>
  <c r="F11" i="1"/>
  <c r="F13" i="1" s="1"/>
  <c r="C6" i="1"/>
  <c r="E25" i="1" s="1"/>
  <c r="F4" i="1"/>
  <c r="M7" i="1"/>
  <c r="F17" i="7" l="1"/>
  <c r="B18" i="7" s="1"/>
  <c r="K17" i="7"/>
  <c r="P17" i="7"/>
  <c r="U24" i="7"/>
  <c r="C14" i="1"/>
  <c r="AB4" i="6"/>
  <c r="AA4" i="6"/>
  <c r="Z4" i="6"/>
  <c r="Y4" i="6"/>
  <c r="X4" i="6"/>
  <c r="W4" i="6"/>
  <c r="C18" i="7" l="1"/>
  <c r="D18" i="7" s="1"/>
  <c r="F18" i="7" s="1"/>
  <c r="E18" i="7"/>
  <c r="L18" i="7"/>
  <c r="C15" i="1"/>
  <c r="C32" i="1" s="1"/>
  <c r="C24" i="1" s="1"/>
  <c r="C33" i="1"/>
  <c r="C34" i="1" s="1"/>
  <c r="C35" i="1" s="1"/>
  <c r="J5" i="1"/>
  <c r="O18" i="7" l="1"/>
  <c r="M18" i="7"/>
  <c r="N18" i="7" s="1"/>
  <c r="P18" i="7" s="1"/>
  <c r="G18" i="7"/>
  <c r="C28" i="1"/>
  <c r="C25" i="1"/>
  <c r="C31" i="1"/>
  <c r="C27" i="1"/>
  <c r="C30" i="1"/>
  <c r="C26" i="1"/>
  <c r="C29" i="1"/>
  <c r="B67" i="3"/>
  <c r="H18" i="7" l="1"/>
  <c r="I18" i="7" s="1"/>
  <c r="Q18" i="7"/>
  <c r="J18" i="7"/>
  <c r="J4" i="1"/>
  <c r="J6" i="1"/>
  <c r="J7" i="1"/>
  <c r="J3" i="1"/>
  <c r="M3" i="1" s="1"/>
  <c r="K18" i="7" l="1"/>
  <c r="L19" i="7" l="1"/>
  <c r="B19" i="7"/>
  <c r="J4" i="6"/>
  <c r="G19" i="7" l="1"/>
  <c r="C19" i="7"/>
  <c r="D19" i="7" s="1"/>
  <c r="E19" i="7"/>
  <c r="O19" i="7"/>
  <c r="M19" i="7"/>
  <c r="N19" i="7" s="1"/>
  <c r="N10" i="2"/>
  <c r="F19" i="7" l="1"/>
  <c r="P19" i="7"/>
  <c r="Q19" i="7"/>
  <c r="H19" i="7"/>
  <c r="I19" i="7" s="1"/>
  <c r="K19" i="7" s="1"/>
  <c r="L20" i="7" s="1"/>
  <c r="J19" i="7"/>
  <c r="D81" i="3"/>
  <c r="D80" i="3"/>
  <c r="D79" i="3"/>
  <c r="D78" i="3"/>
  <c r="D77" i="3"/>
  <c r="D76" i="3"/>
  <c r="D75" i="3"/>
  <c r="D74" i="3"/>
  <c r="D82" i="3" s="1"/>
  <c r="N21" i="3" s="1"/>
  <c r="P28" i="3" l="1"/>
  <c r="P24" i="3"/>
  <c r="P25" i="3"/>
  <c r="P29" i="3"/>
  <c r="P26" i="3"/>
  <c r="P30" i="3"/>
  <c r="P27" i="3"/>
  <c r="P31" i="3"/>
  <c r="M20" i="7"/>
  <c r="N20" i="7" s="1"/>
  <c r="P20" i="7" s="1"/>
  <c r="O20" i="7"/>
  <c r="B20" i="7"/>
  <c r="E24" i="8"/>
  <c r="L23" i="8"/>
  <c r="O23" i="8" s="1"/>
  <c r="F23" i="8"/>
  <c r="E23" i="8"/>
  <c r="E22" i="8"/>
  <c r="E20" i="8"/>
  <c r="F20" i="8" s="1"/>
  <c r="E19" i="8"/>
  <c r="C18" i="8"/>
  <c r="C17" i="8"/>
  <c r="C16" i="8"/>
  <c r="C15" i="8"/>
  <c r="J14" i="8"/>
  <c r="G14" i="8"/>
  <c r="H14" i="8" s="1"/>
  <c r="C14" i="8"/>
  <c r="E14" i="8" s="1"/>
  <c r="F14" i="8" s="1"/>
  <c r="E12" i="8"/>
  <c r="G10" i="8"/>
  <c r="H10" i="8" s="1"/>
  <c r="L10" i="8" s="1"/>
  <c r="E10" i="8"/>
  <c r="F10" i="8" s="1"/>
  <c r="E9" i="8"/>
  <c r="C8" i="8"/>
  <c r="C7" i="8"/>
  <c r="C6" i="8"/>
  <c r="C5" i="8"/>
  <c r="J4" i="8"/>
  <c r="H4" i="8"/>
  <c r="L4" i="8" s="1"/>
  <c r="C4" i="8"/>
  <c r="E4" i="8" s="1"/>
  <c r="F4" i="8" s="1"/>
  <c r="M4" i="1"/>
  <c r="M5" i="1"/>
  <c r="M6" i="1"/>
  <c r="K7" i="1"/>
  <c r="K6" i="1"/>
  <c r="K3" i="1"/>
  <c r="K4" i="1"/>
  <c r="I4" i="8" l="1"/>
  <c r="J6" i="2" s="1"/>
  <c r="O4" i="8"/>
  <c r="M4" i="8"/>
  <c r="O10" i="8"/>
  <c r="M10" i="8"/>
  <c r="N10" i="8" s="1"/>
  <c r="G20" i="8"/>
  <c r="H20" i="8" s="1"/>
  <c r="L20" i="8" s="1"/>
  <c r="G20" i="7"/>
  <c r="E20" i="7"/>
  <c r="C20" i="7"/>
  <c r="D20" i="7" s="1"/>
  <c r="F20" i="7" s="1"/>
  <c r="L14" i="8"/>
  <c r="I14" i="8" l="1"/>
  <c r="J6" i="3" s="1"/>
  <c r="O14" i="8"/>
  <c r="P14" i="8" s="1"/>
  <c r="M14" i="8"/>
  <c r="N4" i="8"/>
  <c r="O20" i="8"/>
  <c r="M20" i="8"/>
  <c r="P4" i="8"/>
  <c r="Q4" i="8" s="1"/>
  <c r="J20" i="7"/>
  <c r="H20" i="7"/>
  <c r="I20" i="7" s="1"/>
  <c r="K20" i="7" s="1"/>
  <c r="L21" i="7" s="1"/>
  <c r="Q20" i="7"/>
  <c r="Q10" i="8"/>
  <c r="R4" i="8" s="1"/>
  <c r="S4" i="8" s="1"/>
  <c r="K6" i="2" s="1"/>
  <c r="S6" i="2" s="1"/>
  <c r="N14" i="8" l="1"/>
  <c r="N23" i="8"/>
  <c r="N20" i="8"/>
  <c r="M21" i="7"/>
  <c r="N21" i="7" s="1"/>
  <c r="O21" i="7"/>
  <c r="B21" i="7"/>
  <c r="Q20" i="8"/>
  <c r="Q23" i="8"/>
  <c r="Q14" i="8"/>
  <c r="R14" i="8" l="1"/>
  <c r="S14" i="8" s="1"/>
  <c r="K6" i="3" s="1"/>
  <c r="W6" i="3"/>
  <c r="Z6" i="3"/>
  <c r="Y6" i="3"/>
  <c r="C21" i="7"/>
  <c r="D21" i="7" s="1"/>
  <c r="E21" i="7"/>
  <c r="G21" i="7"/>
  <c r="P21" i="7"/>
  <c r="G11" i="5"/>
  <c r="V6" i="3" l="1"/>
  <c r="U6" i="3"/>
  <c r="X6" i="3"/>
  <c r="T6" i="3"/>
  <c r="S6" i="3"/>
  <c r="J21" i="7"/>
  <c r="H21" i="7"/>
  <c r="I21" i="7" s="1"/>
  <c r="K21" i="7" s="1"/>
  <c r="L22" i="7" s="1"/>
  <c r="Q21" i="7"/>
  <c r="F21" i="7"/>
  <c r="B22" i="7" s="1"/>
  <c r="D15" i="5"/>
  <c r="E22" i="7" l="1"/>
  <c r="C22" i="7"/>
  <c r="D22" i="7" s="1"/>
  <c r="F22" i="7" s="1"/>
  <c r="G22" i="7"/>
  <c r="M22" i="7"/>
  <c r="N22" i="7" s="1"/>
  <c r="P22" i="7" s="1"/>
  <c r="O22" i="7"/>
  <c r="G27" i="1"/>
  <c r="G25" i="1"/>
  <c r="G26" i="1" s="1"/>
  <c r="Q22" i="7" l="1"/>
  <c r="J22" i="7"/>
  <c r="H22" i="7"/>
  <c r="I22" i="7" s="1"/>
  <c r="K22" i="7" s="1"/>
  <c r="L23" i="7" s="1"/>
  <c r="J6" i="5"/>
  <c r="J17" i="5" s="1"/>
  <c r="F11" i="5"/>
  <c r="B23" i="7" l="1"/>
  <c r="M23" i="7"/>
  <c r="N23" i="7" s="1"/>
  <c r="O23" i="7"/>
  <c r="I6" i="2"/>
  <c r="G6" i="2"/>
  <c r="P23" i="7" l="1"/>
  <c r="E23" i="7"/>
  <c r="G23" i="7"/>
  <c r="C23" i="7"/>
  <c r="D23" i="7" s="1"/>
  <c r="F23" i="7" s="1"/>
  <c r="I6" i="3"/>
  <c r="G6" i="3"/>
  <c r="Q23" i="7" l="1"/>
  <c r="J23" i="7"/>
  <c r="H23" i="7"/>
  <c r="I23" i="7" s="1"/>
  <c r="K23" i="7" s="1"/>
  <c r="L24" i="7" s="1"/>
  <c r="I4" i="6"/>
  <c r="K4" i="6"/>
  <c r="L4" i="6"/>
  <c r="M4" i="6"/>
  <c r="H4" i="6"/>
  <c r="M24" i="7" l="1"/>
  <c r="N24" i="7" s="1"/>
  <c r="O24" i="7"/>
  <c r="B24" i="7"/>
  <c r="J15" i="5"/>
  <c r="K5" i="5"/>
  <c r="H6" i="5"/>
  <c r="I5" i="5"/>
  <c r="I6" i="5" s="1"/>
  <c r="I17" i="5" s="1"/>
  <c r="E5" i="5"/>
  <c r="B6" i="5"/>
  <c r="B18" i="5" s="1"/>
  <c r="C5" i="5"/>
  <c r="C6" i="5" s="1"/>
  <c r="C17" i="5" s="1"/>
  <c r="C18" i="5" s="1"/>
  <c r="H11" i="5" l="1"/>
  <c r="H17" i="5"/>
  <c r="E6" i="5"/>
  <c r="E17" i="5" s="1"/>
  <c r="E18" i="5" s="1"/>
  <c r="E24" i="7"/>
  <c r="G24" i="7"/>
  <c r="C24" i="7"/>
  <c r="D24" i="7" s="1"/>
  <c r="F24" i="7" s="1"/>
  <c r="P24" i="7"/>
  <c r="J16" i="5"/>
  <c r="J18" i="5" s="1"/>
  <c r="H15" i="5"/>
  <c r="H16" i="5" s="1"/>
  <c r="I18" i="5" s="1"/>
  <c r="F15" i="5"/>
  <c r="F16" i="5" s="1"/>
  <c r="D16" i="5"/>
  <c r="H18" i="5" l="1"/>
  <c r="E11" i="5"/>
  <c r="J24" i="7"/>
  <c r="Q24" i="7"/>
  <c r="H24" i="7"/>
  <c r="I24" i="7" s="1"/>
  <c r="K24" i="7" s="1"/>
  <c r="L25" i="7" s="1"/>
  <c r="E9" i="6"/>
  <c r="F9" i="6" s="1"/>
  <c r="G9" i="6" s="1"/>
  <c r="O25" i="7" l="1"/>
  <c r="M25" i="7"/>
  <c r="N25" i="7" s="1"/>
  <c r="P25" i="7" s="1"/>
  <c r="B25" i="7"/>
  <c r="E10" i="6"/>
  <c r="E11" i="6" s="1"/>
  <c r="E12" i="6" s="1"/>
  <c r="T10" i="6"/>
  <c r="G25" i="7" l="1"/>
  <c r="C25" i="7"/>
  <c r="D25" i="7" s="1"/>
  <c r="E25" i="7"/>
  <c r="F11" i="6"/>
  <c r="G11" i="6" s="1"/>
  <c r="F10" i="6"/>
  <c r="G10" i="6" s="1"/>
  <c r="E13" i="6"/>
  <c r="F12" i="6"/>
  <c r="G12" i="6" s="1"/>
  <c r="U10" i="6"/>
  <c r="V10" i="6" s="1"/>
  <c r="T11" i="6"/>
  <c r="J11" i="5"/>
  <c r="K6" i="5"/>
  <c r="I11" i="5"/>
  <c r="D6" i="5"/>
  <c r="E3" i="5"/>
  <c r="D3" i="5"/>
  <c r="B11" i="5"/>
  <c r="K11" i="5" l="1"/>
  <c r="J12" i="5" s="1"/>
  <c r="K17" i="5"/>
  <c r="K18" i="5" s="1"/>
  <c r="D11" i="5"/>
  <c r="D12" i="5" s="1"/>
  <c r="D17" i="5"/>
  <c r="D18" i="5" s="1"/>
  <c r="F25" i="7"/>
  <c r="J25" i="7"/>
  <c r="Q25" i="7"/>
  <c r="H25" i="7"/>
  <c r="I25" i="7" s="1"/>
  <c r="K25" i="7" s="1"/>
  <c r="L26" i="7" s="1"/>
  <c r="E14" i="6"/>
  <c r="F13" i="6"/>
  <c r="G13" i="6" s="1"/>
  <c r="U11" i="6"/>
  <c r="V11" i="6" s="1"/>
  <c r="T12" i="6"/>
  <c r="H12" i="5"/>
  <c r="O26" i="7" l="1"/>
  <c r="M26" i="7"/>
  <c r="N26" i="7" s="1"/>
  <c r="P26" i="7" s="1"/>
  <c r="B26" i="7"/>
  <c r="T13" i="6"/>
  <c r="U12" i="6"/>
  <c r="V12" i="6" s="1"/>
  <c r="E15" i="6"/>
  <c r="F14" i="6"/>
  <c r="G14" i="6" s="1"/>
  <c r="F12" i="5"/>
  <c r="G3" i="5"/>
  <c r="F3" i="5"/>
  <c r="G26" i="7" l="1"/>
  <c r="C26" i="7"/>
  <c r="D26" i="7" s="1"/>
  <c r="E26" i="7"/>
  <c r="F15" i="6"/>
  <c r="G15" i="6" s="1"/>
  <c r="E16" i="6"/>
  <c r="T14" i="6"/>
  <c r="U13" i="6"/>
  <c r="V13" i="6" s="1"/>
  <c r="F7" i="4"/>
  <c r="F6" i="4"/>
  <c r="D5" i="4"/>
  <c r="D4" i="4"/>
  <c r="F26" i="7" l="1"/>
  <c r="J26" i="7"/>
  <c r="Q26" i="7"/>
  <c r="H26" i="7"/>
  <c r="I26" i="7" s="1"/>
  <c r="K26" i="7" s="1"/>
  <c r="L27" i="7" s="1"/>
  <c r="E17" i="6"/>
  <c r="F16" i="6"/>
  <c r="G16" i="6" s="1"/>
  <c r="U14" i="6"/>
  <c r="V14" i="6" s="1"/>
  <c r="T15" i="6"/>
  <c r="F8" i="4"/>
  <c r="F9" i="4" s="1"/>
  <c r="M27" i="7" l="1"/>
  <c r="N27" i="7" s="1"/>
  <c r="O27" i="7"/>
  <c r="B27" i="7"/>
  <c r="T16" i="6"/>
  <c r="U15" i="6"/>
  <c r="V15" i="6" s="1"/>
  <c r="E18" i="6"/>
  <c r="F17" i="6"/>
  <c r="G17" i="6" s="1"/>
  <c r="F54" i="4"/>
  <c r="F53" i="4"/>
  <c r="F51" i="4"/>
  <c r="B49" i="4"/>
  <c r="D45" i="4"/>
  <c r="D44" i="4"/>
  <c r="D43" i="4"/>
  <c r="D35" i="4"/>
  <c r="D34" i="4"/>
  <c r="D29" i="4"/>
  <c r="D28" i="4"/>
  <c r="D27" i="4"/>
  <c r="D26" i="4"/>
  <c r="D24" i="4"/>
  <c r="D17" i="4"/>
  <c r="D15" i="4"/>
  <c r="D14" i="4"/>
  <c r="D13" i="4"/>
  <c r="E27" i="7" l="1"/>
  <c r="C27" i="7"/>
  <c r="D27" i="7" s="1"/>
  <c r="F27" i="7" s="1"/>
  <c r="G27" i="7"/>
  <c r="P27" i="7"/>
  <c r="T17" i="6"/>
  <c r="U16" i="6"/>
  <c r="V16" i="6" s="1"/>
  <c r="F18" i="6"/>
  <c r="G18" i="6" s="1"/>
  <c r="E19" i="6"/>
  <c r="F21" i="3"/>
  <c r="H24" i="3" s="1"/>
  <c r="H13" i="3"/>
  <c r="N10" i="3"/>
  <c r="C28" i="3"/>
  <c r="C27" i="3"/>
  <c r="B20" i="3"/>
  <c r="R6" i="3" s="1"/>
  <c r="B19" i="3"/>
  <c r="B18" i="3"/>
  <c r="B17" i="3"/>
  <c r="B16" i="3"/>
  <c r="B20" i="2"/>
  <c r="B19" i="2"/>
  <c r="B18" i="2"/>
  <c r="B17" i="2"/>
  <c r="B16" i="2"/>
  <c r="H13" i="2"/>
  <c r="B63" i="3"/>
  <c r="D63" i="3" s="1"/>
  <c r="B62" i="3"/>
  <c r="D62" i="3" s="1"/>
  <c r="B61" i="3"/>
  <c r="D61" i="3" s="1"/>
  <c r="B60" i="3"/>
  <c r="D60" i="3" s="1"/>
  <c r="B59" i="3"/>
  <c r="D59" i="3" s="1"/>
  <c r="B58" i="3"/>
  <c r="D58" i="3" s="1"/>
  <c r="B57" i="3"/>
  <c r="D57" i="3" s="1"/>
  <c r="D48" i="3"/>
  <c r="D47" i="3"/>
  <c r="D46" i="3"/>
  <c r="D45" i="3"/>
  <c r="D44" i="3"/>
  <c r="J27" i="7" l="1"/>
  <c r="Q27" i="7"/>
  <c r="H27" i="7"/>
  <c r="I27" i="7" s="1"/>
  <c r="K27" i="7" s="1"/>
  <c r="L28" i="7" s="1"/>
  <c r="D17" i="3"/>
  <c r="D18" i="3"/>
  <c r="D19" i="3"/>
  <c r="D16" i="3"/>
  <c r="D20" i="3"/>
  <c r="F19" i="6"/>
  <c r="G19" i="6" s="1"/>
  <c r="E20" i="6"/>
  <c r="T18" i="6"/>
  <c r="U17" i="6"/>
  <c r="V17" i="6" s="1"/>
  <c r="D19" i="2"/>
  <c r="D16" i="2"/>
  <c r="D20" i="2"/>
  <c r="D17" i="2"/>
  <c r="D18" i="2"/>
  <c r="H25" i="3"/>
  <c r="C29" i="3"/>
  <c r="P6" i="3" s="1"/>
  <c r="D49" i="3"/>
  <c r="J10" i="3" s="1"/>
  <c r="B56" i="3"/>
  <c r="D56" i="3" s="1"/>
  <c r="D64" i="3" s="1"/>
  <c r="J21" i="3" s="1"/>
  <c r="L31" i="3" s="1"/>
  <c r="M28" i="7" l="1"/>
  <c r="N28" i="7" s="1"/>
  <c r="O28" i="7"/>
  <c r="B28" i="7"/>
  <c r="D21" i="3"/>
  <c r="N6" i="3"/>
  <c r="L6" i="3"/>
  <c r="M6" i="3"/>
  <c r="Q6" i="3"/>
  <c r="O6" i="3"/>
  <c r="E21" i="6"/>
  <c r="F20" i="6"/>
  <c r="G20" i="6" s="1"/>
  <c r="T19" i="6"/>
  <c r="U18" i="6"/>
  <c r="V18" i="6" s="1"/>
  <c r="L30" i="3"/>
  <c r="L17" i="3"/>
  <c r="P17" i="3" s="1"/>
  <c r="L16" i="3"/>
  <c r="P16" i="3" s="1"/>
  <c r="L14" i="3"/>
  <c r="P14" i="3" s="1"/>
  <c r="L13" i="3"/>
  <c r="P13" i="3" s="1"/>
  <c r="L15" i="3"/>
  <c r="P15" i="3" s="1"/>
  <c r="L25" i="3"/>
  <c r="L28" i="3"/>
  <c r="L29" i="3"/>
  <c r="L27" i="3"/>
  <c r="L24" i="3"/>
  <c r="L26" i="3"/>
  <c r="D21" i="2"/>
  <c r="E28" i="7" l="1"/>
  <c r="C28" i="7"/>
  <c r="D28" i="7" s="1"/>
  <c r="G28" i="7"/>
  <c r="P28" i="7"/>
  <c r="M6" i="2"/>
  <c r="L6" i="2"/>
  <c r="Q6" i="2"/>
  <c r="P6" i="2"/>
  <c r="R6" i="2"/>
  <c r="O6" i="2"/>
  <c r="N6" i="2"/>
  <c r="T20" i="6"/>
  <c r="U19" i="6"/>
  <c r="V19" i="6" s="1"/>
  <c r="F21" i="6"/>
  <c r="G21" i="6" s="1"/>
  <c r="E22" i="6"/>
  <c r="J28" i="7" l="1"/>
  <c r="Q28" i="7"/>
  <c r="H28" i="7"/>
  <c r="I28" i="7" s="1"/>
  <c r="K28" i="7" s="1"/>
  <c r="L29" i="7" s="1"/>
  <c r="F28" i="7"/>
  <c r="F22" i="6"/>
  <c r="G22" i="6" s="1"/>
  <c r="E23" i="6"/>
  <c r="U20" i="6"/>
  <c r="V20" i="6" s="1"/>
  <c r="T21" i="6"/>
  <c r="B46" i="2"/>
  <c r="B45" i="2"/>
  <c r="B44" i="2"/>
  <c r="B43" i="2"/>
  <c r="B42" i="2"/>
  <c r="B41" i="2"/>
  <c r="B40" i="2"/>
  <c r="F21" i="2"/>
  <c r="D31" i="2"/>
  <c r="D30" i="2"/>
  <c r="D29" i="2"/>
  <c r="D28" i="2"/>
  <c r="D27" i="2"/>
  <c r="M29" i="7" l="1"/>
  <c r="N29" i="7" s="1"/>
  <c r="P29" i="7" s="1"/>
  <c r="O29" i="7"/>
  <c r="B29" i="7"/>
  <c r="T22" i="6"/>
  <c r="U21" i="6"/>
  <c r="V21" i="6" s="1"/>
  <c r="E24" i="6"/>
  <c r="F23" i="6"/>
  <c r="G23" i="6" s="1"/>
  <c r="H25" i="2"/>
  <c r="H24" i="2"/>
  <c r="D43" i="2"/>
  <c r="D40" i="2"/>
  <c r="D44" i="2"/>
  <c r="D42" i="2"/>
  <c r="D41" i="2"/>
  <c r="D45" i="2"/>
  <c r="D32" i="2"/>
  <c r="B39" i="2"/>
  <c r="D46" i="2"/>
  <c r="E29" i="7" l="1"/>
  <c r="C29" i="7"/>
  <c r="D29" i="7" s="1"/>
  <c r="G29" i="7"/>
  <c r="E25" i="6"/>
  <c r="F24" i="6"/>
  <c r="G24" i="6" s="1"/>
  <c r="T23" i="6"/>
  <c r="U22" i="6"/>
  <c r="V22" i="6" s="1"/>
  <c r="J10" i="2"/>
  <c r="D39" i="2"/>
  <c r="D47" i="2" s="1"/>
  <c r="J21" i="2" s="1"/>
  <c r="J29" i="7" l="1"/>
  <c r="Q29" i="7"/>
  <c r="H29" i="7"/>
  <c r="I29" i="7" s="1"/>
  <c r="F29" i="7"/>
  <c r="U23" i="6"/>
  <c r="V23" i="6" s="1"/>
  <c r="T24" i="6"/>
  <c r="E26" i="6"/>
  <c r="F25" i="6"/>
  <c r="G25" i="6" s="1"/>
  <c r="L30" i="2"/>
  <c r="L31" i="2"/>
  <c r="L25" i="2"/>
  <c r="L26" i="2"/>
  <c r="L28" i="2"/>
  <c r="L29" i="2"/>
  <c r="L27" i="2"/>
  <c r="L24" i="2"/>
  <c r="L17" i="2"/>
  <c r="P17" i="2" s="1"/>
  <c r="L14" i="2"/>
  <c r="P14" i="2" s="1"/>
  <c r="L13" i="2"/>
  <c r="P13" i="2" s="1"/>
  <c r="L16" i="2"/>
  <c r="P16" i="2" s="1"/>
  <c r="L15" i="2"/>
  <c r="P15" i="2" s="1"/>
  <c r="H3" i="5"/>
  <c r="B30" i="7" l="1"/>
  <c r="K29" i="7"/>
  <c r="L30" i="7" s="1"/>
  <c r="G24" i="1"/>
  <c r="T25" i="6"/>
  <c r="U24" i="6"/>
  <c r="V24" i="6" s="1"/>
  <c r="F26" i="6"/>
  <c r="G26" i="6" s="1"/>
  <c r="E27" i="6"/>
  <c r="K3" i="5"/>
  <c r="I3" i="5"/>
  <c r="J3" i="5"/>
  <c r="B3" i="5"/>
  <c r="C3" i="5"/>
  <c r="C11" i="5"/>
  <c r="B12" i="5" s="1"/>
  <c r="M30" i="7" l="1"/>
  <c r="N30" i="7" s="1"/>
  <c r="P30" i="7" s="1"/>
  <c r="O30" i="7"/>
  <c r="E30" i="7"/>
  <c r="C30" i="7"/>
  <c r="D30" i="7" s="1"/>
  <c r="F30" i="7" s="1"/>
  <c r="G30" i="7"/>
  <c r="E28" i="6"/>
  <c r="F27" i="6"/>
  <c r="G27" i="6" s="1"/>
  <c r="T26" i="6"/>
  <c r="U25" i="6"/>
  <c r="V25" i="6" s="1"/>
  <c r="J30" i="7" l="1"/>
  <c r="Q30" i="7"/>
  <c r="H30" i="7"/>
  <c r="I30" i="7" s="1"/>
  <c r="K30" i="7" s="1"/>
  <c r="L31" i="7" s="1"/>
  <c r="T27" i="6"/>
  <c r="U26" i="6"/>
  <c r="V26" i="6" s="1"/>
  <c r="E29" i="6"/>
  <c r="F28" i="6"/>
  <c r="G28" i="6" s="1"/>
  <c r="M31" i="7" l="1"/>
  <c r="N31" i="7" s="1"/>
  <c r="P31" i="7" s="1"/>
  <c r="O31" i="7"/>
  <c r="B31" i="7"/>
  <c r="E30" i="6"/>
  <c r="F29" i="6"/>
  <c r="G29" i="6" s="1"/>
  <c r="U27" i="6"/>
  <c r="V27" i="6" s="1"/>
  <c r="T28" i="6"/>
  <c r="E31" i="7" l="1"/>
  <c r="C31" i="7"/>
  <c r="D31" i="7" s="1"/>
  <c r="G31" i="7"/>
  <c r="E31" i="6"/>
  <c r="F30" i="6"/>
  <c r="G30" i="6" s="1"/>
  <c r="U28" i="6"/>
  <c r="V28" i="6" s="1"/>
  <c r="T29" i="6"/>
  <c r="F31" i="7" l="1"/>
  <c r="B32" i="7" s="1"/>
  <c r="J31" i="7"/>
  <c r="Q31" i="7"/>
  <c r="H31" i="7"/>
  <c r="I31" i="7" s="1"/>
  <c r="K31" i="7" s="1"/>
  <c r="L32" i="7" s="1"/>
  <c r="E32" i="6"/>
  <c r="F31" i="6"/>
  <c r="G31" i="6" s="1"/>
  <c r="T30" i="6"/>
  <c r="U29" i="6"/>
  <c r="V29" i="6" s="1"/>
  <c r="M32" i="7" l="1"/>
  <c r="N32" i="7" s="1"/>
  <c r="P32" i="7" s="1"/>
  <c r="O32" i="7"/>
  <c r="E32" i="7"/>
  <c r="C32" i="7"/>
  <c r="D32" i="7" s="1"/>
  <c r="F32" i="7" s="1"/>
  <c r="G32" i="7"/>
  <c r="F32" i="6"/>
  <c r="G32" i="6" s="1"/>
  <c r="E33" i="6"/>
  <c r="T31" i="6"/>
  <c r="U30" i="6"/>
  <c r="V30" i="6" s="1"/>
  <c r="J32" i="7" l="1"/>
  <c r="Q32" i="7"/>
  <c r="H32" i="7"/>
  <c r="I32" i="7" s="1"/>
  <c r="E34" i="6"/>
  <c r="F33" i="6"/>
  <c r="G33" i="6" s="1"/>
  <c r="U31" i="6"/>
  <c r="V31" i="6" s="1"/>
  <c r="T32" i="6"/>
  <c r="K32" i="7" l="1"/>
  <c r="T33" i="6"/>
  <c r="U32" i="6"/>
  <c r="V32" i="6" s="1"/>
  <c r="E35" i="6"/>
  <c r="F34" i="6"/>
  <c r="G34" i="6" s="1"/>
  <c r="L33" i="7" l="1"/>
  <c r="B33" i="7"/>
  <c r="T34" i="6"/>
  <c r="U33" i="6"/>
  <c r="V33" i="6" s="1"/>
  <c r="F35" i="6"/>
  <c r="G35" i="6" s="1"/>
  <c r="E36" i="6"/>
  <c r="E33" i="7" l="1"/>
  <c r="C33" i="7"/>
  <c r="D33" i="7" s="1"/>
  <c r="G33" i="7"/>
  <c r="M33" i="7"/>
  <c r="N33" i="7" s="1"/>
  <c r="P33" i="7" s="1"/>
  <c r="O33" i="7"/>
  <c r="E37" i="6"/>
  <c r="F36" i="6"/>
  <c r="G36" i="6" s="1"/>
  <c r="T35" i="6"/>
  <c r="U34" i="6"/>
  <c r="V34" i="6" s="1"/>
  <c r="J33" i="7" l="1"/>
  <c r="Q33" i="7"/>
  <c r="H33" i="7"/>
  <c r="I33" i="7" s="1"/>
  <c r="F33" i="7"/>
  <c r="E38" i="6"/>
  <c r="F37" i="6"/>
  <c r="G37" i="6" s="1"/>
  <c r="T36" i="6"/>
  <c r="U35" i="6"/>
  <c r="V35" i="6" s="1"/>
  <c r="K33" i="7" l="1"/>
  <c r="L34" i="7" s="1"/>
  <c r="T37" i="6"/>
  <c r="U36" i="6"/>
  <c r="V36" i="6" s="1"/>
  <c r="F38" i="6"/>
  <c r="G38" i="6" s="1"/>
  <c r="E39" i="6"/>
  <c r="M34" i="7" l="1"/>
  <c r="N34" i="7" s="1"/>
  <c r="O34" i="7"/>
  <c r="B34" i="7"/>
  <c r="U37" i="6"/>
  <c r="V37" i="6" s="1"/>
  <c r="T38" i="6"/>
  <c r="E40" i="6"/>
  <c r="F39" i="6"/>
  <c r="G39" i="6" s="1"/>
  <c r="E34" i="7" l="1"/>
  <c r="C34" i="7"/>
  <c r="D34" i="7" s="1"/>
  <c r="F34" i="7" s="1"/>
  <c r="G34" i="7"/>
  <c r="P34" i="7"/>
  <c r="T39" i="6"/>
  <c r="U38" i="6"/>
  <c r="V38" i="6" s="1"/>
  <c r="E41" i="6"/>
  <c r="F40" i="6"/>
  <c r="G40" i="6" s="1"/>
  <c r="J34" i="7" l="1"/>
  <c r="Q34" i="7"/>
  <c r="H34" i="7"/>
  <c r="I34" i="7" s="1"/>
  <c r="K34" i="7" s="1"/>
  <c r="L35" i="7" s="1"/>
  <c r="F41" i="6"/>
  <c r="G41" i="6" s="1"/>
  <c r="E42" i="6"/>
  <c r="T40" i="6"/>
  <c r="U39" i="6"/>
  <c r="V39" i="6" s="1"/>
  <c r="B35" i="7" l="1"/>
  <c r="M35" i="7"/>
  <c r="N35" i="7" s="1"/>
  <c r="O35" i="7"/>
  <c r="F42" i="6"/>
  <c r="G42" i="6" s="1"/>
  <c r="E43" i="6"/>
  <c r="T41" i="6"/>
  <c r="U40" i="6"/>
  <c r="V40" i="6" s="1"/>
  <c r="P35" i="7" l="1"/>
  <c r="E35" i="7"/>
  <c r="C35" i="7"/>
  <c r="D35" i="7" s="1"/>
  <c r="F35" i="7" s="1"/>
  <c r="G35" i="7"/>
  <c r="U41" i="6"/>
  <c r="V41" i="6" s="1"/>
  <c r="T42" i="6"/>
  <c r="E44" i="6"/>
  <c r="F43" i="6"/>
  <c r="G43" i="6" s="1"/>
  <c r="J35" i="7" l="1"/>
  <c r="Q35" i="7"/>
  <c r="H35" i="7"/>
  <c r="I35" i="7" s="1"/>
  <c r="K35" i="7" s="1"/>
  <c r="L36" i="7" s="1"/>
  <c r="B36" i="7"/>
  <c r="T43" i="6"/>
  <c r="U42" i="6"/>
  <c r="V42" i="6" s="1"/>
  <c r="E45" i="6"/>
  <c r="F44" i="6"/>
  <c r="G44" i="6" s="1"/>
  <c r="E36" i="7" l="1"/>
  <c r="C36" i="7"/>
  <c r="D36" i="7" s="1"/>
  <c r="F36" i="7" s="1"/>
  <c r="G36" i="7"/>
  <c r="M36" i="7"/>
  <c r="N36" i="7" s="1"/>
  <c r="P36" i="7" s="1"/>
  <c r="O36" i="7"/>
  <c r="F45" i="6"/>
  <c r="G45" i="6" s="1"/>
  <c r="E46" i="6"/>
  <c r="U43" i="6"/>
  <c r="V43" i="6" s="1"/>
  <c r="T44" i="6"/>
  <c r="J36" i="7" l="1"/>
  <c r="Q36" i="7"/>
  <c r="H36" i="7"/>
  <c r="I36" i="7" s="1"/>
  <c r="K36" i="7" s="1"/>
  <c r="L37" i="7" s="1"/>
  <c r="B37" i="7"/>
  <c r="F46" i="6"/>
  <c r="G46" i="6" s="1"/>
  <c r="E47" i="6"/>
  <c r="T45" i="6"/>
  <c r="U44" i="6"/>
  <c r="V44" i="6" s="1"/>
  <c r="E37" i="7" l="1"/>
  <c r="C37" i="7"/>
  <c r="D37" i="7" s="1"/>
  <c r="F37" i="7" s="1"/>
  <c r="G37" i="7"/>
  <c r="M37" i="7"/>
  <c r="N37" i="7" s="1"/>
  <c r="P37" i="7" s="1"/>
  <c r="O37" i="7"/>
  <c r="E48" i="6"/>
  <c r="F47" i="6"/>
  <c r="G47" i="6" s="1"/>
  <c r="T46" i="6"/>
  <c r="U45" i="6"/>
  <c r="V45" i="6" s="1"/>
  <c r="J37" i="7" l="1"/>
  <c r="Q37" i="7"/>
  <c r="H37" i="7"/>
  <c r="I37" i="7" s="1"/>
  <c r="K37" i="7" s="1"/>
  <c r="L38" i="7" s="1"/>
  <c r="B38" i="7"/>
  <c r="F48" i="6"/>
  <c r="G48" i="6" s="1"/>
  <c r="E49" i="6"/>
  <c r="T47" i="6"/>
  <c r="U46" i="6"/>
  <c r="V46" i="6" s="1"/>
  <c r="E38" i="7" l="1"/>
  <c r="C38" i="7"/>
  <c r="D38" i="7" s="1"/>
  <c r="F38" i="7" s="1"/>
  <c r="G38" i="7"/>
  <c r="M38" i="7"/>
  <c r="N38" i="7" s="1"/>
  <c r="P38" i="7" s="1"/>
  <c r="O38" i="7"/>
  <c r="U47" i="6"/>
  <c r="V47" i="6" s="1"/>
  <c r="T48" i="6"/>
  <c r="F49" i="6"/>
  <c r="G49" i="6" s="1"/>
  <c r="E50" i="6"/>
  <c r="J38" i="7" l="1"/>
  <c r="Q38" i="7"/>
  <c r="H38" i="7"/>
  <c r="I38" i="7" s="1"/>
  <c r="K38" i="7" s="1"/>
  <c r="L39" i="7" s="1"/>
  <c r="B39" i="7"/>
  <c r="E51" i="6"/>
  <c r="F50" i="6"/>
  <c r="G50" i="6" s="1"/>
  <c r="T49" i="6"/>
  <c r="U48" i="6"/>
  <c r="V48" i="6" s="1"/>
  <c r="E39" i="7" l="1"/>
  <c r="C39" i="7"/>
  <c r="D39" i="7" s="1"/>
  <c r="F39" i="7" s="1"/>
  <c r="G39" i="7"/>
  <c r="M39" i="7"/>
  <c r="N39" i="7" s="1"/>
  <c r="P39" i="7" s="1"/>
  <c r="O39" i="7"/>
  <c r="T50" i="6"/>
  <c r="U49" i="6"/>
  <c r="V49" i="6" s="1"/>
  <c r="E52" i="6"/>
  <c r="F51" i="6"/>
  <c r="G51" i="6" s="1"/>
  <c r="J39" i="7" l="1"/>
  <c r="Q39" i="7"/>
  <c r="H39" i="7"/>
  <c r="I39" i="7" s="1"/>
  <c r="K39" i="7" s="1"/>
  <c r="L40" i="7" s="1"/>
  <c r="B40" i="7"/>
  <c r="E53" i="6"/>
  <c r="F52" i="6"/>
  <c r="G52" i="6" s="1"/>
  <c r="U50" i="6"/>
  <c r="V50" i="6" s="1"/>
  <c r="T51" i="6"/>
  <c r="E40" i="7" l="1"/>
  <c r="G40" i="7"/>
  <c r="C40" i="7"/>
  <c r="D40" i="7" s="1"/>
  <c r="F40" i="7" s="1"/>
  <c r="M40" i="7"/>
  <c r="N40" i="7" s="1"/>
  <c r="P40" i="7" s="1"/>
  <c r="O40" i="7"/>
  <c r="E54" i="6"/>
  <c r="F53" i="6"/>
  <c r="G53" i="6" s="1"/>
  <c r="T52" i="6"/>
  <c r="U51" i="6"/>
  <c r="V51" i="6" s="1"/>
  <c r="Q40" i="7" l="1"/>
  <c r="J40" i="7"/>
  <c r="H40" i="7"/>
  <c r="I40" i="7" s="1"/>
  <c r="K40" i="7" s="1"/>
  <c r="L41" i="7" s="1"/>
  <c r="T53" i="6"/>
  <c r="U52" i="6"/>
  <c r="V52" i="6" s="1"/>
  <c r="E55" i="6"/>
  <c r="F54" i="6"/>
  <c r="G54" i="6" s="1"/>
  <c r="M41" i="7" l="1"/>
  <c r="N41" i="7" s="1"/>
  <c r="P41" i="7" s="1"/>
  <c r="O41" i="7"/>
  <c r="B41" i="7"/>
  <c r="U53" i="6"/>
  <c r="V53" i="6" s="1"/>
  <c r="T54" i="6"/>
  <c r="E56" i="6"/>
  <c r="F55" i="6"/>
  <c r="G55" i="6" s="1"/>
  <c r="E41" i="7" l="1"/>
  <c r="G41" i="7"/>
  <c r="C41" i="7"/>
  <c r="D41" i="7" s="1"/>
  <c r="F41" i="7" s="1"/>
  <c r="E57" i="6"/>
  <c r="F56" i="6"/>
  <c r="G56" i="6" s="1"/>
  <c r="T55" i="6"/>
  <c r="U54" i="6"/>
  <c r="V54" i="6" s="1"/>
  <c r="Q41" i="7" l="1"/>
  <c r="H41" i="7"/>
  <c r="I41" i="7" s="1"/>
  <c r="J41" i="7"/>
  <c r="T56" i="6"/>
  <c r="U55" i="6"/>
  <c r="V55" i="6" s="1"/>
  <c r="F57" i="6"/>
  <c r="G57" i="6" s="1"/>
  <c r="E58" i="6"/>
  <c r="K41" i="7" l="1"/>
  <c r="T57" i="6"/>
  <c r="U56" i="6"/>
  <c r="V56" i="6" s="1"/>
  <c r="F58" i="6"/>
  <c r="G58" i="6" s="1"/>
  <c r="E59" i="6"/>
  <c r="L42" i="7" l="1"/>
  <c r="B42" i="7"/>
  <c r="E60" i="6"/>
  <c r="F59" i="6"/>
  <c r="G59" i="6" s="1"/>
  <c r="T58" i="6"/>
  <c r="U57" i="6"/>
  <c r="V57" i="6" s="1"/>
  <c r="E42" i="7" l="1"/>
  <c r="G42" i="7"/>
  <c r="C42" i="7"/>
  <c r="D42" i="7" s="1"/>
  <c r="F42" i="7" s="1"/>
  <c r="M42" i="7"/>
  <c r="N42" i="7" s="1"/>
  <c r="P42" i="7" s="1"/>
  <c r="O42" i="7"/>
  <c r="T59" i="6"/>
  <c r="U58" i="6"/>
  <c r="V58" i="6" s="1"/>
  <c r="F60" i="6"/>
  <c r="G60" i="6" s="1"/>
  <c r="E61" i="6"/>
  <c r="Q42" i="7" l="1"/>
  <c r="H42" i="7"/>
  <c r="I42" i="7" s="1"/>
  <c r="J42" i="7"/>
  <c r="F61" i="6"/>
  <c r="G61" i="6" s="1"/>
  <c r="E62" i="6"/>
  <c r="T60" i="6"/>
  <c r="U59" i="6"/>
  <c r="V59" i="6" s="1"/>
  <c r="K42" i="7" l="1"/>
  <c r="E63" i="6"/>
  <c r="F62" i="6"/>
  <c r="G62" i="6" s="1"/>
  <c r="T61" i="6"/>
  <c r="U60" i="6"/>
  <c r="V60" i="6" s="1"/>
  <c r="L43" i="7" l="1"/>
  <c r="B43" i="7"/>
  <c r="T62" i="6"/>
  <c r="U61" i="6"/>
  <c r="V61" i="6" s="1"/>
  <c r="E64" i="6"/>
  <c r="F63" i="6"/>
  <c r="G63" i="6" s="1"/>
  <c r="E43" i="7" l="1"/>
  <c r="G43" i="7"/>
  <c r="C43" i="7"/>
  <c r="D43" i="7" s="1"/>
  <c r="F43" i="7" s="1"/>
  <c r="M43" i="7"/>
  <c r="N43" i="7" s="1"/>
  <c r="P43" i="7" s="1"/>
  <c r="O43" i="7"/>
  <c r="F64" i="6"/>
  <c r="G64" i="6" s="1"/>
  <c r="E65" i="6"/>
  <c r="U62" i="6"/>
  <c r="V62" i="6" s="1"/>
  <c r="T63" i="6"/>
  <c r="Q43" i="7" l="1"/>
  <c r="H43" i="7"/>
  <c r="I43" i="7" s="1"/>
  <c r="J43" i="7"/>
  <c r="U63" i="6"/>
  <c r="V63" i="6" s="1"/>
  <c r="T64" i="6"/>
  <c r="F65" i="6"/>
  <c r="G65" i="6" s="1"/>
  <c r="E66" i="6"/>
  <c r="K43" i="7" l="1"/>
  <c r="E67" i="6"/>
  <c r="F66" i="6"/>
  <c r="G66" i="6" s="1"/>
  <c r="T65" i="6"/>
  <c r="U64" i="6"/>
  <c r="V64" i="6" s="1"/>
  <c r="L44" i="7" l="1"/>
  <c r="B44" i="7"/>
  <c r="E68" i="6"/>
  <c r="F67" i="6"/>
  <c r="G67" i="6" s="1"/>
  <c r="T66" i="6"/>
  <c r="U65" i="6"/>
  <c r="V65" i="6" s="1"/>
  <c r="E44" i="7" l="1"/>
  <c r="G44" i="7"/>
  <c r="C44" i="7"/>
  <c r="D44" i="7" s="1"/>
  <c r="F44" i="7" s="1"/>
  <c r="M44" i="7"/>
  <c r="N44" i="7" s="1"/>
  <c r="P44" i="7" s="1"/>
  <c r="O44" i="7"/>
  <c r="U66" i="6"/>
  <c r="V66" i="6" s="1"/>
  <c r="T67" i="6"/>
  <c r="F68" i="6"/>
  <c r="G68" i="6" s="1"/>
  <c r="E69" i="6"/>
  <c r="Q44" i="7" l="1"/>
  <c r="H44" i="7"/>
  <c r="I44" i="7" s="1"/>
  <c r="J44" i="7"/>
  <c r="E70" i="6"/>
  <c r="F69" i="6"/>
  <c r="G69" i="6" s="1"/>
  <c r="T68" i="6"/>
  <c r="U67" i="6"/>
  <c r="V67" i="6" s="1"/>
  <c r="K44" i="7" l="1"/>
  <c r="T69" i="6"/>
  <c r="U68" i="6"/>
  <c r="V68" i="6" s="1"/>
  <c r="E71" i="6"/>
  <c r="F70" i="6"/>
  <c r="G70" i="6" s="1"/>
  <c r="L45" i="7" l="1"/>
  <c r="B45" i="7"/>
  <c r="U69" i="6"/>
  <c r="V69" i="6" s="1"/>
  <c r="T70" i="6"/>
  <c r="E72" i="6"/>
  <c r="F71" i="6"/>
  <c r="G71" i="6" s="1"/>
  <c r="E45" i="7" l="1"/>
  <c r="G45" i="7"/>
  <c r="C45" i="7"/>
  <c r="D45" i="7" s="1"/>
  <c r="F45" i="7" s="1"/>
  <c r="M45" i="7"/>
  <c r="N45" i="7" s="1"/>
  <c r="P45" i="7" s="1"/>
  <c r="O45" i="7"/>
  <c r="T71" i="6"/>
  <c r="U70" i="6"/>
  <c r="V70" i="6" s="1"/>
  <c r="E73" i="6"/>
  <c r="F73" i="6" s="1"/>
  <c r="G73" i="6" s="1"/>
  <c r="F72" i="6"/>
  <c r="G72" i="6" s="1"/>
  <c r="Q45" i="7" l="1"/>
  <c r="H45" i="7"/>
  <c r="I45" i="7" s="1"/>
  <c r="J45" i="7"/>
  <c r="T72" i="6"/>
  <c r="U71" i="6"/>
  <c r="V71" i="6" s="1"/>
  <c r="K45" i="7" l="1"/>
  <c r="T73" i="6"/>
  <c r="U72" i="6"/>
  <c r="V72" i="6" s="1"/>
  <c r="U73" i="6" l="1"/>
  <c r="V73" i="6" s="1"/>
  <c r="L46" i="7"/>
  <c r="B46" i="7"/>
  <c r="G46" i="7" l="1"/>
  <c r="E46" i="7"/>
  <c r="C46" i="7"/>
  <c r="D46" i="7" s="1"/>
  <c r="F46" i="7" s="1"/>
  <c r="M46" i="7"/>
  <c r="N46" i="7" s="1"/>
  <c r="O46" i="7"/>
  <c r="P46" i="7" l="1"/>
  <c r="H46" i="7"/>
  <c r="I46" i="7" s="1"/>
  <c r="K46" i="7" s="1"/>
  <c r="L47" i="7" s="1"/>
  <c r="Q46" i="7"/>
  <c r="J46" i="7"/>
  <c r="M47" i="7" l="1"/>
  <c r="N47" i="7" s="1"/>
  <c r="O47" i="7"/>
  <c r="B47" i="7"/>
  <c r="G47" i="7" l="1"/>
  <c r="E47" i="7"/>
  <c r="C47" i="7"/>
  <c r="D47" i="7" s="1"/>
  <c r="F47" i="7" s="1"/>
  <c r="P47" i="7"/>
  <c r="H47" i="7" l="1"/>
  <c r="I47" i="7" s="1"/>
  <c r="Q47" i="7"/>
  <c r="J47" i="7"/>
  <c r="K47" i="7" l="1"/>
  <c r="L48" i="7" l="1"/>
  <c r="B48" i="7"/>
  <c r="G48" i="7" l="1"/>
  <c r="E48" i="7"/>
  <c r="C48" i="7"/>
  <c r="D48" i="7" s="1"/>
  <c r="F48" i="7" s="1"/>
  <c r="M48" i="7"/>
  <c r="N48" i="7" s="1"/>
  <c r="P48" i="7" s="1"/>
  <c r="O48" i="7"/>
  <c r="H48" i="7" l="1"/>
  <c r="I48" i="7" s="1"/>
  <c r="Q48" i="7"/>
  <c r="J48" i="7"/>
  <c r="K48" i="7" l="1"/>
  <c r="L49" i="7" l="1"/>
  <c r="B49" i="7"/>
  <c r="G49" i="7" l="1"/>
  <c r="E49" i="7"/>
  <c r="C49" i="7"/>
  <c r="D49" i="7" s="1"/>
  <c r="F49" i="7" s="1"/>
  <c r="M49" i="7"/>
  <c r="N49" i="7" s="1"/>
  <c r="P49" i="7" s="1"/>
  <c r="O49" i="7"/>
  <c r="H49" i="7" l="1"/>
  <c r="I49" i="7" s="1"/>
  <c r="Q49" i="7"/>
  <c r="J49" i="7"/>
  <c r="K49" i="7" l="1"/>
  <c r="L50" i="7" l="1"/>
  <c r="B50" i="7"/>
  <c r="G50" i="7" l="1"/>
  <c r="E50" i="7"/>
  <c r="C50" i="7"/>
  <c r="D50" i="7" s="1"/>
  <c r="F50" i="7" s="1"/>
  <c r="M50" i="7"/>
  <c r="N50" i="7" s="1"/>
  <c r="P50" i="7" s="1"/>
  <c r="O50" i="7"/>
  <c r="H50" i="7" l="1"/>
  <c r="I50" i="7" s="1"/>
  <c r="Q50" i="7"/>
  <c r="J50" i="7"/>
  <c r="K50" i="7" l="1"/>
  <c r="L51" i="7" l="1"/>
  <c r="B51" i="7"/>
  <c r="G51" i="7" l="1"/>
  <c r="E51" i="7"/>
  <c r="C51" i="7"/>
  <c r="D51" i="7" s="1"/>
  <c r="F51" i="7" s="1"/>
  <c r="M51" i="7"/>
  <c r="N51" i="7" s="1"/>
  <c r="P51" i="7" s="1"/>
  <c r="O51" i="7"/>
  <c r="H51" i="7" l="1"/>
  <c r="I51" i="7" s="1"/>
  <c r="Q51" i="7"/>
  <c r="J51" i="7"/>
  <c r="K51" i="7" l="1"/>
  <c r="L52" i="7" l="1"/>
  <c r="B52" i="7"/>
  <c r="G52" i="7" l="1"/>
  <c r="E52" i="7"/>
  <c r="C52" i="7"/>
  <c r="D52" i="7" s="1"/>
  <c r="F52" i="7" s="1"/>
  <c r="M52" i="7"/>
  <c r="N52" i="7" s="1"/>
  <c r="P52" i="7" s="1"/>
  <c r="O52" i="7"/>
  <c r="H52" i="7" l="1"/>
  <c r="I52" i="7" s="1"/>
  <c r="Q52" i="7"/>
  <c r="J52" i="7"/>
  <c r="K52" i="7" l="1"/>
  <c r="L53" i="7" l="1"/>
  <c r="B53" i="7"/>
  <c r="G53" i="7" l="1"/>
  <c r="E53" i="7"/>
  <c r="C53" i="7"/>
  <c r="D53" i="7" s="1"/>
  <c r="F53" i="7" s="1"/>
  <c r="M53" i="7"/>
  <c r="N53" i="7" s="1"/>
  <c r="P53" i="7" s="1"/>
  <c r="O53" i="7"/>
  <c r="H53" i="7" l="1"/>
  <c r="I53" i="7" s="1"/>
  <c r="Q53" i="7"/>
  <c r="J53" i="7"/>
  <c r="K53" i="7" l="1"/>
  <c r="L54" i="7" l="1"/>
  <c r="B54" i="7"/>
  <c r="G54" i="7" l="1"/>
  <c r="E54" i="7"/>
  <c r="C54" i="7"/>
  <c r="D54" i="7" s="1"/>
  <c r="F54" i="7" s="1"/>
  <c r="M54" i="7"/>
  <c r="N54" i="7" s="1"/>
  <c r="P54" i="7" s="1"/>
  <c r="O54" i="7"/>
  <c r="H54" i="7" l="1"/>
  <c r="I54" i="7" s="1"/>
  <c r="Q54" i="7"/>
  <c r="J54" i="7"/>
  <c r="K54" i="7" l="1"/>
  <c r="L55" i="7" l="1"/>
  <c r="B55" i="7"/>
  <c r="G55" i="7" l="1"/>
  <c r="E55" i="7"/>
  <c r="C55" i="7"/>
  <c r="D55" i="7" s="1"/>
  <c r="F55" i="7" s="1"/>
  <c r="M55" i="7"/>
  <c r="N55" i="7" s="1"/>
  <c r="P55" i="7" s="1"/>
  <c r="O55" i="7"/>
  <c r="H55" i="7" l="1"/>
  <c r="I55" i="7" s="1"/>
  <c r="Q55" i="7"/>
  <c r="J55" i="7"/>
  <c r="K55" i="7" l="1"/>
  <c r="L56" i="7" l="1"/>
  <c r="B56" i="7"/>
  <c r="G56" i="7" l="1"/>
  <c r="E56" i="7"/>
  <c r="C56" i="7"/>
  <c r="D56" i="7" s="1"/>
  <c r="F56" i="7" s="1"/>
  <c r="M56" i="7"/>
  <c r="N56" i="7" s="1"/>
  <c r="P56" i="7" s="1"/>
  <c r="O56" i="7"/>
  <c r="H56" i="7" l="1"/>
  <c r="I56" i="7" s="1"/>
  <c r="Q56" i="7"/>
  <c r="J56" i="7"/>
  <c r="K56" i="7" l="1"/>
  <c r="L57" i="7" l="1"/>
  <c r="B57" i="7"/>
  <c r="G57" i="7" l="1"/>
  <c r="E57" i="7"/>
  <c r="C57" i="7"/>
  <c r="D57" i="7" s="1"/>
  <c r="F57" i="7" s="1"/>
  <c r="M57" i="7"/>
  <c r="N57" i="7" s="1"/>
  <c r="P57" i="7" s="1"/>
  <c r="O57" i="7"/>
  <c r="H57" i="7" l="1"/>
  <c r="I57" i="7" s="1"/>
  <c r="Q57" i="7"/>
  <c r="J57" i="7"/>
  <c r="K57" i="7" l="1"/>
  <c r="L58" i="7" l="1"/>
  <c r="B58" i="7"/>
  <c r="G58" i="7" l="1"/>
  <c r="E58" i="7"/>
  <c r="C58" i="7"/>
  <c r="D58" i="7" s="1"/>
  <c r="F58" i="7" s="1"/>
  <c r="M58" i="7"/>
  <c r="N58" i="7" s="1"/>
  <c r="P58" i="7" s="1"/>
  <c r="O58" i="7"/>
  <c r="H58" i="7" l="1"/>
  <c r="I58" i="7" s="1"/>
  <c r="Q58" i="7"/>
  <c r="J58" i="7"/>
  <c r="K58" i="7" l="1"/>
  <c r="L59" i="7" l="1"/>
  <c r="B59" i="7"/>
  <c r="G59" i="7" l="1"/>
  <c r="E59" i="7"/>
  <c r="C59" i="7"/>
  <c r="D59" i="7" s="1"/>
  <c r="F59" i="7" s="1"/>
  <c r="M59" i="7"/>
  <c r="N59" i="7" s="1"/>
  <c r="P59" i="7" s="1"/>
  <c r="O59" i="7"/>
  <c r="H59" i="7" l="1"/>
  <c r="I59" i="7" s="1"/>
  <c r="Q59" i="7"/>
  <c r="J59" i="7"/>
  <c r="K59" i="7" l="1"/>
  <c r="L60" i="7" l="1"/>
  <c r="B60" i="7"/>
  <c r="G60" i="7" l="1"/>
  <c r="E60" i="7"/>
  <c r="C60" i="7"/>
  <c r="D60" i="7" s="1"/>
  <c r="F60" i="7" s="1"/>
  <c r="M60" i="7"/>
  <c r="N60" i="7" s="1"/>
  <c r="P60" i="7" s="1"/>
  <c r="O60" i="7"/>
  <c r="H60" i="7" l="1"/>
  <c r="I60" i="7" s="1"/>
  <c r="Q60" i="7"/>
  <c r="J60" i="7"/>
  <c r="K60" i="7" l="1"/>
  <c r="L61" i="7" l="1"/>
  <c r="B61" i="7"/>
  <c r="G61" i="7" l="1"/>
  <c r="E61" i="7"/>
  <c r="C61" i="7"/>
  <c r="D61" i="7" s="1"/>
  <c r="F61" i="7" s="1"/>
  <c r="M61" i="7"/>
  <c r="N61" i="7" s="1"/>
  <c r="P61" i="7" s="1"/>
  <c r="O61" i="7"/>
  <c r="H61" i="7" l="1"/>
  <c r="I61" i="7" s="1"/>
  <c r="Q61" i="7"/>
  <c r="J61" i="7"/>
  <c r="K61" i="7" l="1"/>
  <c r="L62" i="7" l="1"/>
  <c r="B62" i="7"/>
  <c r="G62" i="7" l="1"/>
  <c r="E62" i="7"/>
  <c r="C62" i="7"/>
  <c r="D62" i="7" s="1"/>
  <c r="F62" i="7" s="1"/>
  <c r="M62" i="7"/>
  <c r="N62" i="7" s="1"/>
  <c r="O62" i="7"/>
  <c r="P62" i="7" l="1"/>
  <c r="H62" i="7"/>
  <c r="I62" i="7" s="1"/>
  <c r="K62" i="7" s="1"/>
  <c r="L63" i="7" s="1"/>
  <c r="Q62" i="7"/>
  <c r="J62" i="7"/>
  <c r="M63" i="7" l="1"/>
  <c r="N63" i="7" s="1"/>
  <c r="P63" i="7" s="1"/>
  <c r="O63" i="7"/>
  <c r="B63" i="7"/>
  <c r="G63" i="7" l="1"/>
  <c r="E63" i="7"/>
  <c r="C63" i="7"/>
  <c r="D63" i="7" s="1"/>
  <c r="F63" i="7" s="1"/>
  <c r="H63" i="7" l="1"/>
  <c r="I63" i="7" s="1"/>
  <c r="Q63" i="7"/>
  <c r="J63" i="7"/>
  <c r="K63" i="7" l="1"/>
  <c r="L64" i="7" l="1"/>
  <c r="B64" i="7"/>
  <c r="M64" i="7" l="1"/>
  <c r="N64" i="7" s="1"/>
  <c r="P64" i="7" s="1"/>
  <c r="O64" i="7"/>
  <c r="G64" i="7"/>
  <c r="E64" i="7"/>
  <c r="C64" i="7"/>
  <c r="D64" i="7" s="1"/>
  <c r="F64" i="7" s="1"/>
  <c r="H64" i="7" l="1"/>
  <c r="I64" i="7" s="1"/>
  <c r="Q64" i="7"/>
  <c r="J64" i="7"/>
  <c r="K64" i="7" l="1"/>
  <c r="L65" i="7" l="1"/>
  <c r="B65" i="7"/>
  <c r="G65" i="7" l="1"/>
  <c r="E65" i="7"/>
  <c r="C65" i="7"/>
  <c r="D65" i="7" s="1"/>
  <c r="M65" i="7"/>
  <c r="N65" i="7" s="1"/>
  <c r="P65" i="7" s="1"/>
  <c r="O65" i="7"/>
  <c r="F65" i="7" l="1"/>
  <c r="H65" i="7"/>
  <c r="I65" i="7" s="1"/>
  <c r="Q65" i="7"/>
  <c r="J65" i="7"/>
  <c r="K65" i="7" l="1"/>
  <c r="L66" i="7" s="1"/>
  <c r="B66" i="7"/>
  <c r="G66" i="7" l="1"/>
  <c r="E66" i="7"/>
  <c r="C66" i="7"/>
  <c r="D66" i="7" s="1"/>
  <c r="M66" i="7"/>
  <c r="N66" i="7" s="1"/>
  <c r="P66" i="7" s="1"/>
  <c r="O66" i="7"/>
  <c r="F66" i="7" l="1"/>
  <c r="H66" i="7"/>
  <c r="I66" i="7" s="1"/>
  <c r="K66" i="7" s="1"/>
  <c r="C68" i="7"/>
  <c r="Q66" i="7"/>
  <c r="J66" i="7"/>
  <c r="T26" i="7"/>
</calcChain>
</file>

<file path=xl/sharedStrings.xml><?xml version="1.0" encoding="utf-8"?>
<sst xmlns="http://schemas.openxmlformats.org/spreadsheetml/2006/main" count="1140" uniqueCount="397">
  <si>
    <t>Pin Region</t>
  </si>
  <si>
    <t>Buckling Geometri</t>
  </si>
  <si>
    <t>Jenis</t>
  </si>
  <si>
    <t>Nilai (cm)</t>
  </si>
  <si>
    <t>nilai (cm)</t>
  </si>
  <si>
    <t>Diameter Luar Pin</t>
  </si>
  <si>
    <t>Jari-jari Aktif</t>
  </si>
  <si>
    <t>Diameter Dalam Pin</t>
  </si>
  <si>
    <t>Tinggi Aktif</t>
  </si>
  <si>
    <t>Tebal Clad</t>
  </si>
  <si>
    <t>Bg2</t>
  </si>
  <si>
    <t>Diameter Gap</t>
  </si>
  <si>
    <t>Fuel Assembly</t>
  </si>
  <si>
    <t>Diameter Fuel</t>
  </si>
  <si>
    <t>Pitch</t>
  </si>
  <si>
    <t>Sisi Dalam</t>
  </si>
  <si>
    <t>Batas Utama R-X</t>
  </si>
  <si>
    <t>Sisi Luar</t>
  </si>
  <si>
    <t>Tebal FA</t>
  </si>
  <si>
    <t>Pitch Ekuivalen</t>
  </si>
  <si>
    <t>tinggi FA</t>
  </si>
  <si>
    <t>Jari - Jari Cladding</t>
  </si>
  <si>
    <t>Mean Chord Length</t>
  </si>
  <si>
    <t>Jari - jari Gap</t>
  </si>
  <si>
    <t>Jari - Jari Fuel</t>
  </si>
  <si>
    <t>Diameter luar</t>
  </si>
  <si>
    <t>Diameter dalam</t>
  </si>
  <si>
    <t>Fuel</t>
  </si>
  <si>
    <t>Tebal Reflektor</t>
  </si>
  <si>
    <t>Gap</t>
  </si>
  <si>
    <t>Clad</t>
  </si>
  <si>
    <t>Moderator</t>
  </si>
  <si>
    <t>Sub-Region</t>
  </si>
  <si>
    <t>Jumlah Pin Rod</t>
  </si>
  <si>
    <t>Data Dasar</t>
  </si>
  <si>
    <t>Parameter</t>
  </si>
  <si>
    <t>Nilai</t>
  </si>
  <si>
    <t>Satuan</t>
  </si>
  <si>
    <t>Sumber</t>
  </si>
  <si>
    <t>Avogadro</t>
  </si>
  <si>
    <t>partikel/mol</t>
  </si>
  <si>
    <t>Data NIST</t>
  </si>
  <si>
    <t>g/cm3</t>
  </si>
  <si>
    <t>Densitas Operasi UO2</t>
  </si>
  <si>
    <t>Suhu Rata2 Bahan Bakar</t>
  </si>
  <si>
    <t>K</t>
  </si>
  <si>
    <t>Densitas Moderator</t>
  </si>
  <si>
    <t>Suhu Rata2 Moderator</t>
  </si>
  <si>
    <t>Densitas GAP</t>
  </si>
  <si>
    <t>Suhu Rata2 GAP</t>
  </si>
  <si>
    <t>Tekanan Operasi</t>
  </si>
  <si>
    <t>psia</t>
  </si>
  <si>
    <t>Suhu rata2 cladding</t>
  </si>
  <si>
    <t>Pu-238</t>
  </si>
  <si>
    <t>Pu-239</t>
  </si>
  <si>
    <t>Pu-240</t>
  </si>
  <si>
    <t>Pu-241</t>
  </si>
  <si>
    <t>Pu-242</t>
  </si>
  <si>
    <t>FUE1A010</t>
  </si>
  <si>
    <t>Nuklida</t>
  </si>
  <si>
    <t>Kode</t>
  </si>
  <si>
    <t>Jumlah</t>
  </si>
  <si>
    <t>U-235</t>
  </si>
  <si>
    <t>XU050000</t>
  </si>
  <si>
    <t>U-238</t>
  </si>
  <si>
    <t>XU080000</t>
  </si>
  <si>
    <t>O</t>
  </si>
  <si>
    <t>XO060000</t>
  </si>
  <si>
    <t>GAP</t>
  </si>
  <si>
    <t>GAP1A020</t>
  </si>
  <si>
    <t>Mr He</t>
  </si>
  <si>
    <t>Cladding</t>
  </si>
  <si>
    <t>Zirc-4</t>
  </si>
  <si>
    <t>Densitas</t>
  </si>
  <si>
    <t>He</t>
  </si>
  <si>
    <t>XHE40000</t>
  </si>
  <si>
    <t>Komposisi Cladding</t>
  </si>
  <si>
    <t>Persentase</t>
  </si>
  <si>
    <t>Ar</t>
  </si>
  <si>
    <t>CLA1A030</t>
  </si>
  <si>
    <t>Guide Tube dan Control Rod</t>
  </si>
  <si>
    <t>GCR1A030</t>
  </si>
  <si>
    <t>Zr</t>
  </si>
  <si>
    <t>Mr Clad</t>
  </si>
  <si>
    <t>Sn</t>
  </si>
  <si>
    <t>Fe</t>
  </si>
  <si>
    <t>Cr</t>
  </si>
  <si>
    <t>Ni</t>
  </si>
  <si>
    <t>XZRN0000</t>
  </si>
  <si>
    <t>XSNN0000</t>
  </si>
  <si>
    <t>XFEN0000</t>
  </si>
  <si>
    <t>Struktur Fuel Assembly</t>
  </si>
  <si>
    <t>XCRN0000</t>
  </si>
  <si>
    <t>AISI 304 L stainless steel</t>
  </si>
  <si>
    <t>XNIN0000</t>
  </si>
  <si>
    <t>g/cc</t>
  </si>
  <si>
    <t>MOD1A040</t>
  </si>
  <si>
    <t>Komposisi</t>
  </si>
  <si>
    <t>Mr H2O</t>
  </si>
  <si>
    <t>C</t>
  </si>
  <si>
    <t>Mn</t>
  </si>
  <si>
    <t>H</t>
  </si>
  <si>
    <t>XH01H000</t>
  </si>
  <si>
    <t>P</t>
  </si>
  <si>
    <t>S</t>
  </si>
  <si>
    <t>SFA1A050</t>
  </si>
  <si>
    <t>Si</t>
  </si>
  <si>
    <t>Mr Struktur</t>
  </si>
  <si>
    <t>XC020000</t>
  </si>
  <si>
    <t>XMN50000</t>
  </si>
  <si>
    <t>XP0N0000</t>
  </si>
  <si>
    <t>XS0N0000</t>
  </si>
  <si>
    <t>XSIN0000</t>
  </si>
  <si>
    <t>MOX</t>
  </si>
  <si>
    <t>Pu-Vector</t>
  </si>
  <si>
    <t>Jumlah Nuklida</t>
  </si>
  <si>
    <t>Mr MOX</t>
  </si>
  <si>
    <t>Enrich (e) UO2</t>
  </si>
  <si>
    <t>1-e (UO2)</t>
  </si>
  <si>
    <t>% Massa Pu</t>
  </si>
  <si>
    <t>% Massa U</t>
  </si>
  <si>
    <t>XPU80000</t>
  </si>
  <si>
    <t>XPU90000</t>
  </si>
  <si>
    <t>XPU00000</t>
  </si>
  <si>
    <t>XPU10000</t>
  </si>
  <si>
    <t>XPU20000</t>
  </si>
  <si>
    <t>Fraksi Massa</t>
  </si>
  <si>
    <t>Gd2O3</t>
  </si>
  <si>
    <t>Mr Gd</t>
  </si>
  <si>
    <t>Mr O</t>
  </si>
  <si>
    <t>Nuklida Gd</t>
  </si>
  <si>
    <t>Gd-152</t>
  </si>
  <si>
    <t>Gd-154</t>
  </si>
  <si>
    <t>Gd-155</t>
  </si>
  <si>
    <t>Gd-156</t>
  </si>
  <si>
    <t>Gd-157</t>
  </si>
  <si>
    <t>Gd-158</t>
  </si>
  <si>
    <t>Gd-160</t>
  </si>
  <si>
    <t>Reflektor</t>
  </si>
  <si>
    <t>XGD20000</t>
  </si>
  <si>
    <t>XGD40000</t>
  </si>
  <si>
    <t>XGD50000</t>
  </si>
  <si>
    <t>XGD60000</t>
  </si>
  <si>
    <t>XGD70000</t>
  </si>
  <si>
    <t>XGD80000</t>
  </si>
  <si>
    <t>XGD00000</t>
  </si>
  <si>
    <t>Mr MOX-Gd2O3</t>
  </si>
  <si>
    <t>Densitas Gd2O3</t>
  </si>
  <si>
    <t>Nilai (BU)</t>
  </si>
  <si>
    <t>Nilai SI</t>
  </si>
  <si>
    <t>Nilai yang dipakai</t>
  </si>
  <si>
    <t>Core</t>
  </si>
  <si>
    <t>Diameter</t>
  </si>
  <si>
    <t>Inch</t>
  </si>
  <si>
    <t>cm</t>
  </si>
  <si>
    <t>Active Fuel Height</t>
  </si>
  <si>
    <t>Array Batang BBN</t>
  </si>
  <si>
    <t>17x17</t>
  </si>
  <si>
    <t>Panjang</t>
  </si>
  <si>
    <t>FA Pitch</t>
  </si>
  <si>
    <t>Fuel Rod Pitch</t>
  </si>
  <si>
    <t>Jumlah Spacer</t>
  </si>
  <si>
    <t>Tinggi Spacer Grid</t>
  </si>
  <si>
    <t>Jumlah BBN Rod</t>
  </si>
  <si>
    <t>Jumlah Guide Tube per FA</t>
  </si>
  <si>
    <t>Jumlah Instrumentation Tubes per FA</t>
  </si>
  <si>
    <t>Tebal Struktur FA</t>
  </si>
  <si>
    <t>Fuel Rods</t>
  </si>
  <si>
    <t>Material Cladding</t>
  </si>
  <si>
    <t>MS*</t>
  </si>
  <si>
    <t>Zircalloy-4</t>
  </si>
  <si>
    <t>Diameter Luar Cladding</t>
  </si>
  <si>
    <t>Diameter Dalam Cladding</t>
  </si>
  <si>
    <t>Tebal Cladding</t>
  </si>
  <si>
    <t>Panjang Fuel Rod</t>
  </si>
  <si>
    <t>Fill Gas</t>
  </si>
  <si>
    <t>Helium</t>
  </si>
  <si>
    <t>Fuel Pellet</t>
  </si>
  <si>
    <t>96% TD</t>
  </si>
  <si>
    <t>Material</t>
  </si>
  <si>
    <t>UO2 (Sintered)</t>
  </si>
  <si>
    <t>Control Rod Assemblies</t>
  </si>
  <si>
    <t>Material Penyerap bagian Atas</t>
  </si>
  <si>
    <t>B4C</t>
  </si>
  <si>
    <t>Material Penyerap bagian Bawah</t>
  </si>
  <si>
    <t>Ag-In-Cd</t>
  </si>
  <si>
    <t>304 Stainless Steel</t>
  </si>
  <si>
    <t>Guide Tube</t>
  </si>
  <si>
    <t>Diameter Luar</t>
  </si>
  <si>
    <t>Diameter Dalam (diatas Dashpot)</t>
  </si>
  <si>
    <t>Diameter Dalam (di dalam Dashpot)</t>
  </si>
  <si>
    <t>Basic Core Parameter</t>
  </si>
  <si>
    <t>Daya Termal Teras</t>
  </si>
  <si>
    <t>MWt</t>
  </si>
  <si>
    <t>Panjang Fuel Cycle (sebelum harus refueling)</t>
  </si>
  <si>
    <t>Months</t>
  </si>
  <si>
    <t>Discharge burn-Up Rata-Rata</t>
  </si>
  <si>
    <t>MWd/ton</t>
  </si>
  <si>
    <t>Peak Linear Power</t>
  </si>
  <si>
    <t>kw/ft</t>
  </si>
  <si>
    <t>MW/cm</t>
  </si>
  <si>
    <t>Peak Linear Power per FA</t>
  </si>
  <si>
    <t>Tekanan Sistem Reaktor</t>
  </si>
  <si>
    <t>Suhu Fuel Pin</t>
  </si>
  <si>
    <t>F</t>
  </si>
  <si>
    <t>Note</t>
  </si>
  <si>
    <t>Suhu Inlet Coolant</t>
  </si>
  <si>
    <t>TD = Theoretical Density = 10.96 g/cm3</t>
  </si>
  <si>
    <t>Suhu Gap</t>
  </si>
  <si>
    <t>=</t>
  </si>
  <si>
    <t>Angka sementara. Belum yakin nilainya</t>
  </si>
  <si>
    <t>Suhu Cladding</t>
  </si>
  <si>
    <t>REFLEKTOR</t>
  </si>
  <si>
    <t>REFL00R0</t>
  </si>
  <si>
    <t>Mr C</t>
  </si>
  <si>
    <t>Volume Bahan Bakar</t>
  </si>
  <si>
    <t>cm3</t>
  </si>
  <si>
    <t>Massa Bahan Bakar</t>
  </si>
  <si>
    <t>g</t>
  </si>
  <si>
    <t>Ton</t>
  </si>
  <si>
    <t>Densitas Bahan Bakar (g/cm3)</t>
  </si>
  <si>
    <t>Tinggi (cm)</t>
  </si>
  <si>
    <t>Diameter (cm)</t>
  </si>
  <si>
    <t>H/D</t>
  </si>
  <si>
    <t>FA 2</t>
  </si>
  <si>
    <t>FA 1</t>
  </si>
  <si>
    <t>varhd1</t>
  </si>
  <si>
    <t>varhd2</t>
  </si>
  <si>
    <t>varhd3</t>
  </si>
  <si>
    <t>varhd4</t>
  </si>
  <si>
    <t>varhd5</t>
  </si>
  <si>
    <t>Jumlah FA</t>
  </si>
  <si>
    <t>Jumlah Fuel Rod/FA</t>
  </si>
  <si>
    <t>Jari-jari Bahan Bakar</t>
  </si>
  <si>
    <t>Massa Bahan Bakar (g)</t>
  </si>
  <si>
    <t>Volume (cm3)</t>
  </si>
  <si>
    <t>Inventori Aktinida (g)</t>
  </si>
  <si>
    <t>Nama</t>
  </si>
  <si>
    <t>Step</t>
  </si>
  <si>
    <t>Rentang (Jam)</t>
  </si>
  <si>
    <t>Jam</t>
  </si>
  <si>
    <t>Hari</t>
  </si>
  <si>
    <t>Tahun</t>
  </si>
  <si>
    <t>K-Efektif</t>
  </si>
  <si>
    <t>Conversion Ratio</t>
  </si>
  <si>
    <t>Aktinida</t>
  </si>
  <si>
    <t>Benchmark</t>
  </si>
  <si>
    <t>note:</t>
  </si>
  <si>
    <t>U-236</t>
  </si>
  <si>
    <t>BO1C</t>
  </si>
  <si>
    <t>step 2 diskip</t>
  </si>
  <si>
    <t>EO1C</t>
  </si>
  <si>
    <t>step 1 diskip</t>
  </si>
  <si>
    <t>EO2C</t>
  </si>
  <si>
    <t>EO3C</t>
  </si>
  <si>
    <t>Tinggi</t>
  </si>
  <si>
    <t>% Pu</t>
  </si>
  <si>
    <t>Susunan FA untuk Htinit dan COREBN</t>
  </si>
  <si>
    <t>R=165</t>
  </si>
  <si>
    <t>y\x</t>
  </si>
  <si>
    <t>R</t>
  </si>
  <si>
    <t>R=115</t>
  </si>
  <si>
    <t>R=140</t>
  </si>
  <si>
    <t>R=190</t>
  </si>
  <si>
    <t>R=215</t>
  </si>
  <si>
    <t>Massa Konstan BBN (g)</t>
  </si>
  <si>
    <t>Massa Total BBN (g)</t>
  </si>
  <si>
    <t xml:space="preserve">Jumlah Node Arah Z </t>
  </si>
  <si>
    <t>Ukuran per Node</t>
  </si>
  <si>
    <t>Volume Node</t>
  </si>
  <si>
    <t>Relative Values</t>
  </si>
  <si>
    <t>Real Values</t>
  </si>
  <si>
    <t>Mesh Axial</t>
  </si>
  <si>
    <t>Top</t>
  </si>
  <si>
    <t>Bottom</t>
  </si>
  <si>
    <t>fuel</t>
  </si>
  <si>
    <t>clad</t>
  </si>
  <si>
    <t>gap</t>
  </si>
  <si>
    <t>Reflektor SS304L</t>
  </si>
  <si>
    <t>Susunan 1/4 FA</t>
  </si>
  <si>
    <t>Jumlah Fuel Pin</t>
  </si>
  <si>
    <t>Jumlah CR</t>
  </si>
  <si>
    <t>Jumlah Guide Tube</t>
  </si>
  <si>
    <t>Variasi</t>
  </si>
  <si>
    <t>Tebal</t>
  </si>
  <si>
    <t>MCL</t>
  </si>
  <si>
    <t>Diam. Luar</t>
  </si>
  <si>
    <t>Diam. Dalam</t>
  </si>
  <si>
    <t>Tw</t>
  </si>
  <si>
    <t>2.pi().Rcli</t>
  </si>
  <si>
    <t>Suhu Rata2 Coolant</t>
  </si>
  <si>
    <t>Tfl</t>
  </si>
  <si>
    <t>b</t>
  </si>
  <si>
    <t>Suhu Rata2 Gap</t>
  </si>
  <si>
    <t>c</t>
  </si>
  <si>
    <t>Suhu Outlet Coolant</t>
  </si>
  <si>
    <t>Suhu rata2 Cladding</t>
  </si>
  <si>
    <t>m</t>
  </si>
  <si>
    <t>Peak Linear Power Per Fuel Pin</t>
  </si>
  <si>
    <t>W/cm</t>
  </si>
  <si>
    <t>q'</t>
  </si>
  <si>
    <t>Luas Area Konveksi</t>
  </si>
  <si>
    <t>m2</t>
  </si>
  <si>
    <t>pi</t>
  </si>
  <si>
    <t>Mass Flow</t>
  </si>
  <si>
    <t>kg/s</t>
  </si>
  <si>
    <t>Jari - Jari Cladding Dalam</t>
  </si>
  <si>
    <t>Rcli</t>
  </si>
  <si>
    <t>Coolant Velocity</t>
  </si>
  <si>
    <t>m/s</t>
  </si>
  <si>
    <t>Tebal Gap</t>
  </si>
  <si>
    <t>delta</t>
  </si>
  <si>
    <t>Properties of Water at Tfl,avg</t>
  </si>
  <si>
    <t>Konstanta Stephan-Boltzmann</t>
  </si>
  <si>
    <t>sigma kecil</t>
  </si>
  <si>
    <t>Fuel Emmisivity</t>
  </si>
  <si>
    <t>epsilon f</t>
  </si>
  <si>
    <t>asumsi sama dengan UO2</t>
  </si>
  <si>
    <t>Tekanan</t>
  </si>
  <si>
    <t>Cladding Emissivity</t>
  </si>
  <si>
    <t>epsilon c</t>
  </si>
  <si>
    <t>asumsi sama dengan Zr-1%Nb Alloy</t>
  </si>
  <si>
    <t>kg/m3</t>
  </si>
  <si>
    <t>A</t>
  </si>
  <si>
    <t>Viskositas (miu)</t>
  </si>
  <si>
    <t>Pa.s</t>
  </si>
  <si>
    <t>Cp</t>
  </si>
  <si>
    <t>kJ/kg.K</t>
  </si>
  <si>
    <t>Hitung Suhu GAP</t>
  </si>
  <si>
    <t>Konduktivitas</t>
  </si>
  <si>
    <t>W/m.K</t>
  </si>
  <si>
    <t>Iterasi</t>
  </si>
  <si>
    <t>Kiri</t>
  </si>
  <si>
    <t>Tengah</t>
  </si>
  <si>
    <t>Kanan</t>
  </si>
  <si>
    <t>Error</t>
  </si>
  <si>
    <t>Tcli</t>
  </si>
  <si>
    <t>B</t>
  </si>
  <si>
    <t>Hasil</t>
  </si>
  <si>
    <t>Perhitungan h (heat coefficient)</t>
  </si>
  <si>
    <t>Re</t>
  </si>
  <si>
    <t>Pr</t>
  </si>
  <si>
    <t>Nu</t>
  </si>
  <si>
    <t>h</t>
  </si>
  <si>
    <t>Perhitung Tclo</t>
  </si>
  <si>
    <t>Tclo</t>
  </si>
  <si>
    <t>Suhu Rata2 Cladding</t>
  </si>
  <si>
    <t>Tgap</t>
  </si>
  <si>
    <t>Fuel Assembly 1</t>
  </si>
  <si>
    <t>Komponen</t>
  </si>
  <si>
    <t>Penyusun</t>
  </si>
  <si>
    <t>Pengkayaan (Wt)</t>
  </si>
  <si>
    <t>Ar Isotop</t>
  </si>
  <si>
    <t>Ar Unsur</t>
  </si>
  <si>
    <t>Mr</t>
  </si>
  <si>
    <t>Abundance</t>
  </si>
  <si>
    <t>Mr Fuel (g/mol)</t>
  </si>
  <si>
    <t>Densitas (g/cc)</t>
  </si>
  <si>
    <t>Asumsi Massa (g)</t>
  </si>
  <si>
    <t>Massa Komponen (g)</t>
  </si>
  <si>
    <t>Volume Komponen (cc)</t>
  </si>
  <si>
    <t>Volume Total (cc)</t>
  </si>
  <si>
    <t>Fraksi Volume</t>
  </si>
  <si>
    <t>Densitas Campuran (versi volume) (g/cc)</t>
  </si>
  <si>
    <t>PuO2</t>
  </si>
  <si>
    <t>UO2</t>
  </si>
  <si>
    <t>Fuel Assembly 2</t>
  </si>
  <si>
    <t>Gd</t>
  </si>
  <si>
    <t>Tebal Aksial</t>
  </si>
  <si>
    <t>Tebal Radial</t>
  </si>
  <si>
    <t>SS304L</t>
  </si>
  <si>
    <t>XP010000</t>
  </si>
  <si>
    <t>W/(cm2.K4)</t>
  </si>
  <si>
    <t>k/delta g</t>
  </si>
  <si>
    <t>Burn Up Steps</t>
  </si>
  <si>
    <t>Average</t>
  </si>
  <si>
    <t>Mean Chord Length Reflektor dan Bg</t>
  </si>
  <si>
    <t>Bg</t>
  </si>
  <si>
    <t>Mol Komponen</t>
  </si>
  <si>
    <t>Fraksi Mol</t>
  </si>
  <si>
    <t>BOC</t>
  </si>
  <si>
    <t>Axial Power Density of Best Design (varhd3)</t>
  </si>
  <si>
    <t>varfuel14</t>
  </si>
  <si>
    <t>EO4C</t>
  </si>
  <si>
    <t>Volume BBN tiap Node</t>
  </si>
  <si>
    <t>Fraksi BBN di Node</t>
  </si>
  <si>
    <t>Untuk HIST</t>
  </si>
  <si>
    <t>Awal Tahun Ke-0</t>
  </si>
  <si>
    <t>Akhir Tahun Ke-1</t>
  </si>
  <si>
    <t>Akhir Tahun Ke-3</t>
  </si>
  <si>
    <t>Akhir Tahun Ke-5</t>
  </si>
  <si>
    <t>Akhir Tahun Ke-7</t>
  </si>
  <si>
    <t>115 cm</t>
  </si>
  <si>
    <t>140 cm</t>
  </si>
  <si>
    <t>165 cm</t>
  </si>
  <si>
    <t>190 cm</t>
  </si>
  <si>
    <t>215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</si>
</sst>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0E+00"/>
    <numFmt numFmtId="165" formatCode="0.00000E+00"/>
    <numFmt numFmtId="166" formatCode="0.000"/>
    <numFmt numFmtId="167" formatCode="0.0000000"/>
    <numFmt numFmtId="168" formatCode="0.00000000"/>
    <numFmt numFmtId="169" formatCode="0.000000000000"/>
    <numFmt numFmtId="170" formatCode="0.000000"/>
    <numFmt numFmtId="171" formatCode="0.0000E+00"/>
    <numFmt numFmtId="172" formatCode="0.0000000000"/>
    <numFmt numFmtId="173" formatCode="0.000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  <font>
      <b/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11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/>
    <xf numFmtId="164" fontId="0" fillId="0" borderId="1" xfId="0" applyNumberFormat="1" applyBorder="1"/>
    <xf numFmtId="0" fontId="1" fillId="0" borderId="1" xfId="0" applyFont="1" applyBorder="1" applyAlignment="1"/>
    <xf numFmtId="0" fontId="1" fillId="0" borderId="0" xfId="0" applyFont="1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0" fillId="0" borderId="14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165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Border="1" applyAlignment="1">
      <alignment horizontal="center" vertical="center"/>
    </xf>
    <xf numFmtId="9" fontId="1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0" fontId="0" fillId="3" borderId="0" xfId="0" applyFill="1"/>
    <xf numFmtId="166" fontId="0" fillId="0" borderId="1" xfId="0" applyNumberFormat="1" applyBorder="1"/>
    <xf numFmtId="0" fontId="0" fillId="5" borderId="0" xfId="0" applyFill="1"/>
    <xf numFmtId="0" fontId="3" fillId="0" borderId="1" xfId="0" applyFont="1" applyBorder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1" fillId="0" borderId="1" xfId="0" applyFont="1" applyBorder="1" applyAlignment="1">
      <alignment horizontal="center"/>
    </xf>
    <xf numFmtId="168" fontId="0" fillId="0" borderId="1" xfId="0" applyNumberFormat="1" applyBorder="1"/>
    <xf numFmtId="169" fontId="0" fillId="3" borderId="1" xfId="0" applyNumberForma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0" xfId="0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1" fontId="0" fillId="0" borderId="0" xfId="0" applyNumberFormat="1"/>
    <xf numFmtId="170" fontId="0" fillId="0" borderId="1" xfId="0" applyNumberFormat="1" applyFill="1" applyBorder="1"/>
    <xf numFmtId="170" fontId="0" fillId="0" borderId="0" xfId="0" applyNumberFormat="1" applyFill="1"/>
    <xf numFmtId="167" fontId="0" fillId="3" borderId="1" xfId="0" applyNumberFormat="1" applyFill="1" applyBorder="1"/>
    <xf numFmtId="167" fontId="0" fillId="0" borderId="1" xfId="0" applyNumberFormat="1" applyFill="1" applyBorder="1"/>
    <xf numFmtId="169" fontId="0" fillId="0" borderId="1" xfId="0" applyNumberFormat="1" applyFill="1" applyBorder="1"/>
    <xf numFmtId="167" fontId="0" fillId="0" borderId="0" xfId="0" applyNumberFormat="1" applyFill="1"/>
    <xf numFmtId="0" fontId="0" fillId="0" borderId="6" xfId="0" applyBorder="1"/>
    <xf numFmtId="0" fontId="0" fillId="0" borderId="7" xfId="0" applyBorder="1"/>
    <xf numFmtId="0" fontId="0" fillId="0" borderId="15" xfId="0" applyBorder="1"/>
    <xf numFmtId="0" fontId="0" fillId="0" borderId="9" xfId="0" applyBorder="1"/>
    <xf numFmtId="0" fontId="0" fillId="0" borderId="0" xfId="0" applyFill="1" applyBorder="1"/>
    <xf numFmtId="0" fontId="0" fillId="0" borderId="8" xfId="0" applyFill="1" applyBorder="1"/>
    <xf numFmtId="0" fontId="0" fillId="0" borderId="12" xfId="0" applyFill="1" applyBorder="1"/>
    <xf numFmtId="0" fontId="0" fillId="0" borderId="10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12" xfId="0" applyFill="1" applyBorder="1"/>
    <xf numFmtId="0" fontId="0" fillId="3" borderId="8" xfId="0" applyFill="1" applyBorder="1"/>
    <xf numFmtId="0" fontId="0" fillId="3" borderId="10" xfId="0" applyFill="1" applyBorder="1"/>
    <xf numFmtId="0" fontId="0" fillId="6" borderId="7" xfId="0" applyFill="1" applyBorder="1"/>
    <xf numFmtId="0" fontId="0" fillId="6" borderId="0" xfId="0" applyFill="1" applyBorder="1"/>
    <xf numFmtId="0" fontId="0" fillId="6" borderId="8" xfId="0" applyFill="1" applyBorder="1"/>
    <xf numFmtId="0" fontId="0" fillId="6" borderId="12" xfId="0" applyFill="1" applyBorder="1"/>
    <xf numFmtId="0" fontId="0" fillId="6" borderId="1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5" xfId="0" applyFill="1" applyBorder="1"/>
    <xf numFmtId="0" fontId="0" fillId="0" borderId="9" xfId="0" applyFill="1" applyBorder="1"/>
    <xf numFmtId="0" fontId="0" fillId="0" borderId="11" xfId="0" applyFill="1" applyBorder="1"/>
    <xf numFmtId="0" fontId="0" fillId="0" borderId="1" xfId="0" applyNumberFormat="1" applyFill="1" applyBorder="1"/>
    <xf numFmtId="0" fontId="1" fillId="0" borderId="1" xfId="0" applyFont="1" applyBorder="1" applyAlignment="1">
      <alignment horizontal="center" vertical="center"/>
    </xf>
    <xf numFmtId="0" fontId="0" fillId="7" borderId="0" xfId="0" applyFill="1" applyBorder="1"/>
    <xf numFmtId="0" fontId="0" fillId="0" borderId="1" xfId="0" applyFont="1" applyFill="1" applyBorder="1" applyAlignment="1">
      <alignment horizontal="right" vertical="center"/>
    </xf>
    <xf numFmtId="0" fontId="0" fillId="0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12" xfId="0" applyNumberFormat="1" applyFill="1" applyBorder="1"/>
    <xf numFmtId="0" fontId="0" fillId="0" borderId="0" xfId="0" applyNumberFormat="1" applyFill="1" applyBorder="1"/>
    <xf numFmtId="0" fontId="1" fillId="0" borderId="12" xfId="0" applyFont="1" applyFill="1" applyBorder="1" applyAlignment="1">
      <alignment horizontal="center"/>
    </xf>
    <xf numFmtId="0" fontId="1" fillId="0" borderId="0" xfId="0" applyFont="1"/>
    <xf numFmtId="2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6" fontId="0" fillId="0" borderId="1" xfId="0" applyNumberFormat="1" applyFill="1" applyBorder="1"/>
    <xf numFmtId="167" fontId="0" fillId="0" borderId="0" xfId="0" applyNumberFormat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5" fillId="0" borderId="1" xfId="0" applyFont="1" applyBorder="1"/>
    <xf numFmtId="0" fontId="0" fillId="0" borderId="1" xfId="0" applyBorder="1" applyAlignment="1">
      <alignment vertical="center"/>
    </xf>
    <xf numFmtId="168" fontId="0" fillId="0" borderId="0" xfId="0" applyNumberFormat="1"/>
    <xf numFmtId="0" fontId="1" fillId="0" borderId="1" xfId="0" applyFont="1" applyBorder="1" applyAlignment="1">
      <alignment horizontal="left"/>
    </xf>
    <xf numFmtId="167" fontId="0" fillId="0" borderId="1" xfId="0" applyNumberFormat="1" applyBorder="1"/>
    <xf numFmtId="11" fontId="0" fillId="0" borderId="1" xfId="0" applyNumberFormat="1" applyFill="1" applyBorder="1"/>
    <xf numFmtId="170" fontId="0" fillId="0" borderId="1" xfId="0" applyNumberFormat="1" applyBorder="1"/>
    <xf numFmtId="0" fontId="0" fillId="0" borderId="1" xfId="0" applyFont="1" applyBorder="1" applyAlignment="1">
      <alignment horizontal="right" vertical="center"/>
    </xf>
    <xf numFmtId="0" fontId="0" fillId="0" borderId="3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11" fontId="0" fillId="0" borderId="1" xfId="0" applyNumberFormat="1" applyFont="1" applyBorder="1" applyAlignment="1">
      <alignment horizontal="right"/>
    </xf>
    <xf numFmtId="11" fontId="0" fillId="0" borderId="1" xfId="0" applyNumberFormat="1" applyFont="1" applyBorder="1" applyAlignment="1"/>
    <xf numFmtId="0" fontId="0" fillId="0" borderId="1" xfId="0" applyNumberFormat="1" applyFont="1" applyFill="1" applyBorder="1" applyAlignment="1">
      <alignment horizontal="right"/>
    </xf>
    <xf numFmtId="0" fontId="0" fillId="0" borderId="3" xfId="0" applyNumberFormat="1" applyFont="1" applyFill="1" applyBorder="1" applyAlignment="1">
      <alignment horizontal="right"/>
    </xf>
    <xf numFmtId="11" fontId="0" fillId="0" borderId="1" xfId="0" applyNumberFormat="1" applyFont="1" applyFill="1" applyBorder="1" applyAlignment="1"/>
    <xf numFmtId="11" fontId="0" fillId="0" borderId="1" xfId="0" applyNumberFormat="1" applyFont="1" applyFill="1" applyBorder="1" applyAlignment="1">
      <alignment horizontal="right"/>
    </xf>
    <xf numFmtId="0" fontId="0" fillId="0" borderId="0" xfId="0" applyNumberFormat="1" applyBorder="1"/>
    <xf numFmtId="0" fontId="0" fillId="0" borderId="0" xfId="0" applyFill="1"/>
    <xf numFmtId="0" fontId="0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8" borderId="1" xfId="0" applyFill="1" applyBorder="1"/>
    <xf numFmtId="0" fontId="0" fillId="9" borderId="1" xfId="0" applyFill="1" applyBorder="1"/>
    <xf numFmtId="0" fontId="1" fillId="0" borderId="1" xfId="0" applyFont="1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Fill="1" applyBorder="1" applyAlignment="1">
      <alignment vertical="center"/>
    </xf>
    <xf numFmtId="0" fontId="0" fillId="4" borderId="1" xfId="0" applyFont="1" applyFill="1" applyBorder="1" applyAlignment="1">
      <alignment horizontal="right" vertical="center"/>
    </xf>
    <xf numFmtId="169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0" fontId="1" fillId="4" borderId="1" xfId="0" applyFont="1" applyFill="1" applyBorder="1" applyAlignment="1">
      <alignment horizontal="center" vertical="center"/>
    </xf>
    <xf numFmtId="167" fontId="0" fillId="0" borderId="1" xfId="0" applyNumberFormat="1" applyFont="1" applyBorder="1"/>
    <xf numFmtId="167" fontId="6" fillId="0" borderId="1" xfId="0" applyNumberFormat="1" applyFont="1" applyFill="1" applyBorder="1"/>
    <xf numFmtId="170" fontId="6" fillId="0" borderId="1" xfId="0" applyNumberFormat="1" applyFont="1" applyFill="1" applyBorder="1"/>
    <xf numFmtId="171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164" fontId="0" fillId="0" borderId="7" xfId="0" applyNumberFormat="1" applyBorder="1"/>
    <xf numFmtId="0" fontId="1" fillId="3" borderId="1" xfId="0" applyFont="1" applyFill="1" applyBorder="1" applyAlignment="1">
      <alignment horizontal="center" vertical="center"/>
    </xf>
    <xf numFmtId="4" fontId="0" fillId="0" borderId="1" xfId="0" applyNumberFormat="1" applyFont="1" applyBorder="1"/>
    <xf numFmtId="4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0" borderId="1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8" fontId="0" fillId="0" borderId="14" xfId="0" applyNumberFormat="1" applyFont="1" applyFill="1" applyBorder="1" applyAlignment="1">
      <alignment horizontal="center" vertical="center"/>
    </xf>
    <xf numFmtId="168" fontId="0" fillId="0" borderId="2" xfId="0" applyNumberFormat="1" applyFont="1" applyFill="1" applyBorder="1" applyAlignment="1">
      <alignment horizontal="center" vertical="center"/>
    </xf>
    <xf numFmtId="168" fontId="0" fillId="0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8" fontId="0" fillId="0" borderId="3" xfId="0" applyNumberForma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73" fontId="0" fillId="0" borderId="1" xfId="0" applyNumberFormat="1" applyBorder="1" applyAlignment="1">
      <alignment horizontal="center"/>
    </xf>
    <xf numFmtId="172" fontId="0" fillId="0" borderId="1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4" borderId="1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Hasil!$H$8</c:f>
              <c:strCache>
                <c:ptCount val="1"/>
                <c:pt idx="0">
                  <c:v>Benchmark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Hasil!$G$9:$G$73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Hasil!$H$9:$H$73</c:f>
              <c:numCache>
                <c:formatCode>General</c:formatCode>
                <c:ptCount val="65"/>
                <c:pt idx="0">
                  <c:v>1.1035820999999999</c:v>
                </c:pt>
                <c:pt idx="1">
                  <c:v>1.0720516</c:v>
                </c:pt>
                <c:pt idx="2">
                  <c:v>1.0714644</c:v>
                </c:pt>
                <c:pt idx="3">
                  <c:v>1.0695281999999999</c:v>
                </c:pt>
                <c:pt idx="4">
                  <c:v>1.0671405</c:v>
                </c:pt>
                <c:pt idx="5">
                  <c:v>1.0629377</c:v>
                </c:pt>
                <c:pt idx="6">
                  <c:v>1.0602526999999999</c:v>
                </c:pt>
                <c:pt idx="7">
                  <c:v>1.0544766999999999</c:v>
                </c:pt>
                <c:pt idx="8">
                  <c:v>1.0504937999999999</c:v>
                </c:pt>
                <c:pt idx="9">
                  <c:v>1.0487412</c:v>
                </c:pt>
                <c:pt idx="10">
                  <c:v>1.0501573</c:v>
                </c:pt>
                <c:pt idx="11">
                  <c:v>1.0563487</c:v>
                </c:pt>
                <c:pt idx="12">
                  <c:v>1.0669028</c:v>
                </c:pt>
                <c:pt idx="13">
                  <c:v>1.0802451</c:v>
                </c:pt>
                <c:pt idx="14">
                  <c:v>1.0899519</c:v>
                </c:pt>
                <c:pt idx="15">
                  <c:v>1.0890678</c:v>
                </c:pt>
                <c:pt idx="16">
                  <c:v>1.0850519000000001</c:v>
                </c:pt>
                <c:pt idx="17">
                  <c:v>1.0851443000000001</c:v>
                </c:pt>
                <c:pt idx="18">
                  <c:v>1.0796911</c:v>
                </c:pt>
                <c:pt idx="19">
                  <c:v>1.0745792000000001</c:v>
                </c:pt>
                <c:pt idx="20">
                  <c:v>1.0712229</c:v>
                </c:pt>
                <c:pt idx="21">
                  <c:v>1.0697478</c:v>
                </c:pt>
                <c:pt idx="22">
                  <c:v>1.0698274000000001</c:v>
                </c:pt>
                <c:pt idx="23">
                  <c:v>1.0695101</c:v>
                </c:pt>
                <c:pt idx="24">
                  <c:v>1.0673044</c:v>
                </c:pt>
                <c:pt idx="25">
                  <c:v>1.0648493999999999</c:v>
                </c:pt>
                <c:pt idx="26">
                  <c:v>1.0614775000000001</c:v>
                </c:pt>
                <c:pt idx="27">
                  <c:v>1.0575437999999999</c:v>
                </c:pt>
                <c:pt idx="28">
                  <c:v>1.0540456</c:v>
                </c:pt>
                <c:pt idx="29">
                  <c:v>1.0503513</c:v>
                </c:pt>
                <c:pt idx="30">
                  <c:v>1.0474490000000001</c:v>
                </c:pt>
                <c:pt idx="31">
                  <c:v>1.0447061</c:v>
                </c:pt>
                <c:pt idx="32">
                  <c:v>1.0425732000000001</c:v>
                </c:pt>
                <c:pt idx="33">
                  <c:v>1.0401376</c:v>
                </c:pt>
                <c:pt idx="34">
                  <c:v>1.0378569</c:v>
                </c:pt>
                <c:pt idx="35">
                  <c:v>1.0353406999999999</c:v>
                </c:pt>
                <c:pt idx="36">
                  <c:v>1.0330321</c:v>
                </c:pt>
                <c:pt idx="37">
                  <c:v>1.0311634999999999</c:v>
                </c:pt>
                <c:pt idx="38">
                  <c:v>1.0291526</c:v>
                </c:pt>
                <c:pt idx="39">
                  <c:v>1.0268739</c:v>
                </c:pt>
                <c:pt idx="40">
                  <c:v>1.0250367</c:v>
                </c:pt>
                <c:pt idx="41">
                  <c:v>1.0250587</c:v>
                </c:pt>
                <c:pt idx="42">
                  <c:v>1.0225519000000001</c:v>
                </c:pt>
                <c:pt idx="43">
                  <c:v>1.020472</c:v>
                </c:pt>
                <c:pt idx="44">
                  <c:v>1.0181636000000001</c:v>
                </c:pt>
                <c:pt idx="45">
                  <c:v>1.0158895999999999</c:v>
                </c:pt>
                <c:pt idx="46">
                  <c:v>1.0137388000000001</c:v>
                </c:pt>
                <c:pt idx="47">
                  <c:v>1.0113713</c:v>
                </c:pt>
                <c:pt idx="48">
                  <c:v>1.0090014</c:v>
                </c:pt>
                <c:pt idx="49">
                  <c:v>1.0065010000000001</c:v>
                </c:pt>
                <c:pt idx="50">
                  <c:v>1.0039393000000001</c:v>
                </c:pt>
                <c:pt idx="51">
                  <c:v>1.0015129</c:v>
                </c:pt>
                <c:pt idx="52">
                  <c:v>0.99908710000000001</c:v>
                </c:pt>
                <c:pt idx="53">
                  <c:v>0.99624159999999995</c:v>
                </c:pt>
                <c:pt idx="54">
                  <c:v>0.9936526</c:v>
                </c:pt>
                <c:pt idx="55">
                  <c:v>0.99117449999999996</c:v>
                </c:pt>
                <c:pt idx="56">
                  <c:v>0.9884406</c:v>
                </c:pt>
                <c:pt idx="57">
                  <c:v>0.98535010000000001</c:v>
                </c:pt>
                <c:pt idx="58">
                  <c:v>0.98233159999999997</c:v>
                </c:pt>
                <c:pt idx="59">
                  <c:v>0.97935530000000004</c:v>
                </c:pt>
                <c:pt idx="60">
                  <c:v>0.97600469999999995</c:v>
                </c:pt>
                <c:pt idx="61">
                  <c:v>0.97261629999999999</c:v>
                </c:pt>
                <c:pt idx="62">
                  <c:v>0.96926179999999995</c:v>
                </c:pt>
                <c:pt idx="63">
                  <c:v>0.96584119999999996</c:v>
                </c:pt>
                <c:pt idx="64">
                  <c:v>0.96243809999999996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Hasil!$I$8</c:f>
              <c:strCache>
                <c:ptCount val="1"/>
                <c:pt idx="0">
                  <c:v>115 cm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Hasil!$G$9:$G$73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Hasil!$I$9:$I$73</c:f>
              <c:numCache>
                <c:formatCode>0.0000000</c:formatCode>
                <c:ptCount val="65"/>
                <c:pt idx="0">
                  <c:v>1.0972325000000001</c:v>
                </c:pt>
                <c:pt idx="1">
                  <c:v>1.0891244</c:v>
                </c:pt>
                <c:pt idx="2">
                  <c:v>1.0890249000000001</c:v>
                </c:pt>
                <c:pt idx="3">
                  <c:v>1.0883054999999999</c:v>
                </c:pt>
                <c:pt idx="4">
                  <c:v>1.0872067000000001</c:v>
                </c:pt>
                <c:pt idx="5">
                  <c:v>1.0855448000000001</c:v>
                </c:pt>
                <c:pt idx="6">
                  <c:v>1.0833404</c:v>
                </c:pt>
                <c:pt idx="7">
                  <c:v>1.0791999000000001</c:v>
                </c:pt>
                <c:pt idx="8">
                  <c:v>1.0745305999999999</c:v>
                </c:pt>
                <c:pt idx="9">
                  <c:v>1.0724336000000001</c:v>
                </c:pt>
                <c:pt idx="10">
                  <c:v>1.0682548000000001</c:v>
                </c:pt>
                <c:pt idx="11">
                  <c:v>1.0667909</c:v>
                </c:pt>
                <c:pt idx="12">
                  <c:v>1.0625198</c:v>
                </c:pt>
                <c:pt idx="13">
                  <c:v>1.062039</c:v>
                </c:pt>
                <c:pt idx="14">
                  <c:v>1.0580182</c:v>
                </c:pt>
                <c:pt idx="15">
                  <c:v>1.0581934</c:v>
                </c:pt>
                <c:pt idx="16">
                  <c:v>1.0549674</c:v>
                </c:pt>
                <c:pt idx="17">
                  <c:v>1.0510520000000001</c:v>
                </c:pt>
                <c:pt idx="18">
                  <c:v>1.0484993</c:v>
                </c:pt>
                <c:pt idx="19">
                  <c:v>1.0457702</c:v>
                </c:pt>
                <c:pt idx="20">
                  <c:v>1.0432944</c:v>
                </c:pt>
                <c:pt idx="21">
                  <c:v>1.0408716</c:v>
                </c:pt>
                <c:pt idx="22">
                  <c:v>1.0387944</c:v>
                </c:pt>
                <c:pt idx="23">
                  <c:v>1.0365435999999999</c:v>
                </c:pt>
                <c:pt idx="24">
                  <c:v>1.0342115999999999</c:v>
                </c:pt>
                <c:pt idx="25">
                  <c:v>1.0320530999999999</c:v>
                </c:pt>
                <c:pt idx="26">
                  <c:v>1.0299590000000001</c:v>
                </c:pt>
                <c:pt idx="27">
                  <c:v>1.0279038</c:v>
                </c:pt>
                <c:pt idx="28">
                  <c:v>1.0258647000000001</c:v>
                </c:pt>
                <c:pt idx="29">
                  <c:v>1.0236331000000001</c:v>
                </c:pt>
                <c:pt idx="30">
                  <c:v>1.0216168000000001</c:v>
                </c:pt>
                <c:pt idx="31">
                  <c:v>1.0197195999999999</c:v>
                </c:pt>
                <c:pt idx="32">
                  <c:v>1.0177529999999999</c:v>
                </c:pt>
                <c:pt idx="33">
                  <c:v>1.0158605999999999</c:v>
                </c:pt>
                <c:pt idx="34">
                  <c:v>1.0139412999999999</c:v>
                </c:pt>
                <c:pt idx="35">
                  <c:v>1.0120876000000001</c:v>
                </c:pt>
                <c:pt idx="36">
                  <c:v>1.0102222999999999</c:v>
                </c:pt>
                <c:pt idx="37">
                  <c:v>1.0083930000000001</c:v>
                </c:pt>
                <c:pt idx="38">
                  <c:v>1.0065565000000001</c:v>
                </c:pt>
                <c:pt idx="39">
                  <c:v>1.0047493999999999</c:v>
                </c:pt>
                <c:pt idx="40">
                  <c:v>1.0029224999999999</c:v>
                </c:pt>
                <c:pt idx="41">
                  <c:v>1.0021131999999999</c:v>
                </c:pt>
                <c:pt idx="42">
                  <c:v>1.0002359999999999</c:v>
                </c:pt>
                <c:pt idx="43">
                  <c:v>0.99854609999999999</c:v>
                </c:pt>
                <c:pt idx="44">
                  <c:v>0.99678279999999997</c:v>
                </c:pt>
                <c:pt idx="45">
                  <c:v>0.9950871</c:v>
                </c:pt>
                <c:pt idx="46">
                  <c:v>0.99336729999999995</c:v>
                </c:pt>
                <c:pt idx="47">
                  <c:v>0.99167190000000005</c:v>
                </c:pt>
                <c:pt idx="48">
                  <c:v>0.98998339999999996</c:v>
                </c:pt>
                <c:pt idx="49">
                  <c:v>0.98831089999999999</c:v>
                </c:pt>
                <c:pt idx="50">
                  <c:v>0.98663909999999999</c:v>
                </c:pt>
                <c:pt idx="51">
                  <c:v>0.98498110000000005</c:v>
                </c:pt>
                <c:pt idx="52">
                  <c:v>0.98333020000000004</c:v>
                </c:pt>
                <c:pt idx="53">
                  <c:v>0.98140689999999997</c:v>
                </c:pt>
                <c:pt idx="54">
                  <c:v>0.97978279999999995</c:v>
                </c:pt>
                <c:pt idx="55">
                  <c:v>0.97818260000000001</c:v>
                </c:pt>
                <c:pt idx="56">
                  <c:v>0.97657890000000003</c:v>
                </c:pt>
                <c:pt idx="57">
                  <c:v>0.97499590000000003</c:v>
                </c:pt>
                <c:pt idx="58">
                  <c:v>0.97342189999999995</c:v>
                </c:pt>
                <c:pt idx="59">
                  <c:v>0.97184780000000004</c:v>
                </c:pt>
                <c:pt idx="60">
                  <c:v>0.97028099999999995</c:v>
                </c:pt>
                <c:pt idx="61">
                  <c:v>0.96871439999999998</c:v>
                </c:pt>
                <c:pt idx="62">
                  <c:v>0.96714880000000003</c:v>
                </c:pt>
                <c:pt idx="63">
                  <c:v>0.96558679999999997</c:v>
                </c:pt>
                <c:pt idx="64">
                  <c:v>0.96404939999999995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Hasil!$J$8</c:f>
              <c:strCache>
                <c:ptCount val="1"/>
                <c:pt idx="0">
                  <c:v>140 cm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Hasil!$G$9:$G$73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Hasil!$J$9:$J$73</c:f>
              <c:numCache>
                <c:formatCode>0.0000000</c:formatCode>
                <c:ptCount val="65"/>
                <c:pt idx="0">
                  <c:v>1.0651698999999999</c:v>
                </c:pt>
                <c:pt idx="1">
                  <c:v>1.0569284000000001</c:v>
                </c:pt>
                <c:pt idx="2">
                  <c:v>1.0569109999999999</c:v>
                </c:pt>
                <c:pt idx="3">
                  <c:v>1.056173</c:v>
                </c:pt>
                <c:pt idx="4">
                  <c:v>1.0553128000000001</c:v>
                </c:pt>
                <c:pt idx="5">
                  <c:v>1.0535201999999999</c:v>
                </c:pt>
                <c:pt idx="6">
                  <c:v>1.0519212</c:v>
                </c:pt>
                <c:pt idx="7">
                  <c:v>1.0480632999999999</c:v>
                </c:pt>
                <c:pt idx="8">
                  <c:v>1.0451106999999999</c:v>
                </c:pt>
                <c:pt idx="9">
                  <c:v>1.042645</c:v>
                </c:pt>
                <c:pt idx="10">
                  <c:v>1.0405549999999999</c:v>
                </c:pt>
                <c:pt idx="11">
                  <c:v>1.0387831999999999</c:v>
                </c:pt>
                <c:pt idx="12">
                  <c:v>1.0372189999999999</c:v>
                </c:pt>
                <c:pt idx="13">
                  <c:v>1.0358862</c:v>
                </c:pt>
                <c:pt idx="14">
                  <c:v>1.0347837</c:v>
                </c:pt>
                <c:pt idx="15">
                  <c:v>1.0338202999999999</c:v>
                </c:pt>
                <c:pt idx="16">
                  <c:v>1.0329592000000001</c:v>
                </c:pt>
                <c:pt idx="17">
                  <c:v>1.0329440000000001</c:v>
                </c:pt>
                <c:pt idx="18">
                  <c:v>1.0322229999999999</c:v>
                </c:pt>
                <c:pt idx="19">
                  <c:v>1.0315558</c:v>
                </c:pt>
                <c:pt idx="20">
                  <c:v>1.0311612999999999</c:v>
                </c:pt>
                <c:pt idx="21">
                  <c:v>1.0305797000000001</c:v>
                </c:pt>
                <c:pt idx="22">
                  <c:v>1.0303415</c:v>
                </c:pt>
                <c:pt idx="23">
                  <c:v>1.0298518999999999</c:v>
                </c:pt>
                <c:pt idx="24">
                  <c:v>1.0294247999999999</c:v>
                </c:pt>
                <c:pt idx="25">
                  <c:v>1.0291454</c:v>
                </c:pt>
                <c:pt idx="26">
                  <c:v>1.0284078999999999</c:v>
                </c:pt>
                <c:pt idx="27">
                  <c:v>1.0279651999999999</c:v>
                </c:pt>
                <c:pt idx="28">
                  <c:v>1.0272859000000001</c:v>
                </c:pt>
                <c:pt idx="29">
                  <c:v>1.0264165000000001</c:v>
                </c:pt>
                <c:pt idx="30">
                  <c:v>1.0255955000000001</c:v>
                </c:pt>
                <c:pt idx="31">
                  <c:v>1.0246606</c:v>
                </c:pt>
                <c:pt idx="32">
                  <c:v>1.0236708000000001</c:v>
                </c:pt>
                <c:pt idx="33">
                  <c:v>1.0227174999999999</c:v>
                </c:pt>
                <c:pt idx="34">
                  <c:v>1.0215828</c:v>
                </c:pt>
                <c:pt idx="35">
                  <c:v>1.0205556</c:v>
                </c:pt>
                <c:pt idx="36">
                  <c:v>1.0194755</c:v>
                </c:pt>
                <c:pt idx="37">
                  <c:v>1.0182435999999999</c:v>
                </c:pt>
                <c:pt idx="38">
                  <c:v>1.0171592</c:v>
                </c:pt>
                <c:pt idx="39">
                  <c:v>1.0159446999999999</c:v>
                </c:pt>
                <c:pt idx="40">
                  <c:v>1.0147299000000001</c:v>
                </c:pt>
                <c:pt idx="41">
                  <c:v>1.0147389</c:v>
                </c:pt>
                <c:pt idx="42">
                  <c:v>1.0134808</c:v>
                </c:pt>
                <c:pt idx="43">
                  <c:v>1.0123053</c:v>
                </c:pt>
                <c:pt idx="44">
                  <c:v>1.0110208000000001</c:v>
                </c:pt>
                <c:pt idx="45">
                  <c:v>1.0099355000000001</c:v>
                </c:pt>
                <c:pt idx="46">
                  <c:v>1.0086155000000001</c:v>
                </c:pt>
                <c:pt idx="47">
                  <c:v>1.0075027000000001</c:v>
                </c:pt>
                <c:pt idx="48">
                  <c:v>1.0060477000000001</c:v>
                </c:pt>
                <c:pt idx="49">
                  <c:v>1.0051916999999999</c:v>
                </c:pt>
                <c:pt idx="50">
                  <c:v>1.0033570999999999</c:v>
                </c:pt>
                <c:pt idx="51">
                  <c:v>1.0029124</c:v>
                </c:pt>
                <c:pt idx="52">
                  <c:v>1.0007241</c:v>
                </c:pt>
                <c:pt idx="53">
                  <c:v>1.0012013</c:v>
                </c:pt>
                <c:pt idx="54">
                  <c:v>0.99793290000000001</c:v>
                </c:pt>
                <c:pt idx="55">
                  <c:v>1.0009512</c:v>
                </c:pt>
                <c:pt idx="56">
                  <c:v>0.99744809999999995</c:v>
                </c:pt>
                <c:pt idx="57">
                  <c:v>0.99965749999999998</c:v>
                </c:pt>
                <c:pt idx="58">
                  <c:v>0.99530540000000001</c:v>
                </c:pt>
                <c:pt idx="59">
                  <c:v>0.99685460000000004</c:v>
                </c:pt>
                <c:pt idx="60">
                  <c:v>0.99265579999999998</c:v>
                </c:pt>
                <c:pt idx="61">
                  <c:v>0.99379799999999996</c:v>
                </c:pt>
                <c:pt idx="62">
                  <c:v>0.9899078</c:v>
                </c:pt>
                <c:pt idx="63">
                  <c:v>0.99073710000000004</c:v>
                </c:pt>
                <c:pt idx="64">
                  <c:v>0.98697480000000004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Hasil!$K$8</c:f>
              <c:strCache>
                <c:ptCount val="1"/>
                <c:pt idx="0">
                  <c:v>165 cm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Hasil!$G$9:$G$73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Hasil!$K$9:$K$73</c:f>
              <c:numCache>
                <c:formatCode>0.0000000</c:formatCode>
                <c:ptCount val="65"/>
                <c:pt idx="0">
                  <c:v>1.0745932</c:v>
                </c:pt>
                <c:pt idx="1">
                  <c:v>1.0656914</c:v>
                </c:pt>
                <c:pt idx="2">
                  <c:v>1.0656106000000001</c:v>
                </c:pt>
                <c:pt idx="3">
                  <c:v>1.0648196000000001</c:v>
                </c:pt>
                <c:pt idx="4">
                  <c:v>1.0638406</c:v>
                </c:pt>
                <c:pt idx="5">
                  <c:v>1.0618764999999999</c:v>
                </c:pt>
                <c:pt idx="6">
                  <c:v>1.0602205</c:v>
                </c:pt>
                <c:pt idx="7">
                  <c:v>1.0562358000000001</c:v>
                </c:pt>
                <c:pt idx="8">
                  <c:v>1.0532428</c:v>
                </c:pt>
                <c:pt idx="9">
                  <c:v>1.0508776</c:v>
                </c:pt>
                <c:pt idx="10">
                  <c:v>1.0489609</c:v>
                </c:pt>
                <c:pt idx="11">
                  <c:v>1.0474032</c:v>
                </c:pt>
                <c:pt idx="12">
                  <c:v>1.0461530999999999</c:v>
                </c:pt>
                <c:pt idx="13">
                  <c:v>1.0451379000000001</c:v>
                </c:pt>
                <c:pt idx="14">
                  <c:v>1.0442697000000001</c:v>
                </c:pt>
                <c:pt idx="15">
                  <c:v>1.0436566</c:v>
                </c:pt>
                <c:pt idx="16">
                  <c:v>1.0430387000000001</c:v>
                </c:pt>
                <c:pt idx="17">
                  <c:v>1.0430428</c:v>
                </c:pt>
                <c:pt idx="18">
                  <c:v>1.0426381</c:v>
                </c:pt>
                <c:pt idx="19">
                  <c:v>1.0421115000000001</c:v>
                </c:pt>
                <c:pt idx="20">
                  <c:v>1.0415988</c:v>
                </c:pt>
                <c:pt idx="21">
                  <c:v>1.0408980999999999</c:v>
                </c:pt>
                <c:pt idx="22">
                  <c:v>1.0400794</c:v>
                </c:pt>
                <c:pt idx="23">
                  <c:v>1.0391518</c:v>
                </c:pt>
                <c:pt idx="24">
                  <c:v>1.0381351000000001</c:v>
                </c:pt>
                <c:pt idx="25">
                  <c:v>1.0369192</c:v>
                </c:pt>
                <c:pt idx="26">
                  <c:v>1.0356278000000001</c:v>
                </c:pt>
                <c:pt idx="27">
                  <c:v>1.0344168</c:v>
                </c:pt>
                <c:pt idx="28">
                  <c:v>1.0332698</c:v>
                </c:pt>
                <c:pt idx="29">
                  <c:v>1.0317752</c:v>
                </c:pt>
                <c:pt idx="30">
                  <c:v>1.0304869000000001</c:v>
                </c:pt>
                <c:pt idx="31">
                  <c:v>1.0292337</c:v>
                </c:pt>
                <c:pt idx="32">
                  <c:v>1.0279588</c:v>
                </c:pt>
                <c:pt idx="33">
                  <c:v>1.0266869999999999</c:v>
                </c:pt>
                <c:pt idx="34">
                  <c:v>1.0253702</c:v>
                </c:pt>
                <c:pt idx="35">
                  <c:v>1.024044</c:v>
                </c:pt>
                <c:pt idx="36">
                  <c:v>1.0227782999999999</c:v>
                </c:pt>
                <c:pt idx="37">
                  <c:v>1.0214380000000001</c:v>
                </c:pt>
                <c:pt idx="38">
                  <c:v>1.0200549000000001</c:v>
                </c:pt>
                <c:pt idx="39">
                  <c:v>1.0187457</c:v>
                </c:pt>
                <c:pt idx="40">
                  <c:v>1.0173752</c:v>
                </c:pt>
                <c:pt idx="41">
                  <c:v>1.0173873</c:v>
                </c:pt>
                <c:pt idx="42">
                  <c:v>1.0160203000000001</c:v>
                </c:pt>
                <c:pt idx="43">
                  <c:v>1.0146637999999999</c:v>
                </c:pt>
                <c:pt idx="44">
                  <c:v>1.0133046999999999</c:v>
                </c:pt>
                <c:pt idx="45">
                  <c:v>1.0120106</c:v>
                </c:pt>
                <c:pt idx="46">
                  <c:v>1.0106820999999999</c:v>
                </c:pt>
                <c:pt idx="47">
                  <c:v>1.0094205000000001</c:v>
                </c:pt>
                <c:pt idx="48">
                  <c:v>1.008127</c:v>
                </c:pt>
                <c:pt idx="49">
                  <c:v>1.0068051</c:v>
                </c:pt>
                <c:pt idx="50">
                  <c:v>1.0055107999999999</c:v>
                </c:pt>
                <c:pt idx="51">
                  <c:v>1.0042127000000001</c:v>
                </c:pt>
                <c:pt idx="52">
                  <c:v>1.0029273000000001</c:v>
                </c:pt>
                <c:pt idx="53">
                  <c:v>1.0014189</c:v>
                </c:pt>
                <c:pt idx="54">
                  <c:v>1.0002622999999999</c:v>
                </c:pt>
                <c:pt idx="55">
                  <c:v>0.99881200000000003</c:v>
                </c:pt>
                <c:pt idx="56">
                  <c:v>0.99764600000000003</c:v>
                </c:pt>
                <c:pt idx="57">
                  <c:v>0.99633769999999999</c:v>
                </c:pt>
                <c:pt idx="58">
                  <c:v>0.99509420000000004</c:v>
                </c:pt>
                <c:pt idx="59">
                  <c:v>0.99395199999999995</c:v>
                </c:pt>
                <c:pt idx="60">
                  <c:v>0.99254730000000002</c:v>
                </c:pt>
                <c:pt idx="61">
                  <c:v>0.99136219999999997</c:v>
                </c:pt>
                <c:pt idx="62">
                  <c:v>0.99005889999999996</c:v>
                </c:pt>
                <c:pt idx="63">
                  <c:v>0.98900189999999999</c:v>
                </c:pt>
                <c:pt idx="64">
                  <c:v>0.98756820000000001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Hasil!$L$8</c:f>
              <c:strCache>
                <c:ptCount val="1"/>
                <c:pt idx="0">
                  <c:v>190 cm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Hasil!$G$9:$G$73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Hasil!$L$9:$L$73</c:f>
              <c:numCache>
                <c:formatCode>0.0000000</c:formatCode>
                <c:ptCount val="65"/>
                <c:pt idx="0">
                  <c:v>1.1578549</c:v>
                </c:pt>
                <c:pt idx="1">
                  <c:v>1.1491612</c:v>
                </c:pt>
                <c:pt idx="2">
                  <c:v>1.1490127000000001</c:v>
                </c:pt>
                <c:pt idx="3">
                  <c:v>1.1481367</c:v>
                </c:pt>
                <c:pt idx="4">
                  <c:v>1.1470545999999999</c:v>
                </c:pt>
                <c:pt idx="5">
                  <c:v>1.1448365</c:v>
                </c:pt>
                <c:pt idx="6">
                  <c:v>1.1426799999999999</c:v>
                </c:pt>
                <c:pt idx="7">
                  <c:v>1.1372156</c:v>
                </c:pt>
                <c:pt idx="8">
                  <c:v>1.1326643000000001</c:v>
                </c:pt>
                <c:pt idx="9">
                  <c:v>1.128582</c:v>
                </c:pt>
                <c:pt idx="10">
                  <c:v>1.1248484000000001</c:v>
                </c:pt>
                <c:pt idx="11">
                  <c:v>1.1213690999999999</c:v>
                </c:pt>
                <c:pt idx="12">
                  <c:v>1.1180760000000001</c:v>
                </c:pt>
                <c:pt idx="13">
                  <c:v>1.1149471</c:v>
                </c:pt>
                <c:pt idx="14">
                  <c:v>1.1119155999999999</c:v>
                </c:pt>
                <c:pt idx="15">
                  <c:v>1.1089850999999999</c:v>
                </c:pt>
                <c:pt idx="16">
                  <c:v>1.1061297999999999</c:v>
                </c:pt>
                <c:pt idx="17">
                  <c:v>1.1061312999999999</c:v>
                </c:pt>
                <c:pt idx="18">
                  <c:v>1.1033577999999999</c:v>
                </c:pt>
                <c:pt idx="19">
                  <c:v>1.1006575999999999</c:v>
                </c:pt>
                <c:pt idx="20">
                  <c:v>1.0980053999999999</c:v>
                </c:pt>
                <c:pt idx="21">
                  <c:v>1.0954064999999999</c:v>
                </c:pt>
                <c:pt idx="22">
                  <c:v>1.0928787</c:v>
                </c:pt>
                <c:pt idx="23">
                  <c:v>1.0903825</c:v>
                </c:pt>
                <c:pt idx="24">
                  <c:v>1.0879177</c:v>
                </c:pt>
                <c:pt idx="25">
                  <c:v>1.0854907</c:v>
                </c:pt>
                <c:pt idx="26">
                  <c:v>1.0831081</c:v>
                </c:pt>
                <c:pt idx="27">
                  <c:v>1.0807663999999999</c:v>
                </c:pt>
                <c:pt idx="28">
                  <c:v>1.0784412999999999</c:v>
                </c:pt>
                <c:pt idx="29">
                  <c:v>1.0757508</c:v>
                </c:pt>
                <c:pt idx="30">
                  <c:v>1.0734998</c:v>
                </c:pt>
                <c:pt idx="31">
                  <c:v>1.0712756999999999</c:v>
                </c:pt>
                <c:pt idx="32">
                  <c:v>1.0691127</c:v>
                </c:pt>
                <c:pt idx="33">
                  <c:v>1.0669337999999999</c:v>
                </c:pt>
                <c:pt idx="34">
                  <c:v>1.0647818</c:v>
                </c:pt>
                <c:pt idx="35">
                  <c:v>1.0626519000000001</c:v>
                </c:pt>
                <c:pt idx="36">
                  <c:v>1.0605514</c:v>
                </c:pt>
                <c:pt idx="37">
                  <c:v>1.0584747999999999</c:v>
                </c:pt>
                <c:pt idx="38">
                  <c:v>1.0564245000000001</c:v>
                </c:pt>
                <c:pt idx="39">
                  <c:v>1.0543933000000001</c:v>
                </c:pt>
                <c:pt idx="40">
                  <c:v>1.0523585</c:v>
                </c:pt>
                <c:pt idx="41">
                  <c:v>1.0523594999999999</c:v>
                </c:pt>
                <c:pt idx="42">
                  <c:v>1.0503762999999999</c:v>
                </c:pt>
                <c:pt idx="43">
                  <c:v>1.0484024000000001</c:v>
                </c:pt>
                <c:pt idx="44">
                  <c:v>1.046446</c:v>
                </c:pt>
                <c:pt idx="45">
                  <c:v>1.0445062000000001</c:v>
                </c:pt>
                <c:pt idx="46">
                  <c:v>1.0425800000000001</c:v>
                </c:pt>
                <c:pt idx="47">
                  <c:v>1.0406705999999999</c:v>
                </c:pt>
                <c:pt idx="48">
                  <c:v>1.0387739</c:v>
                </c:pt>
                <c:pt idx="49">
                  <c:v>1.0368952</c:v>
                </c:pt>
                <c:pt idx="50">
                  <c:v>1.0350447</c:v>
                </c:pt>
                <c:pt idx="51">
                  <c:v>1.0332074</c:v>
                </c:pt>
                <c:pt idx="52">
                  <c:v>1.0313882000000001</c:v>
                </c:pt>
                <c:pt idx="53">
                  <c:v>1.0292659</c:v>
                </c:pt>
                <c:pt idx="54">
                  <c:v>1.0274912</c:v>
                </c:pt>
                <c:pt idx="55">
                  <c:v>1.0256970000000001</c:v>
                </c:pt>
                <c:pt idx="56">
                  <c:v>1.0239201</c:v>
                </c:pt>
                <c:pt idx="57">
                  <c:v>1.0221562</c:v>
                </c:pt>
                <c:pt idx="58">
                  <c:v>1.0204089000000001</c:v>
                </c:pt>
                <c:pt idx="59">
                  <c:v>1.0186740000000001</c:v>
                </c:pt>
                <c:pt idx="60">
                  <c:v>1.0169512000000001</c:v>
                </c:pt>
                <c:pt idx="61">
                  <c:v>1.0152494000000001</c:v>
                </c:pt>
                <c:pt idx="62">
                  <c:v>1.0135622</c:v>
                </c:pt>
                <c:pt idx="63">
                  <c:v>1.0118788000000001</c:v>
                </c:pt>
                <c:pt idx="64">
                  <c:v>1.0102032000000001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Hasil!$M$8</c:f>
              <c:strCache>
                <c:ptCount val="1"/>
                <c:pt idx="0">
                  <c:v>215 cm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Hasil!$G$9:$G$73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Hasil!$M$9:$M$73</c:f>
              <c:numCache>
                <c:formatCode>0.0000000</c:formatCode>
                <c:ptCount val="65"/>
                <c:pt idx="0">
                  <c:v>1.1557086000000001</c:v>
                </c:pt>
                <c:pt idx="1">
                  <c:v>1.1475297</c:v>
                </c:pt>
                <c:pt idx="2">
                  <c:v>1.1473854999999999</c:v>
                </c:pt>
                <c:pt idx="3">
                  <c:v>1.1465783000000001</c:v>
                </c:pt>
                <c:pt idx="4">
                  <c:v>1.1455685</c:v>
                </c:pt>
                <c:pt idx="5">
                  <c:v>1.1435261999999999</c:v>
                </c:pt>
                <c:pt idx="6">
                  <c:v>1.1414598</c:v>
                </c:pt>
                <c:pt idx="7">
                  <c:v>1.1362422000000001</c:v>
                </c:pt>
                <c:pt idx="8">
                  <c:v>1.1318995999999999</c:v>
                </c:pt>
                <c:pt idx="9">
                  <c:v>1.1279437999999999</c:v>
                </c:pt>
                <c:pt idx="10">
                  <c:v>1.1243894000000001</c:v>
                </c:pt>
                <c:pt idx="11">
                  <c:v>1.121043</c:v>
                </c:pt>
                <c:pt idx="12">
                  <c:v>1.1178968</c:v>
                </c:pt>
                <c:pt idx="13">
                  <c:v>1.1149028999999999</c:v>
                </c:pt>
                <c:pt idx="14">
                  <c:v>1.1120422000000001</c:v>
                </c:pt>
                <c:pt idx="15">
                  <c:v>1.1092469</c:v>
                </c:pt>
                <c:pt idx="16">
                  <c:v>1.1065119999999999</c:v>
                </c:pt>
                <c:pt idx="17">
                  <c:v>1.1065102</c:v>
                </c:pt>
                <c:pt idx="18">
                  <c:v>1.1038581000000001</c:v>
                </c:pt>
                <c:pt idx="19">
                  <c:v>1.1012744999999999</c:v>
                </c:pt>
                <c:pt idx="20">
                  <c:v>1.0987231</c:v>
                </c:pt>
                <c:pt idx="21">
                  <c:v>1.0962297999999999</c:v>
                </c:pt>
                <c:pt idx="22">
                  <c:v>1.0937809000000001</c:v>
                </c:pt>
                <c:pt idx="23">
                  <c:v>1.0913656</c:v>
                </c:pt>
                <c:pt idx="24">
                  <c:v>1.0889979999999999</c:v>
                </c:pt>
                <c:pt idx="25">
                  <c:v>1.0866617000000001</c:v>
                </c:pt>
                <c:pt idx="26">
                  <c:v>1.0843596</c:v>
                </c:pt>
                <c:pt idx="27">
                  <c:v>1.0820939999999999</c:v>
                </c:pt>
                <c:pt idx="28">
                  <c:v>1.0798540000000001</c:v>
                </c:pt>
                <c:pt idx="29">
                  <c:v>1.0772549</c:v>
                </c:pt>
                <c:pt idx="30">
                  <c:v>1.0750678</c:v>
                </c:pt>
                <c:pt idx="31">
                  <c:v>1.0729179</c:v>
                </c:pt>
                <c:pt idx="32">
                  <c:v>1.0707924</c:v>
                </c:pt>
                <c:pt idx="33">
                  <c:v>1.0686823999999999</c:v>
                </c:pt>
                <c:pt idx="34">
                  <c:v>1.0665846000000001</c:v>
                </c:pt>
                <c:pt idx="35">
                  <c:v>1.0645100999999999</c:v>
                </c:pt>
                <c:pt idx="36">
                  <c:v>1.0624705999999999</c:v>
                </c:pt>
                <c:pt idx="37">
                  <c:v>1.0604746</c:v>
                </c:pt>
                <c:pt idx="38">
                  <c:v>1.0584742</c:v>
                </c:pt>
                <c:pt idx="39">
                  <c:v>1.0564872000000001</c:v>
                </c:pt>
                <c:pt idx="40">
                  <c:v>1.054494</c:v>
                </c:pt>
                <c:pt idx="41">
                  <c:v>1.0544906000000001</c:v>
                </c:pt>
                <c:pt idx="42">
                  <c:v>1.0525359000000001</c:v>
                </c:pt>
                <c:pt idx="43">
                  <c:v>1.0506039</c:v>
                </c:pt>
                <c:pt idx="44">
                  <c:v>1.0486968000000001</c:v>
                </c:pt>
                <c:pt idx="45">
                  <c:v>1.0468033999999999</c:v>
                </c:pt>
                <c:pt idx="46">
                  <c:v>1.0449145</c:v>
                </c:pt>
                <c:pt idx="47">
                  <c:v>1.0430356999999999</c:v>
                </c:pt>
                <c:pt idx="48">
                  <c:v>1.0411763999999999</c:v>
                </c:pt>
                <c:pt idx="49">
                  <c:v>1.0393448000000001</c:v>
                </c:pt>
                <c:pt idx="50">
                  <c:v>1.0375382</c:v>
                </c:pt>
                <c:pt idx="51">
                  <c:v>1.0357715000000001</c:v>
                </c:pt>
                <c:pt idx="52">
                  <c:v>1.0339784999999999</c:v>
                </c:pt>
                <c:pt idx="53">
                  <c:v>1.0318904</c:v>
                </c:pt>
                <c:pt idx="54">
                  <c:v>1.0301188999999999</c:v>
                </c:pt>
                <c:pt idx="55">
                  <c:v>1.0283629999999999</c:v>
                </c:pt>
                <c:pt idx="56">
                  <c:v>1.0266280999999999</c:v>
                </c:pt>
                <c:pt idx="57">
                  <c:v>1.0249033999999999</c:v>
                </c:pt>
                <c:pt idx="58">
                  <c:v>1.0231876</c:v>
                </c:pt>
                <c:pt idx="59">
                  <c:v>1.0214831</c:v>
                </c:pt>
                <c:pt idx="60">
                  <c:v>1.0197569</c:v>
                </c:pt>
                <c:pt idx="61">
                  <c:v>1.0180788000000001</c:v>
                </c:pt>
                <c:pt idx="62">
                  <c:v>1.0164044999999999</c:v>
                </c:pt>
                <c:pt idx="63">
                  <c:v>1.0147438</c:v>
                </c:pt>
                <c:pt idx="64">
                  <c:v>1.0131232999999999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43712"/>
        <c:axId val="367146432"/>
      </c:scatterChart>
      <c:valAx>
        <c:axId val="36714371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Tahun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67146432"/>
        <c:crosses val="autoZero"/>
        <c:crossBetween val="midCat"/>
        <c:majorUnit val="0.5"/>
      </c:valAx>
      <c:valAx>
        <c:axId val="36714643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K-Efektif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6714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Hasil!$W$8</c:f>
              <c:strCache>
                <c:ptCount val="1"/>
                <c:pt idx="0">
                  <c:v>Benchmark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Hasil!$V$9:$V$73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Hasil!$W$9:$W$73</c:f>
              <c:numCache>
                <c:formatCode>0.00E+00</c:formatCode>
                <c:ptCount val="65"/>
                <c:pt idx="0">
                  <c:v>0.45779999999999998</c:v>
                </c:pt>
                <c:pt idx="1">
                  <c:v>0.46750000000000003</c:v>
                </c:pt>
                <c:pt idx="2">
                  <c:v>0.46768999999999999</c:v>
                </c:pt>
                <c:pt idx="3">
                  <c:v>0.46812199999999998</c:v>
                </c:pt>
                <c:pt idx="4">
                  <c:v>0.46866799999999997</c:v>
                </c:pt>
                <c:pt idx="5">
                  <c:v>0.46968700000000002</c:v>
                </c:pt>
                <c:pt idx="6">
                  <c:v>0.47053800000000001</c:v>
                </c:pt>
                <c:pt idx="7">
                  <c:v>0.47313899999999998</c:v>
                </c:pt>
                <c:pt idx="8">
                  <c:v>0.476165</c:v>
                </c:pt>
                <c:pt idx="9">
                  <c:v>0.47926999999999997</c:v>
                </c:pt>
                <c:pt idx="10">
                  <c:v>0.481964</c:v>
                </c:pt>
                <c:pt idx="11">
                  <c:v>0.48386400000000002</c:v>
                </c:pt>
                <c:pt idx="12">
                  <c:v>0.48480299999999998</c:v>
                </c:pt>
                <c:pt idx="13">
                  <c:v>0.48515399999999997</c:v>
                </c:pt>
                <c:pt idx="14">
                  <c:v>0.48647699999999999</c:v>
                </c:pt>
                <c:pt idx="15">
                  <c:v>0.49041499999999999</c:v>
                </c:pt>
                <c:pt idx="16">
                  <c:v>0.494755</c:v>
                </c:pt>
                <c:pt idx="17">
                  <c:v>0.49478699999999998</c:v>
                </c:pt>
                <c:pt idx="18">
                  <c:v>0.49871199999999999</c:v>
                </c:pt>
                <c:pt idx="19">
                  <c:v>0.50217500000000004</c:v>
                </c:pt>
                <c:pt idx="20">
                  <c:v>0.50441499999999995</c:v>
                </c:pt>
                <c:pt idx="21">
                  <c:v>0.50558099999999995</c:v>
                </c:pt>
                <c:pt idx="22">
                  <c:v>0.50606300000000004</c:v>
                </c:pt>
                <c:pt idx="23">
                  <c:v>0.50723499999999999</c:v>
                </c:pt>
                <c:pt idx="24">
                  <c:v>0.50968100000000005</c:v>
                </c:pt>
                <c:pt idx="25">
                  <c:v>0.51217699999999999</c:v>
                </c:pt>
                <c:pt idx="26">
                  <c:v>0.51513799999999998</c:v>
                </c:pt>
                <c:pt idx="27">
                  <c:v>0.51829999999999998</c:v>
                </c:pt>
                <c:pt idx="28">
                  <c:v>0.52097400000000005</c:v>
                </c:pt>
                <c:pt idx="29">
                  <c:v>0.52371900000000005</c:v>
                </c:pt>
                <c:pt idx="30">
                  <c:v>0.52587200000000001</c:v>
                </c:pt>
                <c:pt idx="31">
                  <c:v>0.52785099999999996</c:v>
                </c:pt>
                <c:pt idx="32">
                  <c:v>0.52928600000000003</c:v>
                </c:pt>
                <c:pt idx="33">
                  <c:v>0.53100599999999998</c:v>
                </c:pt>
                <c:pt idx="34">
                  <c:v>0.53264400000000001</c:v>
                </c:pt>
                <c:pt idx="35">
                  <c:v>0.53441000000000005</c:v>
                </c:pt>
                <c:pt idx="36">
                  <c:v>0.53593999999999997</c:v>
                </c:pt>
                <c:pt idx="37">
                  <c:v>0.53699799999999998</c:v>
                </c:pt>
                <c:pt idx="38">
                  <c:v>0.53817300000000001</c:v>
                </c:pt>
                <c:pt idx="39">
                  <c:v>0.53965399999999997</c:v>
                </c:pt>
                <c:pt idx="40">
                  <c:v>0.54067100000000001</c:v>
                </c:pt>
                <c:pt idx="41">
                  <c:v>0.54073499999999997</c:v>
                </c:pt>
                <c:pt idx="42">
                  <c:v>0.54238299999999995</c:v>
                </c:pt>
                <c:pt idx="43">
                  <c:v>0.54359900000000005</c:v>
                </c:pt>
                <c:pt idx="44">
                  <c:v>0.54525100000000004</c:v>
                </c:pt>
                <c:pt idx="45">
                  <c:v>0.54680399999999996</c:v>
                </c:pt>
                <c:pt idx="46">
                  <c:v>0.54811500000000002</c:v>
                </c:pt>
                <c:pt idx="47">
                  <c:v>0.54981800000000003</c:v>
                </c:pt>
                <c:pt idx="48">
                  <c:v>0.55155299999999996</c:v>
                </c:pt>
                <c:pt idx="49">
                  <c:v>0.55346099999999998</c:v>
                </c:pt>
                <c:pt idx="50">
                  <c:v>0.55540800000000001</c:v>
                </c:pt>
                <c:pt idx="51">
                  <c:v>0.55720800000000004</c:v>
                </c:pt>
                <c:pt idx="52">
                  <c:v>0.55902200000000002</c:v>
                </c:pt>
                <c:pt idx="53">
                  <c:v>0.56111</c:v>
                </c:pt>
                <c:pt idx="54">
                  <c:v>0.56318699999999999</c:v>
                </c:pt>
                <c:pt idx="55">
                  <c:v>0.56511199999999995</c:v>
                </c:pt>
                <c:pt idx="56">
                  <c:v>0.56748900000000002</c:v>
                </c:pt>
                <c:pt idx="57">
                  <c:v>0.57041500000000001</c:v>
                </c:pt>
                <c:pt idx="58">
                  <c:v>0.573237</c:v>
                </c:pt>
                <c:pt idx="59">
                  <c:v>0.57601400000000003</c:v>
                </c:pt>
                <c:pt idx="60">
                  <c:v>0.57943999999999996</c:v>
                </c:pt>
                <c:pt idx="61">
                  <c:v>0.58291999999999999</c:v>
                </c:pt>
                <c:pt idx="62">
                  <c:v>0.58638599999999996</c:v>
                </c:pt>
                <c:pt idx="63">
                  <c:v>0.58995399999999998</c:v>
                </c:pt>
                <c:pt idx="64">
                  <c:v>0.59353400000000001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Hasil!$X$8</c:f>
              <c:strCache>
                <c:ptCount val="1"/>
                <c:pt idx="0">
                  <c:v>115 cm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Hasil!$V$9:$V$73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Hasil!$X$9:$X$73</c:f>
              <c:numCache>
                <c:formatCode>0.0000000</c:formatCode>
                <c:ptCount val="65"/>
                <c:pt idx="0">
                  <c:v>0.53731499999999999</c:v>
                </c:pt>
                <c:pt idx="1">
                  <c:v>0.54032999999999998</c:v>
                </c:pt>
                <c:pt idx="2">
                  <c:v>0.54039800000000004</c:v>
                </c:pt>
                <c:pt idx="3">
                  <c:v>0.54064699999999999</c:v>
                </c:pt>
                <c:pt idx="4">
                  <c:v>0.54095899999999997</c:v>
                </c:pt>
                <c:pt idx="5">
                  <c:v>0.54155600000000004</c:v>
                </c:pt>
                <c:pt idx="6">
                  <c:v>0.54220800000000002</c:v>
                </c:pt>
                <c:pt idx="7">
                  <c:v>0.54382200000000003</c:v>
                </c:pt>
                <c:pt idx="8">
                  <c:v>0.54543200000000003</c:v>
                </c:pt>
                <c:pt idx="9">
                  <c:v>0.54643799999999998</c:v>
                </c:pt>
                <c:pt idx="10">
                  <c:v>0.54785600000000001</c:v>
                </c:pt>
                <c:pt idx="11">
                  <c:v>0.54869699999999999</c:v>
                </c:pt>
                <c:pt idx="12">
                  <c:v>0.55007600000000001</c:v>
                </c:pt>
                <c:pt idx="13">
                  <c:v>0.55046899999999999</c:v>
                </c:pt>
                <c:pt idx="14">
                  <c:v>0.55187799999999998</c:v>
                </c:pt>
                <c:pt idx="15">
                  <c:v>0.55154099999999995</c:v>
                </c:pt>
                <c:pt idx="16">
                  <c:v>0.55310800000000004</c:v>
                </c:pt>
                <c:pt idx="17">
                  <c:v>0.55471700000000002</c:v>
                </c:pt>
                <c:pt idx="18">
                  <c:v>0.55595300000000003</c:v>
                </c:pt>
                <c:pt idx="19">
                  <c:v>0.55684299999999998</c:v>
                </c:pt>
                <c:pt idx="20">
                  <c:v>0.55798499999999995</c:v>
                </c:pt>
                <c:pt idx="21">
                  <c:v>0.55887799999999999</c:v>
                </c:pt>
                <c:pt idx="22">
                  <c:v>0.55979599999999996</c:v>
                </c:pt>
                <c:pt idx="23">
                  <c:v>0.560697</c:v>
                </c:pt>
                <c:pt idx="24">
                  <c:v>0.56172599999999995</c:v>
                </c:pt>
                <c:pt idx="25">
                  <c:v>0.56263799999999997</c:v>
                </c:pt>
                <c:pt idx="26">
                  <c:v>0.56354800000000005</c:v>
                </c:pt>
                <c:pt idx="27">
                  <c:v>0.564442</c:v>
                </c:pt>
                <c:pt idx="28">
                  <c:v>0.56533999999999995</c:v>
                </c:pt>
                <c:pt idx="29">
                  <c:v>0.56632700000000002</c:v>
                </c:pt>
                <c:pt idx="30">
                  <c:v>0.56723100000000004</c:v>
                </c:pt>
                <c:pt idx="31">
                  <c:v>0.56808999999999998</c:v>
                </c:pt>
                <c:pt idx="32">
                  <c:v>0.56897900000000001</c:v>
                </c:pt>
                <c:pt idx="33">
                  <c:v>0.56985300000000005</c:v>
                </c:pt>
                <c:pt idx="34">
                  <c:v>0.57073099999999999</c:v>
                </c:pt>
                <c:pt idx="35">
                  <c:v>0.57159800000000005</c:v>
                </c:pt>
                <c:pt idx="36">
                  <c:v>0.57247199999999998</c:v>
                </c:pt>
                <c:pt idx="37">
                  <c:v>0.57333599999999996</c:v>
                </c:pt>
                <c:pt idx="38">
                  <c:v>0.57420899999999997</c:v>
                </c:pt>
                <c:pt idx="39">
                  <c:v>0.57507799999999998</c:v>
                </c:pt>
                <c:pt idx="40">
                  <c:v>0.57595399999999997</c:v>
                </c:pt>
                <c:pt idx="41">
                  <c:v>0.57639600000000002</c:v>
                </c:pt>
                <c:pt idx="42">
                  <c:v>0.57728599999999997</c:v>
                </c:pt>
                <c:pt idx="43">
                  <c:v>0.57813099999999995</c:v>
                </c:pt>
                <c:pt idx="44">
                  <c:v>0.57899</c:v>
                </c:pt>
                <c:pt idx="45">
                  <c:v>0.57984500000000005</c:v>
                </c:pt>
                <c:pt idx="46">
                  <c:v>0.58069800000000005</c:v>
                </c:pt>
                <c:pt idx="47">
                  <c:v>0.58155100000000004</c:v>
                </c:pt>
                <c:pt idx="48">
                  <c:v>0.58240599999999998</c:v>
                </c:pt>
                <c:pt idx="49">
                  <c:v>0.58325899999999997</c:v>
                </c:pt>
                <c:pt idx="50">
                  <c:v>0.58410899999999999</c:v>
                </c:pt>
                <c:pt idx="51">
                  <c:v>0.58496199999999998</c:v>
                </c:pt>
                <c:pt idx="52">
                  <c:v>0.58580900000000002</c:v>
                </c:pt>
                <c:pt idx="53">
                  <c:v>0.58680500000000002</c:v>
                </c:pt>
                <c:pt idx="54">
                  <c:v>0.58765400000000001</c:v>
                </c:pt>
                <c:pt idx="55">
                  <c:v>0.58849700000000005</c:v>
                </c:pt>
                <c:pt idx="56">
                  <c:v>0.58934399999999998</c:v>
                </c:pt>
                <c:pt idx="57">
                  <c:v>0.59018499999999996</c:v>
                </c:pt>
                <c:pt idx="58">
                  <c:v>0.59102200000000005</c:v>
                </c:pt>
                <c:pt idx="59">
                  <c:v>0.59186499999999997</c:v>
                </c:pt>
                <c:pt idx="60">
                  <c:v>0.59270500000000004</c:v>
                </c:pt>
                <c:pt idx="61">
                  <c:v>0.59354700000000005</c:v>
                </c:pt>
                <c:pt idx="62">
                  <c:v>0.59439699999999995</c:v>
                </c:pt>
                <c:pt idx="63">
                  <c:v>0.59524299999999997</c:v>
                </c:pt>
                <c:pt idx="64">
                  <c:v>0.59608000000000005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Hasil!$Y$8</c:f>
              <c:strCache>
                <c:ptCount val="1"/>
                <c:pt idx="0">
                  <c:v>140 cm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Hasil!$V$9:$V$73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Hasil!$Y$9:$Y$73</c:f>
              <c:numCache>
                <c:formatCode>0.000000</c:formatCode>
                <c:ptCount val="65"/>
                <c:pt idx="0">
                  <c:v>0.59265299999999999</c:v>
                </c:pt>
                <c:pt idx="1">
                  <c:v>0.59571200000000002</c:v>
                </c:pt>
                <c:pt idx="2">
                  <c:v>0.59576200000000001</c:v>
                </c:pt>
                <c:pt idx="3">
                  <c:v>0.59597100000000003</c:v>
                </c:pt>
                <c:pt idx="4">
                  <c:v>0.59622799999999998</c:v>
                </c:pt>
                <c:pt idx="5">
                  <c:v>0.59674899999999997</c:v>
                </c:pt>
                <c:pt idx="6">
                  <c:v>0.59727699999999995</c:v>
                </c:pt>
                <c:pt idx="7">
                  <c:v>0.59871799999999997</c:v>
                </c:pt>
                <c:pt idx="8">
                  <c:v>0.59987900000000005</c:v>
                </c:pt>
                <c:pt idx="9">
                  <c:v>0.60087100000000004</c:v>
                </c:pt>
                <c:pt idx="10">
                  <c:v>0.60174099999999997</c:v>
                </c:pt>
                <c:pt idx="11">
                  <c:v>0.602495</c:v>
                </c:pt>
                <c:pt idx="12">
                  <c:v>0.60317299999999996</c:v>
                </c:pt>
                <c:pt idx="13">
                  <c:v>0.60377099999999995</c:v>
                </c:pt>
                <c:pt idx="14">
                  <c:v>0.60430300000000003</c:v>
                </c:pt>
                <c:pt idx="15">
                  <c:v>0.60478299999999996</c:v>
                </c:pt>
                <c:pt idx="16">
                  <c:v>0.60522900000000002</c:v>
                </c:pt>
                <c:pt idx="17">
                  <c:v>0.60523800000000005</c:v>
                </c:pt>
                <c:pt idx="18">
                  <c:v>0.60564399999999996</c:v>
                </c:pt>
                <c:pt idx="19">
                  <c:v>0.60603799999999997</c:v>
                </c:pt>
                <c:pt idx="20">
                  <c:v>0.60634900000000003</c:v>
                </c:pt>
                <c:pt idx="21">
                  <c:v>0.60670599999999997</c:v>
                </c:pt>
                <c:pt idx="22">
                  <c:v>0.606989</c:v>
                </c:pt>
                <c:pt idx="23">
                  <c:v>0.60733599999999999</c:v>
                </c:pt>
                <c:pt idx="24">
                  <c:v>0.60766399999999998</c:v>
                </c:pt>
                <c:pt idx="25">
                  <c:v>0.60794300000000001</c:v>
                </c:pt>
                <c:pt idx="26">
                  <c:v>0.60836500000000004</c:v>
                </c:pt>
                <c:pt idx="27">
                  <c:v>0.60870199999999997</c:v>
                </c:pt>
                <c:pt idx="28">
                  <c:v>0.60909800000000003</c:v>
                </c:pt>
                <c:pt idx="29">
                  <c:v>0.60959099999999999</c:v>
                </c:pt>
                <c:pt idx="30">
                  <c:v>0.61005200000000004</c:v>
                </c:pt>
                <c:pt idx="31">
                  <c:v>0.61052099999999998</c:v>
                </c:pt>
                <c:pt idx="32">
                  <c:v>0.611008</c:v>
                </c:pt>
                <c:pt idx="33">
                  <c:v>0.61148899999999995</c:v>
                </c:pt>
                <c:pt idx="34">
                  <c:v>0.61202599999999996</c:v>
                </c:pt>
                <c:pt idx="35">
                  <c:v>0.612541</c:v>
                </c:pt>
                <c:pt idx="36">
                  <c:v>0.61307100000000003</c:v>
                </c:pt>
                <c:pt idx="37">
                  <c:v>0.61363999999999996</c:v>
                </c:pt>
                <c:pt idx="38">
                  <c:v>0.61416199999999999</c:v>
                </c:pt>
                <c:pt idx="39">
                  <c:v>0.61471600000000004</c:v>
                </c:pt>
                <c:pt idx="40">
                  <c:v>0.61526999999999998</c:v>
                </c:pt>
                <c:pt idx="41">
                  <c:v>0.61528400000000005</c:v>
                </c:pt>
                <c:pt idx="42">
                  <c:v>0.61583900000000003</c:v>
                </c:pt>
                <c:pt idx="43">
                  <c:v>0.61640600000000001</c:v>
                </c:pt>
                <c:pt idx="44">
                  <c:v>0.616981</c:v>
                </c:pt>
                <c:pt idx="45">
                  <c:v>0.61749200000000004</c:v>
                </c:pt>
                <c:pt idx="46">
                  <c:v>0.61806099999999997</c:v>
                </c:pt>
                <c:pt idx="47">
                  <c:v>0.61861100000000002</c:v>
                </c:pt>
                <c:pt idx="48">
                  <c:v>0.61926300000000001</c:v>
                </c:pt>
                <c:pt idx="49">
                  <c:v>0.61972400000000005</c:v>
                </c:pt>
                <c:pt idx="50">
                  <c:v>0.62047799999999997</c:v>
                </c:pt>
                <c:pt idx="51">
                  <c:v>0.62084899999999998</c:v>
                </c:pt>
                <c:pt idx="52">
                  <c:v>0.62173400000000001</c:v>
                </c:pt>
                <c:pt idx="53">
                  <c:v>0.62157499999999999</c:v>
                </c:pt>
                <c:pt idx="54">
                  <c:v>0.62309400000000004</c:v>
                </c:pt>
                <c:pt idx="55">
                  <c:v>0.62107599999999996</c:v>
                </c:pt>
                <c:pt idx="56">
                  <c:v>0.62333700000000003</c:v>
                </c:pt>
                <c:pt idx="57">
                  <c:v>0.62160099999999996</c:v>
                </c:pt>
                <c:pt idx="58">
                  <c:v>0.62468599999999996</c:v>
                </c:pt>
                <c:pt idx="59">
                  <c:v>0.62306899999999998</c:v>
                </c:pt>
                <c:pt idx="60">
                  <c:v>0.62610100000000002</c:v>
                </c:pt>
                <c:pt idx="61">
                  <c:v>0.62473999999999996</c:v>
                </c:pt>
                <c:pt idx="62">
                  <c:v>0.627521</c:v>
                </c:pt>
                <c:pt idx="63">
                  <c:v>0.62645499999999998</c:v>
                </c:pt>
                <c:pt idx="64">
                  <c:v>0.62914000000000003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Hasil!$Z$8</c:f>
              <c:strCache>
                <c:ptCount val="1"/>
                <c:pt idx="0">
                  <c:v>165 cm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Hasil!$V$9:$V$73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Hasil!$Z$9:$Z$73</c:f>
              <c:numCache>
                <c:formatCode>0.000000</c:formatCode>
                <c:ptCount val="65"/>
                <c:pt idx="0">
                  <c:v>0.622004</c:v>
                </c:pt>
                <c:pt idx="1">
                  <c:v>0.62578400000000001</c:v>
                </c:pt>
                <c:pt idx="2">
                  <c:v>0.62583999999999995</c:v>
                </c:pt>
                <c:pt idx="3">
                  <c:v>0.62611899999999998</c:v>
                </c:pt>
                <c:pt idx="4">
                  <c:v>0.62646999999999997</c:v>
                </c:pt>
                <c:pt idx="5">
                  <c:v>0.62717800000000001</c:v>
                </c:pt>
                <c:pt idx="6">
                  <c:v>0.62783299999999997</c:v>
                </c:pt>
                <c:pt idx="7">
                  <c:v>0.62948499999999996</c:v>
                </c:pt>
                <c:pt idx="8">
                  <c:v>0.63078100000000004</c:v>
                </c:pt>
                <c:pt idx="9">
                  <c:v>0.63183</c:v>
                </c:pt>
                <c:pt idx="10">
                  <c:v>0.63271200000000005</c:v>
                </c:pt>
                <c:pt idx="11">
                  <c:v>0.63344900000000004</c:v>
                </c:pt>
                <c:pt idx="12">
                  <c:v>0.63407599999999997</c:v>
                </c:pt>
                <c:pt idx="13">
                  <c:v>0.63461999999999996</c:v>
                </c:pt>
                <c:pt idx="14">
                  <c:v>0.6351</c:v>
                </c:pt>
                <c:pt idx="15">
                  <c:v>0.63549299999999997</c:v>
                </c:pt>
                <c:pt idx="16">
                  <c:v>0.63588199999999995</c:v>
                </c:pt>
                <c:pt idx="17">
                  <c:v>0.63588</c:v>
                </c:pt>
                <c:pt idx="18">
                  <c:v>0.63619199999999998</c:v>
                </c:pt>
                <c:pt idx="19">
                  <c:v>0.63653000000000004</c:v>
                </c:pt>
                <c:pt idx="20">
                  <c:v>0.63685599999999998</c:v>
                </c:pt>
                <c:pt idx="21">
                  <c:v>0.63722699999999999</c:v>
                </c:pt>
                <c:pt idx="22">
                  <c:v>0.63762600000000003</c:v>
                </c:pt>
                <c:pt idx="23">
                  <c:v>0.63803900000000002</c:v>
                </c:pt>
                <c:pt idx="24">
                  <c:v>0.63846000000000003</c:v>
                </c:pt>
                <c:pt idx="25">
                  <c:v>0.63893</c:v>
                </c:pt>
                <c:pt idx="26">
                  <c:v>0.63940799999999998</c:v>
                </c:pt>
                <c:pt idx="27">
                  <c:v>0.63985300000000001</c:v>
                </c:pt>
                <c:pt idx="28">
                  <c:v>0.640262</c:v>
                </c:pt>
                <c:pt idx="29">
                  <c:v>0.64077700000000004</c:v>
                </c:pt>
                <c:pt idx="30">
                  <c:v>0.64120999999999995</c:v>
                </c:pt>
                <c:pt idx="31">
                  <c:v>0.64162399999999997</c:v>
                </c:pt>
                <c:pt idx="32">
                  <c:v>0.64205800000000002</c:v>
                </c:pt>
                <c:pt idx="33">
                  <c:v>0.64246599999999998</c:v>
                </c:pt>
                <c:pt idx="34">
                  <c:v>0.64288400000000001</c:v>
                </c:pt>
                <c:pt idx="35">
                  <c:v>0.64332199999999995</c:v>
                </c:pt>
                <c:pt idx="36">
                  <c:v>0.643733</c:v>
                </c:pt>
                <c:pt idx="37">
                  <c:v>0.64415699999999998</c:v>
                </c:pt>
                <c:pt idx="38">
                  <c:v>0.64461599999999997</c:v>
                </c:pt>
                <c:pt idx="39">
                  <c:v>0.64503200000000005</c:v>
                </c:pt>
                <c:pt idx="40">
                  <c:v>0.64545399999999997</c:v>
                </c:pt>
                <c:pt idx="41">
                  <c:v>0.645459</c:v>
                </c:pt>
                <c:pt idx="42">
                  <c:v>0.64589099999999999</c:v>
                </c:pt>
                <c:pt idx="43">
                  <c:v>0.64632900000000004</c:v>
                </c:pt>
                <c:pt idx="44">
                  <c:v>0.64676100000000003</c:v>
                </c:pt>
                <c:pt idx="45">
                  <c:v>0.64717000000000002</c:v>
                </c:pt>
                <c:pt idx="46">
                  <c:v>0.64757399999999998</c:v>
                </c:pt>
                <c:pt idx="47">
                  <c:v>0.64796500000000001</c:v>
                </c:pt>
                <c:pt idx="48">
                  <c:v>0.64838399999999996</c:v>
                </c:pt>
                <c:pt idx="49">
                  <c:v>0.64881299999999997</c:v>
                </c:pt>
                <c:pt idx="50">
                  <c:v>0.64922500000000005</c:v>
                </c:pt>
                <c:pt idx="51">
                  <c:v>0.64964900000000003</c:v>
                </c:pt>
                <c:pt idx="52">
                  <c:v>0.65006699999999995</c:v>
                </c:pt>
                <c:pt idx="53">
                  <c:v>0.65056899999999995</c:v>
                </c:pt>
                <c:pt idx="54">
                  <c:v>0.65094399999999997</c:v>
                </c:pt>
                <c:pt idx="55">
                  <c:v>0.65140799999999999</c:v>
                </c:pt>
                <c:pt idx="56">
                  <c:v>0.65181699999999998</c:v>
                </c:pt>
                <c:pt idx="57">
                  <c:v>0.65226300000000004</c:v>
                </c:pt>
                <c:pt idx="58">
                  <c:v>0.65268300000000001</c:v>
                </c:pt>
                <c:pt idx="59">
                  <c:v>0.65306699999999995</c:v>
                </c:pt>
                <c:pt idx="60">
                  <c:v>0.65353700000000003</c:v>
                </c:pt>
                <c:pt idx="61">
                  <c:v>0.65395599999999998</c:v>
                </c:pt>
                <c:pt idx="62">
                  <c:v>0.65441099999999996</c:v>
                </c:pt>
                <c:pt idx="63">
                  <c:v>0.65478099999999995</c:v>
                </c:pt>
                <c:pt idx="64">
                  <c:v>0.65527599999999997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Hasil!$AA$8</c:f>
              <c:strCache>
                <c:ptCount val="1"/>
                <c:pt idx="0">
                  <c:v>190 cm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Hasil!$V$9:$V$73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Hasil!$AA$9:$AA$73</c:f>
              <c:numCache>
                <c:formatCode>0.000000</c:formatCode>
                <c:ptCount val="65"/>
                <c:pt idx="0">
                  <c:v>0.568523</c:v>
                </c:pt>
                <c:pt idx="1">
                  <c:v>0.57155100000000003</c:v>
                </c:pt>
                <c:pt idx="2">
                  <c:v>0.57162100000000005</c:v>
                </c:pt>
                <c:pt idx="3">
                  <c:v>0.57188600000000001</c:v>
                </c:pt>
                <c:pt idx="4">
                  <c:v>0.572214</c:v>
                </c:pt>
                <c:pt idx="5">
                  <c:v>0.57289500000000004</c:v>
                </c:pt>
                <c:pt idx="6">
                  <c:v>0.573577</c:v>
                </c:pt>
                <c:pt idx="7">
                  <c:v>0.57548500000000002</c:v>
                </c:pt>
                <c:pt idx="8">
                  <c:v>0.57716800000000001</c:v>
                </c:pt>
                <c:pt idx="9">
                  <c:v>0.57869499999999996</c:v>
                </c:pt>
                <c:pt idx="10">
                  <c:v>0.58008999999999999</c:v>
                </c:pt>
                <c:pt idx="11">
                  <c:v>0.58142400000000005</c:v>
                </c:pt>
                <c:pt idx="12">
                  <c:v>0.58269099999999996</c:v>
                </c:pt>
                <c:pt idx="13">
                  <c:v>0.58392100000000002</c:v>
                </c:pt>
                <c:pt idx="14">
                  <c:v>0.58511100000000005</c:v>
                </c:pt>
                <c:pt idx="15">
                  <c:v>0.58627099999999999</c:v>
                </c:pt>
                <c:pt idx="16">
                  <c:v>0.587399</c:v>
                </c:pt>
                <c:pt idx="17">
                  <c:v>0.58740599999999998</c:v>
                </c:pt>
                <c:pt idx="18">
                  <c:v>0.58851299999999995</c:v>
                </c:pt>
                <c:pt idx="19">
                  <c:v>0.58961300000000005</c:v>
                </c:pt>
                <c:pt idx="20">
                  <c:v>0.59069899999999997</c:v>
                </c:pt>
                <c:pt idx="21">
                  <c:v>0.59177500000000005</c:v>
                </c:pt>
                <c:pt idx="22">
                  <c:v>0.59282500000000005</c:v>
                </c:pt>
                <c:pt idx="23">
                  <c:v>0.59387999999999996</c:v>
                </c:pt>
                <c:pt idx="24">
                  <c:v>0.59492800000000001</c:v>
                </c:pt>
                <c:pt idx="25">
                  <c:v>0.59596400000000005</c:v>
                </c:pt>
                <c:pt idx="26">
                  <c:v>0.596993</c:v>
                </c:pt>
                <c:pt idx="27">
                  <c:v>0.59801599999999999</c:v>
                </c:pt>
                <c:pt idx="28">
                  <c:v>0.59906099999999995</c:v>
                </c:pt>
                <c:pt idx="29">
                  <c:v>0.60025399999999995</c:v>
                </c:pt>
                <c:pt idx="30">
                  <c:v>0.60126800000000002</c:v>
                </c:pt>
                <c:pt idx="31">
                  <c:v>0.602275</c:v>
                </c:pt>
                <c:pt idx="32">
                  <c:v>0.60331800000000002</c:v>
                </c:pt>
                <c:pt idx="33">
                  <c:v>0.60431800000000002</c:v>
                </c:pt>
                <c:pt idx="34">
                  <c:v>0.60530700000000004</c:v>
                </c:pt>
                <c:pt idx="35">
                  <c:v>0.60630099999999998</c:v>
                </c:pt>
                <c:pt idx="36">
                  <c:v>0.60728899999999997</c:v>
                </c:pt>
                <c:pt idx="37">
                  <c:v>0.60827200000000003</c:v>
                </c:pt>
                <c:pt idx="38">
                  <c:v>0.60924900000000004</c:v>
                </c:pt>
                <c:pt idx="39">
                  <c:v>0.61022799999999999</c:v>
                </c:pt>
                <c:pt idx="40">
                  <c:v>0.61110699999999996</c:v>
                </c:pt>
                <c:pt idx="41">
                  <c:v>0.61111700000000002</c:v>
                </c:pt>
                <c:pt idx="42">
                  <c:v>0.61207800000000001</c:v>
                </c:pt>
                <c:pt idx="43">
                  <c:v>0.61304800000000004</c:v>
                </c:pt>
                <c:pt idx="44">
                  <c:v>0.61401799999999995</c:v>
                </c:pt>
                <c:pt idx="45">
                  <c:v>0.61498299999999995</c:v>
                </c:pt>
                <c:pt idx="46">
                  <c:v>0.61594599999999999</c:v>
                </c:pt>
                <c:pt idx="47">
                  <c:v>0.61690900000000004</c:v>
                </c:pt>
                <c:pt idx="48">
                  <c:v>0.61787000000000003</c:v>
                </c:pt>
                <c:pt idx="49">
                  <c:v>0.61882899999999996</c:v>
                </c:pt>
                <c:pt idx="50">
                  <c:v>0.61978299999999997</c:v>
                </c:pt>
                <c:pt idx="51">
                  <c:v>0.62073500000000004</c:v>
                </c:pt>
                <c:pt idx="52">
                  <c:v>0.62168599999999996</c:v>
                </c:pt>
                <c:pt idx="53">
                  <c:v>0.62279899999999999</c:v>
                </c:pt>
                <c:pt idx="54">
                  <c:v>0.62382599999999999</c:v>
                </c:pt>
                <c:pt idx="55">
                  <c:v>0.62476900000000002</c:v>
                </c:pt>
                <c:pt idx="56">
                  <c:v>0.62571100000000002</c:v>
                </c:pt>
                <c:pt idx="57">
                  <c:v>0.62665099999999996</c:v>
                </c:pt>
                <c:pt idx="58">
                  <c:v>0.62758700000000001</c:v>
                </c:pt>
                <c:pt idx="59">
                  <c:v>0.628525</c:v>
                </c:pt>
                <c:pt idx="60">
                  <c:v>0.62946199999999997</c:v>
                </c:pt>
                <c:pt idx="61">
                  <c:v>0.63039000000000001</c:v>
                </c:pt>
                <c:pt idx="62">
                  <c:v>0.63131800000000005</c:v>
                </c:pt>
                <c:pt idx="63">
                  <c:v>0.63224599999999997</c:v>
                </c:pt>
                <c:pt idx="64">
                  <c:v>0.63317400000000001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Hasil!$AB$8</c:f>
              <c:strCache>
                <c:ptCount val="1"/>
                <c:pt idx="0">
                  <c:v>215 cm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Hasil!$V$9:$V$73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Hasil!$AB$9:$AB$73</c:f>
              <c:numCache>
                <c:formatCode>0.000000</c:formatCode>
                <c:ptCount val="65"/>
                <c:pt idx="0">
                  <c:v>0.567388</c:v>
                </c:pt>
                <c:pt idx="1">
                  <c:v>0.57031699999999996</c:v>
                </c:pt>
                <c:pt idx="2">
                  <c:v>0.57038699999999998</c:v>
                </c:pt>
                <c:pt idx="3">
                  <c:v>0.57064199999999998</c:v>
                </c:pt>
                <c:pt idx="4">
                  <c:v>0.57096400000000003</c:v>
                </c:pt>
                <c:pt idx="5">
                  <c:v>0.57161600000000001</c:v>
                </c:pt>
                <c:pt idx="6">
                  <c:v>0.57227899999999998</c:v>
                </c:pt>
                <c:pt idx="7">
                  <c:v>0.57413099999999995</c:v>
                </c:pt>
                <c:pt idx="8">
                  <c:v>0.57577999999999996</c:v>
                </c:pt>
                <c:pt idx="9">
                  <c:v>0.57725899999999997</c:v>
                </c:pt>
                <c:pt idx="10">
                  <c:v>0.57862400000000003</c:v>
                </c:pt>
                <c:pt idx="11">
                  <c:v>0.57991999999999999</c:v>
                </c:pt>
                <c:pt idx="12">
                  <c:v>0.581152</c:v>
                </c:pt>
                <c:pt idx="13">
                  <c:v>0.58234200000000003</c:v>
                </c:pt>
                <c:pt idx="14">
                  <c:v>0.58348900000000004</c:v>
                </c:pt>
                <c:pt idx="15">
                  <c:v>0.58460400000000001</c:v>
                </c:pt>
                <c:pt idx="16">
                  <c:v>0.58570800000000001</c:v>
                </c:pt>
                <c:pt idx="17">
                  <c:v>0.58571600000000001</c:v>
                </c:pt>
                <c:pt idx="18">
                  <c:v>0.58678399999999997</c:v>
                </c:pt>
                <c:pt idx="19">
                  <c:v>0.587843</c:v>
                </c:pt>
                <c:pt idx="20">
                  <c:v>0.58889499999999995</c:v>
                </c:pt>
                <c:pt idx="21">
                  <c:v>0.58993499999999999</c:v>
                </c:pt>
                <c:pt idx="22">
                  <c:v>0.59096599999999999</c:v>
                </c:pt>
                <c:pt idx="23">
                  <c:v>0.59198799999999996</c:v>
                </c:pt>
                <c:pt idx="24">
                  <c:v>0.59299999999999997</c:v>
                </c:pt>
                <c:pt idx="25">
                  <c:v>0.59401000000000004</c:v>
                </c:pt>
                <c:pt idx="26">
                  <c:v>0.59501400000000004</c:v>
                </c:pt>
                <c:pt idx="27">
                  <c:v>0.59601000000000004</c:v>
                </c:pt>
                <c:pt idx="28">
                  <c:v>0.59700200000000003</c:v>
                </c:pt>
                <c:pt idx="29">
                  <c:v>0.59815700000000005</c:v>
                </c:pt>
                <c:pt idx="30">
                  <c:v>0.59914199999999995</c:v>
                </c:pt>
                <c:pt idx="31">
                  <c:v>0.60011499999999995</c:v>
                </c:pt>
                <c:pt idx="32">
                  <c:v>0.60108899999999998</c:v>
                </c:pt>
                <c:pt idx="33">
                  <c:v>0.60206199999999999</c:v>
                </c:pt>
                <c:pt idx="34">
                  <c:v>0.60303399999999996</c:v>
                </c:pt>
                <c:pt idx="35">
                  <c:v>0.60400299999999996</c:v>
                </c:pt>
                <c:pt idx="36">
                  <c:v>0.60496399999999995</c:v>
                </c:pt>
                <c:pt idx="37">
                  <c:v>0.60591399999999995</c:v>
                </c:pt>
                <c:pt idx="38">
                  <c:v>0.60687000000000002</c:v>
                </c:pt>
                <c:pt idx="39">
                  <c:v>0.60782700000000001</c:v>
                </c:pt>
                <c:pt idx="40">
                  <c:v>0.60879099999999997</c:v>
                </c:pt>
                <c:pt idx="41">
                  <c:v>0.60879899999999998</c:v>
                </c:pt>
                <c:pt idx="42">
                  <c:v>0.60974799999999996</c:v>
                </c:pt>
                <c:pt idx="43">
                  <c:v>0.61070000000000002</c:v>
                </c:pt>
                <c:pt idx="44">
                  <c:v>0.61164700000000005</c:v>
                </c:pt>
                <c:pt idx="45">
                  <c:v>0.61259300000000005</c:v>
                </c:pt>
                <c:pt idx="46">
                  <c:v>0.613541</c:v>
                </c:pt>
                <c:pt idx="47">
                  <c:v>0.61448999999999998</c:v>
                </c:pt>
                <c:pt idx="48">
                  <c:v>0.61543599999999998</c:v>
                </c:pt>
                <c:pt idx="49">
                  <c:v>0.61637399999999998</c:v>
                </c:pt>
                <c:pt idx="50">
                  <c:v>0.617309</c:v>
                </c:pt>
                <c:pt idx="51">
                  <c:v>0.61822500000000002</c:v>
                </c:pt>
                <c:pt idx="52">
                  <c:v>0.61915799999999999</c:v>
                </c:pt>
                <c:pt idx="53">
                  <c:v>0.62025300000000005</c:v>
                </c:pt>
                <c:pt idx="54">
                  <c:v>0.62118899999999999</c:v>
                </c:pt>
                <c:pt idx="55">
                  <c:v>0.62211899999999998</c:v>
                </c:pt>
                <c:pt idx="56">
                  <c:v>0.62304199999999998</c:v>
                </c:pt>
                <c:pt idx="57">
                  <c:v>0.62396200000000002</c:v>
                </c:pt>
                <c:pt idx="58">
                  <c:v>0.62487899999999996</c:v>
                </c:pt>
                <c:pt idx="59">
                  <c:v>0.62579399999999996</c:v>
                </c:pt>
                <c:pt idx="60">
                  <c:v>0.62673199999999996</c:v>
                </c:pt>
                <c:pt idx="61">
                  <c:v>0.62765400000000005</c:v>
                </c:pt>
                <c:pt idx="62">
                  <c:v>0.62857700000000005</c:v>
                </c:pt>
                <c:pt idx="63">
                  <c:v>0.62949699999999997</c:v>
                </c:pt>
                <c:pt idx="64">
                  <c:v>0.63039599999999996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65296"/>
        <c:axId val="242052240"/>
      </c:scatterChart>
      <c:valAx>
        <c:axId val="24206529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Tahun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42052240"/>
        <c:crosses val="autoZero"/>
        <c:crossBetween val="midCat"/>
        <c:majorUnit val="0.5"/>
      </c:valAx>
      <c:valAx>
        <c:axId val="242052240"/>
        <c:scaling>
          <c:orientation val="minMax"/>
          <c:max val="0.7500000000000001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Conversion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4206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Hasil!$BI$8</c:f>
              <c:strCache>
                <c:ptCount val="1"/>
                <c:pt idx="0">
                  <c:v>Awal Tahun Ke-0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Hasil!$BH$9:$BH$47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Hasil!$BI$9:$BI$47</c:f>
              <c:numCache>
                <c:formatCode>0.000000E+00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33.781850423400002</c:v>
                </c:pt>
                <c:pt idx="5">
                  <c:v>44.795215001479995</c:v>
                </c:pt>
                <c:pt idx="6">
                  <c:v>60.695433295480001</c:v>
                </c:pt>
                <c:pt idx="7">
                  <c:v>76.247909298319996</c:v>
                </c:pt>
                <c:pt idx="8">
                  <c:v>91.271999537079992</c:v>
                </c:pt>
                <c:pt idx="9">
                  <c:v>105.65397087072</c:v>
                </c:pt>
                <c:pt idx="10">
                  <c:v>119.28083753992</c:v>
                </c:pt>
                <c:pt idx="11">
                  <c:v>132.04333758199999</c:v>
                </c:pt>
                <c:pt idx="12">
                  <c:v>143.83610328639998</c:v>
                </c:pt>
                <c:pt idx="13">
                  <c:v>154.55814633719999</c:v>
                </c:pt>
                <c:pt idx="14">
                  <c:v>164.1130938284</c:v>
                </c:pt>
                <c:pt idx="15">
                  <c:v>172.41034211639999</c:v>
                </c:pt>
                <c:pt idx="16">
                  <c:v>179.36558129839997</c:v>
                </c:pt>
                <c:pt idx="17">
                  <c:v>184.90236864759999</c:v>
                </c:pt>
                <c:pt idx="18">
                  <c:v>188.95370204839998</c:v>
                </c:pt>
                <c:pt idx="19">
                  <c:v>191.4624133552</c:v>
                </c:pt>
                <c:pt idx="20">
                  <c:v>192.38365966480001</c:v>
                </c:pt>
                <c:pt idx="21">
                  <c:v>191.68557891439997</c:v>
                </c:pt>
                <c:pt idx="22">
                  <c:v>189.35086331679997</c:v>
                </c:pt>
                <c:pt idx="23">
                  <c:v>185.37754607799999</c:v>
                </c:pt>
                <c:pt idx="24">
                  <c:v>179.77991923439998</c:v>
                </c:pt>
                <c:pt idx="25">
                  <c:v>172.58945148999999</c:v>
                </c:pt>
                <c:pt idx="26">
                  <c:v>163.85426373799999</c:v>
                </c:pt>
                <c:pt idx="27">
                  <c:v>153.63978465879998</c:v>
                </c:pt>
                <c:pt idx="28">
                  <c:v>142.02770176319999</c:v>
                </c:pt>
                <c:pt idx="29">
                  <c:v>129.11572537711999</c:v>
                </c:pt>
                <c:pt idx="30">
                  <c:v>115.01705105123999</c:v>
                </c:pt>
                <c:pt idx="31">
                  <c:v>99.858969693239985</c:v>
                </c:pt>
                <c:pt idx="32">
                  <c:v>83.78218574588</c:v>
                </c:pt>
                <c:pt idx="33">
                  <c:v>66.936214889039988</c:v>
                </c:pt>
                <c:pt idx="34">
                  <c:v>49.551617827359998</c:v>
                </c:pt>
                <c:pt idx="35">
                  <c:v>37.504899681680001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Hasil!$BJ$8</c:f>
              <c:strCache>
                <c:ptCount val="1"/>
                <c:pt idx="0">
                  <c:v>Akhir Tahun Ke-1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Hasil!$BH$9:$BH$47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Hasil!$BJ$9:$BJ$47</c:f>
              <c:numCache>
                <c:formatCode>0.000000E+00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31.260237945790003</c:v>
                </c:pt>
                <c:pt idx="5">
                  <c:v>41.144107881170001</c:v>
                </c:pt>
                <c:pt idx="6">
                  <c:v>55.35078300304</c:v>
                </c:pt>
                <c:pt idx="7">
                  <c:v>68.878934597620002</c:v>
                </c:pt>
                <c:pt idx="8">
                  <c:v>81.444573681380007</c:v>
                </c:pt>
                <c:pt idx="9">
                  <c:v>92.804319632359991</c:v>
                </c:pt>
                <c:pt idx="10">
                  <c:v>102.67151909406</c:v>
                </c:pt>
                <c:pt idx="11">
                  <c:v>110.7091548038</c:v>
                </c:pt>
                <c:pt idx="12">
                  <c:v>113.2467367955</c:v>
                </c:pt>
                <c:pt idx="13">
                  <c:v>118.84347511399999</c:v>
                </c:pt>
                <c:pt idx="14">
                  <c:v>124.12235477390001</c:v>
                </c:pt>
                <c:pt idx="15">
                  <c:v>128.8817335407</c:v>
                </c:pt>
                <c:pt idx="16">
                  <c:v>132.96931709949999</c:v>
                </c:pt>
                <c:pt idx="17">
                  <c:v>136.27739013839999</c:v>
                </c:pt>
                <c:pt idx="18">
                  <c:v>138.7216672401</c:v>
                </c:pt>
                <c:pt idx="19">
                  <c:v>140.23082199980001</c:v>
                </c:pt>
                <c:pt idx="20">
                  <c:v>140.43764783929998</c:v>
                </c:pt>
                <c:pt idx="21">
                  <c:v>140.11543495250001</c:v>
                </c:pt>
                <c:pt idx="22">
                  <c:v>138.92351681880001</c:v>
                </c:pt>
                <c:pt idx="23">
                  <c:v>136.84509855799999</c:v>
                </c:pt>
                <c:pt idx="24">
                  <c:v>133.8913767569</c:v>
                </c:pt>
                <c:pt idx="25">
                  <c:v>130.11429113759999</c:v>
                </c:pt>
                <c:pt idx="26">
                  <c:v>125.62445983080001</c:v>
                </c:pt>
                <c:pt idx="27">
                  <c:v>120.59574094820002</c:v>
                </c:pt>
                <c:pt idx="28">
                  <c:v>118.47139594710001</c:v>
                </c:pt>
                <c:pt idx="29">
                  <c:v>110.49372418000002</c:v>
                </c:pt>
                <c:pt idx="30">
                  <c:v>100.39487977806</c:v>
                </c:pt>
                <c:pt idx="31">
                  <c:v>88.519147418170007</c:v>
                </c:pt>
                <c:pt idx="32">
                  <c:v>75.172079880660007</c:v>
                </c:pt>
                <c:pt idx="33">
                  <c:v>60.626003037809994</c:v>
                </c:pt>
                <c:pt idx="34">
                  <c:v>45.209671485930002</c:v>
                </c:pt>
                <c:pt idx="35">
                  <c:v>34.516661544469997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Hasil!$BK$8</c:f>
              <c:strCache>
                <c:ptCount val="1"/>
                <c:pt idx="0">
                  <c:v>Akhir Tahun Ke-3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Hasil!$BH$9:$BH$47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Hasil!$BK$9:$BK$47</c:f>
              <c:numCache>
                <c:formatCode>0.000000E+00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30.408395746876</c:v>
                </c:pt>
                <c:pt idx="5">
                  <c:v>41.137761867496003</c:v>
                </c:pt>
                <c:pt idx="6">
                  <c:v>54.546948749622004</c:v>
                </c:pt>
                <c:pt idx="7">
                  <c:v>66.329804411332006</c:v>
                </c:pt>
                <c:pt idx="8">
                  <c:v>76.118656168982</c:v>
                </c:pt>
                <c:pt idx="9">
                  <c:v>83.589407479060014</c:v>
                </c:pt>
                <c:pt idx="10">
                  <c:v>88.463958834859994</c:v>
                </c:pt>
                <c:pt idx="11">
                  <c:v>90.607291315940003</c:v>
                </c:pt>
                <c:pt idx="12">
                  <c:v>89.25518456959999</c:v>
                </c:pt>
                <c:pt idx="13">
                  <c:v>88.852740459139994</c:v>
                </c:pt>
                <c:pt idx="14">
                  <c:v>88.681599842780017</c:v>
                </c:pt>
                <c:pt idx="15">
                  <c:v>88.738886407639995</c:v>
                </c:pt>
                <c:pt idx="16">
                  <c:v>88.943344314859999</c:v>
                </c:pt>
                <c:pt idx="17">
                  <c:v>89.216913628780006</c:v>
                </c:pt>
                <c:pt idx="18">
                  <c:v>89.492160791879996</c:v>
                </c:pt>
                <c:pt idx="19">
                  <c:v>89.717152377160005</c:v>
                </c:pt>
                <c:pt idx="20">
                  <c:v>89.635976435879996</c:v>
                </c:pt>
                <c:pt idx="21">
                  <c:v>89.928641271420005</c:v>
                </c:pt>
                <c:pt idx="22">
                  <c:v>90.361606257440002</c:v>
                </c:pt>
                <c:pt idx="23">
                  <c:v>90.928958973020002</c:v>
                </c:pt>
                <c:pt idx="24">
                  <c:v>91.635493272960005</c:v>
                </c:pt>
                <c:pt idx="25">
                  <c:v>92.503580479660016</c:v>
                </c:pt>
                <c:pt idx="26">
                  <c:v>93.567736347679997</c:v>
                </c:pt>
                <c:pt idx="27">
                  <c:v>94.795762152280005</c:v>
                </c:pt>
                <c:pt idx="28">
                  <c:v>97.371580233900005</c:v>
                </c:pt>
                <c:pt idx="29">
                  <c:v>95.656978167099993</c:v>
                </c:pt>
                <c:pt idx="30">
                  <c:v>90.873510052500009</c:v>
                </c:pt>
                <c:pt idx="31">
                  <c:v>83.147414066500005</c:v>
                </c:pt>
                <c:pt idx="32">
                  <c:v>72.763628948654002</c:v>
                </c:pt>
                <c:pt idx="33">
                  <c:v>60.069717161720007</c:v>
                </c:pt>
                <c:pt idx="34">
                  <c:v>45.476360256656001</c:v>
                </c:pt>
                <c:pt idx="35">
                  <c:v>33.905984219198004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Hasil!$BL$8</c:f>
              <c:strCache>
                <c:ptCount val="1"/>
                <c:pt idx="0">
                  <c:v>Akhir Tahun Ke-5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Hasil!$BH$9:$BH$47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Hasil!$BL$9:$BL$47</c:f>
              <c:numCache>
                <c:formatCode>0.000000E+00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28.671662728800001</c:v>
                </c:pt>
                <c:pt idx="5">
                  <c:v>38.908274605199999</c:v>
                </c:pt>
                <c:pt idx="6">
                  <c:v>51.332169552300002</c:v>
                </c:pt>
                <c:pt idx="7">
                  <c:v>61.908198288299999</c:v>
                </c:pt>
                <c:pt idx="8">
                  <c:v>70.282057481999999</c:v>
                </c:pt>
                <c:pt idx="9">
                  <c:v>76.124931245999989</c:v>
                </c:pt>
                <c:pt idx="10">
                  <c:v>79.143289407000012</c:v>
                </c:pt>
                <c:pt idx="11">
                  <c:v>79.138645677</c:v>
                </c:pt>
                <c:pt idx="12">
                  <c:v>72.750199976999994</c:v>
                </c:pt>
                <c:pt idx="13">
                  <c:v>70.515637100999996</c:v>
                </c:pt>
                <c:pt idx="14">
                  <c:v>68.915606760000003</c:v>
                </c:pt>
                <c:pt idx="15">
                  <c:v>67.831494821999996</c:v>
                </c:pt>
                <c:pt idx="16">
                  <c:v>67.142365290000001</c:v>
                </c:pt>
                <c:pt idx="17">
                  <c:v>66.757665428999999</c:v>
                </c:pt>
                <c:pt idx="18">
                  <c:v>66.608270000999994</c:v>
                </c:pt>
                <c:pt idx="19">
                  <c:v>66.643296992999993</c:v>
                </c:pt>
                <c:pt idx="20">
                  <c:v>66.632749092000012</c:v>
                </c:pt>
                <c:pt idx="21">
                  <c:v>67.139181018000002</c:v>
                </c:pt>
                <c:pt idx="22">
                  <c:v>67.958799362999997</c:v>
                </c:pt>
                <c:pt idx="23">
                  <c:v>69.09439036500001</c:v>
                </c:pt>
                <c:pt idx="24">
                  <c:v>70.565524029000002</c:v>
                </c:pt>
                <c:pt idx="25">
                  <c:v>72.417708908999998</c:v>
                </c:pt>
                <c:pt idx="26">
                  <c:v>74.731281534000004</c:v>
                </c:pt>
                <c:pt idx="27">
                  <c:v>77.587838873999999</c:v>
                </c:pt>
                <c:pt idx="28">
                  <c:v>84.558674655000004</c:v>
                </c:pt>
                <c:pt idx="29">
                  <c:v>84.872723480999994</c:v>
                </c:pt>
                <c:pt idx="30">
                  <c:v>81.925016354999997</c:v>
                </c:pt>
                <c:pt idx="31">
                  <c:v>75.893341797000005</c:v>
                </c:pt>
                <c:pt idx="32">
                  <c:v>67.066606152000006</c:v>
                </c:pt>
                <c:pt idx="33">
                  <c:v>55.784697286499998</c:v>
                </c:pt>
                <c:pt idx="34">
                  <c:v>42.4291838607</c:v>
                </c:pt>
                <c:pt idx="35">
                  <c:v>31.517420079599997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Hasil!$BM$8</c:f>
              <c:strCache>
                <c:ptCount val="1"/>
                <c:pt idx="0">
                  <c:v>Akhir Tahun Ke-7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Hasil!$BH$9:$BH$47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Hasil!$BM$9:$BM$47</c:f>
              <c:numCache>
                <c:formatCode>0.000000E+00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28.114765046635</c:v>
                </c:pt>
                <c:pt idx="5">
                  <c:v>38.239681514485</c:v>
                </c:pt>
                <c:pt idx="6">
                  <c:v>50.296107134535006</c:v>
                </c:pt>
                <c:pt idx="7">
                  <c:v>60.351672767450012</c:v>
                </c:pt>
                <c:pt idx="8">
                  <c:v>68.076534635250013</c:v>
                </c:pt>
                <c:pt idx="9">
                  <c:v>73.1660412807</c:v>
                </c:pt>
                <c:pt idx="10">
                  <c:v>75.354407552550001</c:v>
                </c:pt>
                <c:pt idx="11">
                  <c:v>74.463425241099998</c:v>
                </c:pt>
                <c:pt idx="12">
                  <c:v>67.144436388800003</c:v>
                </c:pt>
                <c:pt idx="13">
                  <c:v>64.101093617150013</c:v>
                </c:pt>
                <c:pt idx="14">
                  <c:v>61.726824582050007</c:v>
                </c:pt>
                <c:pt idx="15">
                  <c:v>59.894933466650009</c:v>
                </c:pt>
                <c:pt idx="16">
                  <c:v>58.496715612515004</c:v>
                </c:pt>
                <c:pt idx="17">
                  <c:v>57.460200512280004</c:v>
                </c:pt>
                <c:pt idx="18">
                  <c:v>56.73344699263</c:v>
                </c:pt>
                <c:pt idx="19">
                  <c:v>56.277612242400004</c:v>
                </c:pt>
                <c:pt idx="20">
                  <c:v>55.901630511645003</c:v>
                </c:pt>
                <c:pt idx="21">
                  <c:v>56.087879823490006</c:v>
                </c:pt>
                <c:pt idx="22">
                  <c:v>56.660677661385009</c:v>
                </c:pt>
                <c:pt idx="23">
                  <c:v>57.616517423445003</c:v>
                </c:pt>
                <c:pt idx="24">
                  <c:v>58.964891016949998</c:v>
                </c:pt>
                <c:pt idx="25">
                  <c:v>60.736870341349999</c:v>
                </c:pt>
                <c:pt idx="26">
                  <c:v>62.99906908505001</c:v>
                </c:pt>
                <c:pt idx="27">
                  <c:v>65.834541436750001</c:v>
                </c:pt>
                <c:pt idx="28">
                  <c:v>72.515176029649993</c:v>
                </c:pt>
                <c:pt idx="29">
                  <c:v>73.220079366700006</c:v>
                </c:pt>
                <c:pt idx="30">
                  <c:v>71.013210924099994</c:v>
                </c:pt>
                <c:pt idx="31">
                  <c:v>66.046699661350004</c:v>
                </c:pt>
                <c:pt idx="32">
                  <c:v>58.560504048815005</c:v>
                </c:pt>
                <c:pt idx="33">
                  <c:v>48.836550179085002</c:v>
                </c:pt>
                <c:pt idx="34">
                  <c:v>37.186303007195001</c:v>
                </c:pt>
                <c:pt idx="35">
                  <c:v>27.507423949635001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18960"/>
        <c:axId val="381012976"/>
      </c:scatterChart>
      <c:valAx>
        <c:axId val="381018960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Aksial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1012976"/>
        <c:crosses val="autoZero"/>
        <c:crossBetween val="midCat"/>
      </c:valAx>
      <c:valAx>
        <c:axId val="3810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Densitas Daya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101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233729</xdr:colOff>
      <xdr:row>74</xdr:row>
      <xdr:rowOff>17219</xdr:rowOff>
    </xdr:from>
    <xdr:to>
      <xdr:col>9</xdr:col>
      <xdr:colOff>1600201</xdr:colOff>
      <xdr:row>91</xdr:row>
      <xdr:rowOff>149470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315061</xdr:colOff>
      <xdr:row>74</xdr:row>
      <xdr:rowOff>88289</xdr:rowOff>
    </xdr:from>
    <xdr:to>
      <xdr:col>24</xdr:col>
      <xdr:colOff>309562</xdr:colOff>
      <xdr:row>95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457200</xdr:colOff>
      <xdr:row>50</xdr:row>
      <xdr:rowOff>80962</xdr:rowOff>
    </xdr:from>
    <xdr:to>
      <xdr:col>61</xdr:col>
      <xdr:colOff>85725</xdr:colOff>
      <xdr:row>70</xdr:row>
      <xdr:rowOff>119063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37" workbookViewId="0">
      <selection activeCell="A55" sqref="A55:G56"/>
    </sheetView>
  </sheetViews>
  <sheetFormatPr defaultRowHeight="15" x14ac:dyDescent="0.25"/>
  <cols>
    <col min="1" max="1" width="41.85546875" bestFit="1" customWidth="1"/>
    <col min="2" max="2" width="7" bestFit="1" customWidth="1"/>
    <col min="3" max="3" width="9.5703125" bestFit="1" customWidth="1"/>
    <col min="4" max="4" width="11" bestFit="1" customWidth="1"/>
    <col min="5" max="5" width="7" bestFit="1" customWidth="1"/>
    <col min="6" max="6" width="12" bestFit="1" customWidth="1"/>
    <col min="7" max="7" width="9.5703125" bestFit="1" customWidth="1"/>
    <col min="10" max="10" width="2" bestFit="1" customWidth="1"/>
    <col min="11" max="11" width="36.42578125" bestFit="1" customWidth="1"/>
  </cols>
  <sheetData>
    <row r="1" spans="1:7" ht="15" customHeight="1" x14ac:dyDescent="0.25">
      <c r="A1" s="172" t="s">
        <v>35</v>
      </c>
      <c r="B1" s="173" t="s">
        <v>148</v>
      </c>
      <c r="C1" s="173"/>
      <c r="D1" s="173" t="s">
        <v>149</v>
      </c>
      <c r="E1" s="173"/>
      <c r="F1" s="173" t="s">
        <v>150</v>
      </c>
      <c r="G1" s="173"/>
    </row>
    <row r="2" spans="1:7" x14ac:dyDescent="0.25">
      <c r="A2" s="172"/>
      <c r="B2" s="32" t="s">
        <v>36</v>
      </c>
      <c r="C2" s="32" t="s">
        <v>37</v>
      </c>
      <c r="D2" s="32" t="s">
        <v>36</v>
      </c>
      <c r="E2" s="32" t="s">
        <v>37</v>
      </c>
      <c r="F2" s="33" t="s">
        <v>36</v>
      </c>
      <c r="G2" s="33" t="s">
        <v>37</v>
      </c>
    </row>
    <row r="3" spans="1:7" x14ac:dyDescent="0.25">
      <c r="A3" s="169" t="s">
        <v>151</v>
      </c>
      <c r="B3" s="170"/>
      <c r="C3" s="170"/>
      <c r="D3" s="170"/>
      <c r="E3" s="170"/>
      <c r="F3" s="170"/>
      <c r="G3" s="171"/>
    </row>
    <row r="4" spans="1:7" x14ac:dyDescent="0.25">
      <c r="A4" s="4" t="s">
        <v>152</v>
      </c>
      <c r="B4" s="4">
        <v>59.25</v>
      </c>
      <c r="C4" s="4" t="s">
        <v>153</v>
      </c>
      <c r="D4" s="4">
        <f>B4*2.54</f>
        <v>150.495</v>
      </c>
      <c r="E4" s="4" t="s">
        <v>154</v>
      </c>
      <c r="F4" s="4">
        <v>165</v>
      </c>
      <c r="G4" s="4" t="s">
        <v>154</v>
      </c>
    </row>
    <row r="5" spans="1:7" x14ac:dyDescent="0.25">
      <c r="A5" s="4" t="s">
        <v>155</v>
      </c>
      <c r="B5" s="4">
        <v>78.739999999999995</v>
      </c>
      <c r="C5" s="4" t="s">
        <v>153</v>
      </c>
      <c r="D5" s="4">
        <f>B5*2.54</f>
        <v>199.99959999999999</v>
      </c>
      <c r="E5" s="4" t="s">
        <v>154</v>
      </c>
      <c r="F5" s="4">
        <v>200</v>
      </c>
      <c r="G5" s="4" t="s">
        <v>154</v>
      </c>
    </row>
    <row r="6" spans="1:7" x14ac:dyDescent="0.25">
      <c r="A6" s="4" t="s">
        <v>215</v>
      </c>
      <c r="B6" s="4"/>
      <c r="C6" s="4"/>
      <c r="D6" s="4"/>
      <c r="E6" s="4"/>
      <c r="F6" s="4">
        <f>PI()*(F4/2)^2*F5</f>
        <v>4276492.9996991055</v>
      </c>
      <c r="G6" s="4" t="s">
        <v>216</v>
      </c>
    </row>
    <row r="7" spans="1:7" x14ac:dyDescent="0.25">
      <c r="A7" s="4" t="s">
        <v>43</v>
      </c>
      <c r="B7" s="4"/>
      <c r="C7" s="4"/>
      <c r="D7" s="4"/>
      <c r="E7" s="4"/>
      <c r="F7" s="4">
        <f>0.96*10.96</f>
        <v>10.521600000000001</v>
      </c>
      <c r="G7" s="4" t="s">
        <v>42</v>
      </c>
    </row>
    <row r="8" spans="1:7" x14ac:dyDescent="0.25">
      <c r="A8" s="13" t="s">
        <v>217</v>
      </c>
      <c r="B8" s="4"/>
      <c r="C8" s="4"/>
      <c r="D8" s="4"/>
      <c r="E8" s="4"/>
      <c r="F8" s="4">
        <f>F7*F6</f>
        <v>44995548.745634116</v>
      </c>
      <c r="G8" s="13" t="s">
        <v>218</v>
      </c>
    </row>
    <row r="9" spans="1:7" x14ac:dyDescent="0.25">
      <c r="A9" s="4"/>
      <c r="B9" s="4"/>
      <c r="C9" s="4"/>
      <c r="D9" s="4"/>
      <c r="E9" s="4"/>
      <c r="F9" s="4">
        <f>F8/1000000</f>
        <v>44.995548745634117</v>
      </c>
      <c r="G9" s="13" t="s">
        <v>219</v>
      </c>
    </row>
    <row r="10" spans="1:7" x14ac:dyDescent="0.25">
      <c r="A10" s="169" t="s">
        <v>12</v>
      </c>
      <c r="B10" s="170"/>
      <c r="C10" s="170"/>
      <c r="D10" s="170"/>
      <c r="E10" s="170"/>
      <c r="F10" s="170"/>
      <c r="G10" s="171"/>
    </row>
    <row r="11" spans="1:7" x14ac:dyDescent="0.25">
      <c r="A11" s="4" t="s">
        <v>61</v>
      </c>
      <c r="B11" s="4">
        <v>37</v>
      </c>
      <c r="C11" s="4"/>
      <c r="D11" s="4">
        <v>37</v>
      </c>
      <c r="E11" s="4"/>
      <c r="F11" s="4">
        <v>37</v>
      </c>
      <c r="G11" s="4"/>
    </row>
    <row r="12" spans="1:7" x14ac:dyDescent="0.25">
      <c r="A12" s="4" t="s">
        <v>156</v>
      </c>
      <c r="B12" s="164" t="s">
        <v>157</v>
      </c>
      <c r="C12" s="164"/>
      <c r="D12" s="164" t="s">
        <v>157</v>
      </c>
      <c r="E12" s="164"/>
      <c r="F12" s="164" t="s">
        <v>157</v>
      </c>
      <c r="G12" s="164"/>
    </row>
    <row r="13" spans="1:7" x14ac:dyDescent="0.25">
      <c r="A13" s="4" t="s">
        <v>158</v>
      </c>
      <c r="B13" s="4">
        <v>94</v>
      </c>
      <c r="C13" s="4" t="s">
        <v>153</v>
      </c>
      <c r="D13" s="4">
        <f>B13*2.54</f>
        <v>238.76</v>
      </c>
      <c r="E13" s="4" t="s">
        <v>154</v>
      </c>
      <c r="F13" s="4">
        <v>238.76</v>
      </c>
      <c r="G13" s="4" t="s">
        <v>154</v>
      </c>
    </row>
    <row r="14" spans="1:7" x14ac:dyDescent="0.25">
      <c r="A14" s="4" t="s">
        <v>159</v>
      </c>
      <c r="B14" s="4">
        <v>8.4659999999999993</v>
      </c>
      <c r="C14" s="4" t="s">
        <v>153</v>
      </c>
      <c r="D14" s="4">
        <f>B14*2.54</f>
        <v>21.503639999999997</v>
      </c>
      <c r="E14" s="4" t="s">
        <v>154</v>
      </c>
      <c r="F14" s="4">
        <v>21.503639999999997</v>
      </c>
      <c r="G14" s="4" t="s">
        <v>154</v>
      </c>
    </row>
    <row r="15" spans="1:7" x14ac:dyDescent="0.25">
      <c r="A15" s="4" t="s">
        <v>160</v>
      </c>
      <c r="B15" s="4">
        <v>0.496</v>
      </c>
      <c r="C15" s="4" t="s">
        <v>153</v>
      </c>
      <c r="D15" s="4">
        <f>B15*2.54</f>
        <v>1.2598400000000001</v>
      </c>
      <c r="E15" s="4" t="s">
        <v>154</v>
      </c>
      <c r="F15" s="4">
        <v>1.2598400000000001</v>
      </c>
      <c r="G15" s="4" t="s">
        <v>154</v>
      </c>
    </row>
    <row r="16" spans="1:7" x14ac:dyDescent="0.25">
      <c r="A16" s="4" t="s">
        <v>161</v>
      </c>
      <c r="B16" s="4">
        <v>5</v>
      </c>
      <c r="C16" s="4"/>
      <c r="D16" s="4">
        <v>5</v>
      </c>
      <c r="E16" s="4"/>
      <c r="F16" s="4">
        <v>5</v>
      </c>
      <c r="G16" s="4"/>
    </row>
    <row r="17" spans="1:7" x14ac:dyDescent="0.25">
      <c r="A17" s="4" t="s">
        <v>162</v>
      </c>
      <c r="B17" s="4">
        <v>1.75</v>
      </c>
      <c r="C17" s="4" t="s">
        <v>153</v>
      </c>
      <c r="D17" s="4">
        <f>B17*2.54</f>
        <v>4.4450000000000003</v>
      </c>
      <c r="E17" s="4" t="s">
        <v>154</v>
      </c>
      <c r="F17" s="4">
        <v>4.4450000000000003</v>
      </c>
      <c r="G17" s="4" t="s">
        <v>154</v>
      </c>
    </row>
    <row r="18" spans="1:7" x14ac:dyDescent="0.25">
      <c r="A18" s="4" t="s">
        <v>163</v>
      </c>
      <c r="B18" s="4">
        <v>264</v>
      </c>
      <c r="C18" s="4"/>
      <c r="D18" s="4">
        <v>264</v>
      </c>
      <c r="E18" s="4"/>
      <c r="F18" s="4">
        <v>264</v>
      </c>
      <c r="G18" s="4"/>
    </row>
    <row r="19" spans="1:7" x14ac:dyDescent="0.25">
      <c r="A19" s="4" t="s">
        <v>164</v>
      </c>
      <c r="B19" s="4">
        <v>24</v>
      </c>
      <c r="C19" s="4"/>
      <c r="D19" s="4">
        <v>24</v>
      </c>
      <c r="E19" s="4"/>
      <c r="F19" s="4">
        <v>24</v>
      </c>
      <c r="G19" s="4"/>
    </row>
    <row r="20" spans="1:7" x14ac:dyDescent="0.25">
      <c r="A20" s="4" t="s">
        <v>165</v>
      </c>
      <c r="B20" s="4">
        <v>1</v>
      </c>
      <c r="C20" s="4"/>
      <c r="D20" s="4">
        <v>1</v>
      </c>
      <c r="E20" s="4"/>
      <c r="F20" s="4">
        <v>1</v>
      </c>
      <c r="G20" s="4"/>
    </row>
    <row r="21" spans="1:7" x14ac:dyDescent="0.25">
      <c r="A21" s="13" t="s">
        <v>166</v>
      </c>
      <c r="B21" s="4"/>
      <c r="C21" s="4"/>
      <c r="D21" s="4"/>
      <c r="E21" s="4"/>
      <c r="F21" s="13">
        <v>0.04</v>
      </c>
      <c r="G21" s="4" t="s">
        <v>154</v>
      </c>
    </row>
    <row r="22" spans="1:7" x14ac:dyDescent="0.25">
      <c r="A22" s="169" t="s">
        <v>167</v>
      </c>
      <c r="B22" s="170"/>
      <c r="C22" s="170"/>
      <c r="D22" s="170"/>
      <c r="E22" s="170"/>
      <c r="F22" s="170"/>
      <c r="G22" s="171"/>
    </row>
    <row r="23" spans="1:7" x14ac:dyDescent="0.25">
      <c r="A23" s="4" t="s">
        <v>61</v>
      </c>
      <c r="B23" s="4">
        <v>264</v>
      </c>
      <c r="C23" s="4"/>
      <c r="D23" s="4">
        <v>264</v>
      </c>
      <c r="E23" s="4"/>
      <c r="F23" s="4">
        <v>264</v>
      </c>
      <c r="G23" s="4"/>
    </row>
    <row r="24" spans="1:7" x14ac:dyDescent="0.25">
      <c r="A24" s="4" t="s">
        <v>11</v>
      </c>
      <c r="B24" s="4">
        <v>6.4999999999999997E-3</v>
      </c>
      <c r="C24" s="4" t="s">
        <v>153</v>
      </c>
      <c r="D24" s="4">
        <f>B24*2.54</f>
        <v>1.651E-2</v>
      </c>
      <c r="E24" s="4" t="s">
        <v>154</v>
      </c>
      <c r="F24" s="4">
        <v>1.651E-2</v>
      </c>
      <c r="G24" s="4" t="s">
        <v>154</v>
      </c>
    </row>
    <row r="25" spans="1:7" x14ac:dyDescent="0.25">
      <c r="A25" s="4" t="s">
        <v>168</v>
      </c>
      <c r="B25" s="164" t="s">
        <v>169</v>
      </c>
      <c r="C25" s="164"/>
      <c r="D25" s="164" t="s">
        <v>169</v>
      </c>
      <c r="E25" s="164"/>
      <c r="F25" s="164" t="s">
        <v>170</v>
      </c>
      <c r="G25" s="164"/>
    </row>
    <row r="26" spans="1:7" x14ac:dyDescent="0.25">
      <c r="A26" s="4" t="s">
        <v>171</v>
      </c>
      <c r="B26" s="4">
        <v>0.374</v>
      </c>
      <c r="C26" s="4" t="s">
        <v>153</v>
      </c>
      <c r="D26" s="4">
        <f>B26*2.54</f>
        <v>0.94996000000000003</v>
      </c>
      <c r="E26" s="4" t="s">
        <v>154</v>
      </c>
      <c r="F26" s="4">
        <v>0.94996000000000003</v>
      </c>
      <c r="G26" s="4" t="s">
        <v>154</v>
      </c>
    </row>
    <row r="27" spans="1:7" x14ac:dyDescent="0.25">
      <c r="A27" s="4" t="s">
        <v>172</v>
      </c>
      <c r="B27" s="4">
        <v>0.32600000000000001</v>
      </c>
      <c r="C27" s="4" t="s">
        <v>153</v>
      </c>
      <c r="D27" s="4">
        <f>B27*2.54</f>
        <v>0.82804</v>
      </c>
      <c r="E27" s="4" t="s">
        <v>154</v>
      </c>
      <c r="F27" s="4">
        <v>0.82804</v>
      </c>
      <c r="G27" s="4" t="s">
        <v>154</v>
      </c>
    </row>
    <row r="28" spans="1:7" x14ac:dyDescent="0.25">
      <c r="A28" s="4" t="s">
        <v>173</v>
      </c>
      <c r="B28" s="4">
        <v>2.4E-2</v>
      </c>
      <c r="C28" s="4" t="s">
        <v>153</v>
      </c>
      <c r="D28" s="4">
        <f>B28*2.54</f>
        <v>6.096E-2</v>
      </c>
      <c r="E28" s="4" t="s">
        <v>154</v>
      </c>
      <c r="F28" s="4">
        <v>6.096E-2</v>
      </c>
      <c r="G28" s="4" t="s">
        <v>154</v>
      </c>
    </row>
    <row r="29" spans="1:7" x14ac:dyDescent="0.25">
      <c r="A29" s="4" t="s">
        <v>174</v>
      </c>
      <c r="B29" s="4">
        <v>85</v>
      </c>
      <c r="C29" s="4" t="s">
        <v>153</v>
      </c>
      <c r="D29" s="4">
        <f>B29*2.54</f>
        <v>215.9</v>
      </c>
      <c r="E29" s="4" t="s">
        <v>154</v>
      </c>
      <c r="F29" s="4">
        <v>215.9</v>
      </c>
      <c r="G29" s="4" t="s">
        <v>154</v>
      </c>
    </row>
    <row r="30" spans="1:7" x14ac:dyDescent="0.25">
      <c r="A30" s="4" t="s">
        <v>175</v>
      </c>
      <c r="B30" s="164" t="s">
        <v>176</v>
      </c>
      <c r="C30" s="164"/>
      <c r="D30" s="164" t="s">
        <v>176</v>
      </c>
      <c r="E30" s="164"/>
      <c r="F30" s="164" t="s">
        <v>176</v>
      </c>
      <c r="G30" s="164"/>
    </row>
    <row r="31" spans="1:7" x14ac:dyDescent="0.25">
      <c r="A31" s="169" t="s">
        <v>177</v>
      </c>
      <c r="B31" s="170"/>
      <c r="C31" s="170"/>
      <c r="D31" s="170"/>
      <c r="E31" s="170"/>
      <c r="F31" s="170"/>
      <c r="G31" s="171"/>
    </row>
    <row r="32" spans="1:7" x14ac:dyDescent="0.25">
      <c r="A32" s="4" t="s">
        <v>73</v>
      </c>
      <c r="B32" s="164" t="s">
        <v>178</v>
      </c>
      <c r="C32" s="164"/>
      <c r="D32" s="164" t="s">
        <v>178</v>
      </c>
      <c r="E32" s="164"/>
      <c r="F32" s="164" t="s">
        <v>178</v>
      </c>
      <c r="G32" s="164"/>
    </row>
    <row r="33" spans="1:11" x14ac:dyDescent="0.25">
      <c r="A33" s="4" t="s">
        <v>179</v>
      </c>
      <c r="B33" s="164" t="s">
        <v>180</v>
      </c>
      <c r="C33" s="164"/>
      <c r="D33" s="164" t="s">
        <v>180</v>
      </c>
      <c r="E33" s="164"/>
      <c r="F33" s="164" t="s">
        <v>180</v>
      </c>
      <c r="G33" s="164"/>
    </row>
    <row r="34" spans="1:11" x14ac:dyDescent="0.25">
      <c r="A34" s="4" t="s">
        <v>152</v>
      </c>
      <c r="B34" s="4">
        <v>0.31950000000000001</v>
      </c>
      <c r="C34" s="4" t="s">
        <v>153</v>
      </c>
      <c r="D34" s="4">
        <f>B34*2.54</f>
        <v>0.81152999999999997</v>
      </c>
      <c r="E34" s="4" t="s">
        <v>154</v>
      </c>
      <c r="F34" s="4">
        <v>0.81152999999999997</v>
      </c>
      <c r="G34" s="4" t="s">
        <v>154</v>
      </c>
    </row>
    <row r="35" spans="1:11" x14ac:dyDescent="0.25">
      <c r="A35" s="4" t="s">
        <v>158</v>
      </c>
      <c r="B35" s="4">
        <v>0.4</v>
      </c>
      <c r="C35" s="4" t="s">
        <v>153</v>
      </c>
      <c r="D35" s="4">
        <f>B35*2.54</f>
        <v>1.016</v>
      </c>
      <c r="E35" s="4" t="s">
        <v>154</v>
      </c>
      <c r="F35" s="4">
        <v>1.016</v>
      </c>
      <c r="G35" s="4" t="s">
        <v>154</v>
      </c>
    </row>
    <row r="36" spans="1:11" x14ac:dyDescent="0.25">
      <c r="A36" s="169" t="s">
        <v>181</v>
      </c>
      <c r="B36" s="170"/>
      <c r="C36" s="170"/>
      <c r="D36" s="170"/>
      <c r="E36" s="170"/>
      <c r="F36" s="170"/>
      <c r="G36" s="171"/>
    </row>
    <row r="37" spans="1:11" x14ac:dyDescent="0.25">
      <c r="A37" s="4" t="s">
        <v>61</v>
      </c>
      <c r="B37" s="4">
        <v>16</v>
      </c>
      <c r="C37" s="4"/>
      <c r="D37" s="4">
        <v>16</v>
      </c>
      <c r="E37" s="4"/>
      <c r="F37" s="4">
        <v>16</v>
      </c>
      <c r="G37" s="4"/>
    </row>
    <row r="38" spans="1:11" x14ac:dyDescent="0.25">
      <c r="A38" s="4" t="s">
        <v>182</v>
      </c>
      <c r="B38" s="164" t="s">
        <v>183</v>
      </c>
      <c r="C38" s="164"/>
      <c r="D38" s="164" t="s">
        <v>183</v>
      </c>
      <c r="E38" s="164"/>
      <c r="F38" s="164" t="s">
        <v>183</v>
      </c>
      <c r="G38" s="164"/>
    </row>
    <row r="39" spans="1:11" x14ac:dyDescent="0.25">
      <c r="A39" s="4" t="s">
        <v>184</v>
      </c>
      <c r="B39" s="164" t="s">
        <v>185</v>
      </c>
      <c r="C39" s="164"/>
      <c r="D39" s="164" t="s">
        <v>185</v>
      </c>
      <c r="E39" s="164"/>
      <c r="F39" s="164" t="s">
        <v>185</v>
      </c>
      <c r="G39" s="164"/>
    </row>
    <row r="40" spans="1:11" x14ac:dyDescent="0.25">
      <c r="A40" s="4" t="s">
        <v>71</v>
      </c>
      <c r="B40" s="164" t="s">
        <v>186</v>
      </c>
      <c r="C40" s="164"/>
      <c r="D40" s="164" t="s">
        <v>186</v>
      </c>
      <c r="E40" s="164"/>
      <c r="F40" s="164" t="s">
        <v>186</v>
      </c>
      <c r="G40" s="164"/>
    </row>
    <row r="41" spans="1:11" x14ac:dyDescent="0.25">
      <c r="A41" s="4" t="s">
        <v>175</v>
      </c>
      <c r="B41" s="164" t="s">
        <v>176</v>
      </c>
      <c r="C41" s="164"/>
      <c r="D41" s="164" t="s">
        <v>176</v>
      </c>
      <c r="E41" s="164"/>
      <c r="F41" s="164" t="s">
        <v>176</v>
      </c>
      <c r="G41" s="164"/>
    </row>
    <row r="42" spans="1:11" x14ac:dyDescent="0.25">
      <c r="A42" s="165" t="s">
        <v>187</v>
      </c>
      <c r="B42" s="166"/>
      <c r="C42" s="166"/>
      <c r="D42" s="166"/>
      <c r="E42" s="166"/>
      <c r="F42" s="166"/>
      <c r="G42" s="167"/>
    </row>
    <row r="43" spans="1:11" x14ac:dyDescent="0.25">
      <c r="A43" s="4" t="s">
        <v>188</v>
      </c>
      <c r="B43" s="4">
        <v>0.48199999999999998</v>
      </c>
      <c r="C43" s="4" t="s">
        <v>153</v>
      </c>
      <c r="D43" s="4">
        <f>B43*2.54</f>
        <v>1.22428</v>
      </c>
      <c r="E43" s="4" t="s">
        <v>154</v>
      </c>
      <c r="F43" s="4">
        <v>1.22428</v>
      </c>
      <c r="G43" s="4" t="s">
        <v>154</v>
      </c>
    </row>
    <row r="44" spans="1:11" x14ac:dyDescent="0.25">
      <c r="A44" s="4" t="s">
        <v>189</v>
      </c>
      <c r="B44" s="4">
        <v>0.45</v>
      </c>
      <c r="C44" s="4" t="s">
        <v>153</v>
      </c>
      <c r="D44" s="4">
        <f>B44*2.54</f>
        <v>1.143</v>
      </c>
      <c r="E44" s="4" t="s">
        <v>154</v>
      </c>
      <c r="F44" s="4">
        <v>1.143</v>
      </c>
      <c r="G44" s="4" t="s">
        <v>154</v>
      </c>
    </row>
    <row r="45" spans="1:11" x14ac:dyDescent="0.25">
      <c r="A45" s="4" t="s">
        <v>190</v>
      </c>
      <c r="B45" s="4">
        <v>0.39700000000000002</v>
      </c>
      <c r="C45" s="4" t="s">
        <v>153</v>
      </c>
      <c r="D45" s="4">
        <f>B45*2.54</f>
        <v>1.0083800000000001</v>
      </c>
      <c r="E45" s="4" t="s">
        <v>154</v>
      </c>
      <c r="F45" s="4">
        <v>1.0083800000000001</v>
      </c>
      <c r="G45" s="4" t="s">
        <v>154</v>
      </c>
    </row>
    <row r="46" spans="1:11" x14ac:dyDescent="0.25">
      <c r="A46" s="168" t="s">
        <v>191</v>
      </c>
      <c r="B46" s="168"/>
      <c r="C46" s="168"/>
      <c r="D46" s="168"/>
      <c r="E46" s="168"/>
      <c r="F46" s="168"/>
      <c r="G46" s="168"/>
      <c r="I46" t="s">
        <v>205</v>
      </c>
    </row>
    <row r="47" spans="1:11" x14ac:dyDescent="0.25">
      <c r="A47" s="4" t="s">
        <v>192</v>
      </c>
      <c r="B47" s="4">
        <v>160</v>
      </c>
      <c r="C47" s="4" t="s">
        <v>193</v>
      </c>
      <c r="D47" s="4"/>
      <c r="E47" s="4"/>
      <c r="F47" s="4">
        <v>160</v>
      </c>
      <c r="G47" s="4" t="s">
        <v>193</v>
      </c>
      <c r="I47" s="163" t="s">
        <v>207</v>
      </c>
      <c r="J47" s="163"/>
      <c r="K47" s="163"/>
    </row>
    <row r="48" spans="1:11" x14ac:dyDescent="0.25">
      <c r="A48" s="4" t="s">
        <v>194</v>
      </c>
      <c r="B48" s="4">
        <v>24</v>
      </c>
      <c r="C48" s="4" t="s">
        <v>195</v>
      </c>
      <c r="D48" s="4"/>
      <c r="E48" s="4"/>
      <c r="F48" s="4">
        <v>24</v>
      </c>
      <c r="G48" s="4" t="s">
        <v>195</v>
      </c>
      <c r="I48" s="42"/>
      <c r="J48" t="s">
        <v>209</v>
      </c>
      <c r="K48" t="s">
        <v>210</v>
      </c>
    </row>
    <row r="49" spans="1:7" x14ac:dyDescent="0.25">
      <c r="A49" s="4" t="s">
        <v>196</v>
      </c>
      <c r="B49" s="4">
        <f>50*1000</f>
        <v>50000</v>
      </c>
      <c r="C49" s="4" t="s">
        <v>197</v>
      </c>
      <c r="D49" s="4"/>
      <c r="E49" s="4"/>
      <c r="F49" s="4">
        <v>60000</v>
      </c>
      <c r="G49" s="4" t="s">
        <v>197</v>
      </c>
    </row>
    <row r="50" spans="1:7" x14ac:dyDescent="0.25">
      <c r="A50" s="4" t="s">
        <v>198</v>
      </c>
      <c r="B50" s="4">
        <v>5</v>
      </c>
      <c r="C50" s="4" t="s">
        <v>199</v>
      </c>
      <c r="D50" s="4"/>
      <c r="E50" s="4"/>
      <c r="F50" s="4">
        <v>1.6404200000000001E-4</v>
      </c>
      <c r="G50" s="4" t="s">
        <v>200</v>
      </c>
    </row>
    <row r="51" spans="1:7" x14ac:dyDescent="0.25">
      <c r="A51" s="4" t="s">
        <v>201</v>
      </c>
      <c r="B51" s="4"/>
      <c r="C51" s="4"/>
      <c r="D51" s="4"/>
      <c r="E51" s="4"/>
      <c r="F51" s="4">
        <f>F50*72</f>
        <v>1.1811024000000002E-2</v>
      </c>
      <c r="G51" s="4" t="s">
        <v>200</v>
      </c>
    </row>
    <row r="52" spans="1:7" x14ac:dyDescent="0.25">
      <c r="A52" s="4" t="s">
        <v>202</v>
      </c>
      <c r="B52" s="4">
        <v>1850</v>
      </c>
      <c r="C52" s="4" t="s">
        <v>51</v>
      </c>
      <c r="D52" s="4"/>
      <c r="E52" s="4"/>
      <c r="F52" s="4">
        <v>1850</v>
      </c>
      <c r="G52" s="4" t="s">
        <v>51</v>
      </c>
    </row>
    <row r="53" spans="1:7" x14ac:dyDescent="0.25">
      <c r="A53" s="13" t="s">
        <v>203</v>
      </c>
      <c r="B53" s="4">
        <v>930</v>
      </c>
      <c r="C53" s="4" t="s">
        <v>204</v>
      </c>
      <c r="D53" s="4"/>
      <c r="E53" s="4"/>
      <c r="F53" s="41">
        <f>(B53+459.67)*5/9</f>
        <v>772.03888888888889</v>
      </c>
      <c r="G53" s="4" t="s">
        <v>45</v>
      </c>
    </row>
    <row r="54" spans="1:7" x14ac:dyDescent="0.25">
      <c r="A54" s="4" t="s">
        <v>206</v>
      </c>
      <c r="B54" s="4">
        <v>543</v>
      </c>
      <c r="C54" s="4" t="s">
        <v>204</v>
      </c>
      <c r="D54" s="4"/>
      <c r="E54" s="4"/>
      <c r="F54" s="41">
        <f>(B54+459.67)*5/9</f>
        <v>557.03888888888889</v>
      </c>
      <c r="G54" s="4" t="s">
        <v>45</v>
      </c>
    </row>
    <row r="55" spans="1:7" x14ac:dyDescent="0.25">
      <c r="A55" s="13" t="s">
        <v>208</v>
      </c>
      <c r="B55" s="13"/>
      <c r="C55" s="13"/>
      <c r="D55" s="13"/>
      <c r="E55" s="13"/>
      <c r="F55" s="106">
        <v>771.31946716807272</v>
      </c>
      <c r="G55" s="13" t="s">
        <v>45</v>
      </c>
    </row>
    <row r="56" spans="1:7" x14ac:dyDescent="0.25">
      <c r="A56" s="13" t="s">
        <v>211</v>
      </c>
      <c r="B56" s="13"/>
      <c r="C56" s="13"/>
      <c r="D56" s="13"/>
      <c r="E56" s="13"/>
      <c r="F56" s="106">
        <v>711.77061276948893</v>
      </c>
      <c r="G56" s="13" t="s">
        <v>45</v>
      </c>
    </row>
  </sheetData>
  <mergeCells count="39">
    <mergeCell ref="A10:G10"/>
    <mergeCell ref="A1:A2"/>
    <mergeCell ref="B1:C1"/>
    <mergeCell ref="D1:E1"/>
    <mergeCell ref="F1:G1"/>
    <mergeCell ref="A3:G3"/>
    <mergeCell ref="B12:C12"/>
    <mergeCell ref="D12:E12"/>
    <mergeCell ref="F12:G12"/>
    <mergeCell ref="A22:G22"/>
    <mergeCell ref="B25:C25"/>
    <mergeCell ref="D25:E25"/>
    <mergeCell ref="F25:G25"/>
    <mergeCell ref="B30:C30"/>
    <mergeCell ref="D30:E30"/>
    <mergeCell ref="F30:G30"/>
    <mergeCell ref="A31:G31"/>
    <mergeCell ref="B32:C32"/>
    <mergeCell ref="D32:E32"/>
    <mergeCell ref="F32:G32"/>
    <mergeCell ref="B33:C33"/>
    <mergeCell ref="D33:E33"/>
    <mergeCell ref="F33:G33"/>
    <mergeCell ref="A36:G36"/>
    <mergeCell ref="B38:C38"/>
    <mergeCell ref="D38:E38"/>
    <mergeCell ref="F38:G38"/>
    <mergeCell ref="I47:K47"/>
    <mergeCell ref="B39:C39"/>
    <mergeCell ref="D39:E39"/>
    <mergeCell ref="F39:G39"/>
    <mergeCell ref="B40:C40"/>
    <mergeCell ref="D40:E40"/>
    <mergeCell ref="F40:G40"/>
    <mergeCell ref="B41:C41"/>
    <mergeCell ref="D41:E41"/>
    <mergeCell ref="F41:G41"/>
    <mergeCell ref="A42:G42"/>
    <mergeCell ref="A46:G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topLeftCell="G1" workbookViewId="0">
      <selection activeCell="N3" sqref="N3:N7"/>
    </sheetView>
  </sheetViews>
  <sheetFormatPr defaultRowHeight="15" x14ac:dyDescent="0.25"/>
  <cols>
    <col min="2" max="2" width="18.85546875" bestFit="1" customWidth="1"/>
    <col min="3" max="3" width="12" bestFit="1" customWidth="1"/>
    <col min="5" max="5" width="18.42578125" bestFit="1" customWidth="1"/>
    <col min="6" max="6" width="12" bestFit="1" customWidth="1"/>
    <col min="10" max="10" width="10.28515625" bestFit="1" customWidth="1"/>
    <col min="11" max="11" width="12.140625" bestFit="1" customWidth="1"/>
  </cols>
  <sheetData>
    <row r="1" spans="2:14" x14ac:dyDescent="0.25">
      <c r="H1" s="174" t="s">
        <v>376</v>
      </c>
      <c r="I1" s="175"/>
      <c r="J1" s="175"/>
      <c r="K1" s="175"/>
      <c r="L1" s="175"/>
      <c r="M1" s="175"/>
      <c r="N1" s="175"/>
    </row>
    <row r="2" spans="2:14" x14ac:dyDescent="0.25">
      <c r="B2" s="178" t="s">
        <v>0</v>
      </c>
      <c r="C2" s="179"/>
      <c r="E2" s="178" t="s">
        <v>1</v>
      </c>
      <c r="F2" s="179"/>
      <c r="H2" s="103" t="s">
        <v>283</v>
      </c>
      <c r="I2" s="133" t="s">
        <v>255</v>
      </c>
      <c r="J2" s="103" t="s">
        <v>286</v>
      </c>
      <c r="K2" s="103" t="s">
        <v>287</v>
      </c>
      <c r="L2" s="103" t="s">
        <v>284</v>
      </c>
      <c r="M2" s="103" t="s">
        <v>285</v>
      </c>
      <c r="N2" s="3" t="s">
        <v>377</v>
      </c>
    </row>
    <row r="3" spans="2:14" x14ac:dyDescent="0.25">
      <c r="B3" s="133" t="s">
        <v>2</v>
      </c>
      <c r="C3" s="133" t="s">
        <v>3</v>
      </c>
      <c r="E3" s="3" t="s">
        <v>2</v>
      </c>
      <c r="F3" s="3" t="s">
        <v>4</v>
      </c>
      <c r="H3" s="5" t="s">
        <v>226</v>
      </c>
      <c r="I3" s="5">
        <v>200</v>
      </c>
      <c r="J3" s="4">
        <f>K3+2*L3</f>
        <v>143</v>
      </c>
      <c r="K3" s="4">
        <f>K4-25</f>
        <v>115</v>
      </c>
      <c r="L3" s="4">
        <v>14</v>
      </c>
      <c r="M3" s="4">
        <f>2*(J3/2)*(1-(((K3/2)/(J3/2))^2))</f>
        <v>50.517482517482527</v>
      </c>
      <c r="N3" s="4">
        <f>(PI()/I3)^2+(2.405/(K3/2))^2</f>
        <v>1.9961616601217517E-3</v>
      </c>
    </row>
    <row r="4" spans="2:14" x14ac:dyDescent="0.25">
      <c r="B4" s="4" t="s">
        <v>5</v>
      </c>
      <c r="C4" s="4">
        <v>0.94996000000000003</v>
      </c>
      <c r="E4" s="5" t="s">
        <v>6</v>
      </c>
      <c r="F4" s="4">
        <f>165/2</f>
        <v>82.5</v>
      </c>
      <c r="H4" s="4" t="s">
        <v>227</v>
      </c>
      <c r="I4" s="4">
        <v>200</v>
      </c>
      <c r="J4" s="4">
        <f t="shared" ref="J4:J7" si="0">K4+2*L4</f>
        <v>168</v>
      </c>
      <c r="K4" s="4">
        <f>K5-25</f>
        <v>140</v>
      </c>
      <c r="L4" s="4">
        <v>14</v>
      </c>
      <c r="M4" s="4">
        <f t="shared" ref="M4:M7" si="1">2*(J4/2)*(1-(((K4/2)/(J4/2))^2))</f>
        <v>51.333333333333321</v>
      </c>
      <c r="N4" s="4">
        <f t="shared" ref="N4:N7" si="2">(PI()/I4)^2+(2.405/(K4/2))^2</f>
        <v>1.4271533753333564E-3</v>
      </c>
    </row>
    <row r="5" spans="2:14" x14ac:dyDescent="0.25">
      <c r="B5" s="4" t="s">
        <v>7</v>
      </c>
      <c r="C5" s="4">
        <v>0.82804</v>
      </c>
      <c r="E5" s="4" t="s">
        <v>8</v>
      </c>
      <c r="F5" s="4">
        <v>200</v>
      </c>
      <c r="H5" s="4" t="s">
        <v>228</v>
      </c>
      <c r="I5" s="4">
        <v>200</v>
      </c>
      <c r="J5" s="4">
        <f>K5+2*L5</f>
        <v>193</v>
      </c>
      <c r="K5" s="4">
        <v>165</v>
      </c>
      <c r="L5" s="4">
        <v>14</v>
      </c>
      <c r="M5" s="4">
        <f t="shared" si="1"/>
        <v>51.937823834196891</v>
      </c>
      <c r="N5" s="4">
        <f t="shared" si="2"/>
        <v>1.0965509456562514E-3</v>
      </c>
    </row>
    <row r="6" spans="2:14" x14ac:dyDescent="0.25">
      <c r="B6" s="4" t="s">
        <v>9</v>
      </c>
      <c r="C6" s="4">
        <f>($C$4-$C$5)/2</f>
        <v>6.0960000000000014E-2</v>
      </c>
      <c r="E6" s="4" t="s">
        <v>10</v>
      </c>
      <c r="F6" s="4">
        <f>(PI()/F5)^2+(2.405/F4)^2</f>
        <v>1.0965509456562514E-3</v>
      </c>
      <c r="H6" s="4" t="s">
        <v>229</v>
      </c>
      <c r="I6" s="4">
        <v>200</v>
      </c>
      <c r="J6" s="4">
        <f t="shared" si="0"/>
        <v>218</v>
      </c>
      <c r="K6" s="4">
        <f>K5+25</f>
        <v>190</v>
      </c>
      <c r="L6" s="4">
        <v>14</v>
      </c>
      <c r="M6" s="4">
        <f t="shared" si="1"/>
        <v>52.403669724770644</v>
      </c>
      <c r="N6" s="4">
        <f t="shared" si="2"/>
        <v>8.8762930670313405E-4</v>
      </c>
    </row>
    <row r="7" spans="2:14" x14ac:dyDescent="0.25">
      <c r="B7" s="4" t="s">
        <v>11</v>
      </c>
      <c r="C7" s="4">
        <v>1.651E-2</v>
      </c>
      <c r="E7" s="178" t="s">
        <v>12</v>
      </c>
      <c r="F7" s="179"/>
      <c r="H7" s="4" t="s">
        <v>230</v>
      </c>
      <c r="I7" s="4">
        <v>200</v>
      </c>
      <c r="J7" s="4">
        <f t="shared" si="0"/>
        <v>243</v>
      </c>
      <c r="K7" s="4">
        <f>K6+25</f>
        <v>215</v>
      </c>
      <c r="L7" s="4">
        <v>14</v>
      </c>
      <c r="M7" s="4">
        <f t="shared" si="1"/>
        <v>52.773662551440346</v>
      </c>
      <c r="N7" s="4">
        <f t="shared" si="2"/>
        <v>7.4725065626844549E-4</v>
      </c>
    </row>
    <row r="8" spans="2:14" x14ac:dyDescent="0.25">
      <c r="B8" s="4" t="s">
        <v>13</v>
      </c>
      <c r="C8" s="4">
        <v>0.81152999999999997</v>
      </c>
      <c r="E8" s="3" t="s">
        <v>2</v>
      </c>
      <c r="F8" s="3" t="s">
        <v>4</v>
      </c>
    </row>
    <row r="9" spans="2:14" x14ac:dyDescent="0.25">
      <c r="B9" s="4" t="s">
        <v>14</v>
      </c>
      <c r="C9" s="4">
        <v>1.2598400000000001</v>
      </c>
      <c r="E9" s="5" t="s">
        <v>15</v>
      </c>
      <c r="F9" s="4">
        <v>21.417300000000001</v>
      </c>
    </row>
    <row r="10" spans="2:14" x14ac:dyDescent="0.25">
      <c r="B10" s="178" t="s">
        <v>16</v>
      </c>
      <c r="C10" s="179"/>
      <c r="E10" s="4" t="s">
        <v>17</v>
      </c>
      <c r="F10" s="4">
        <v>21.497299999999999</v>
      </c>
    </row>
    <row r="11" spans="2:14" x14ac:dyDescent="0.25">
      <c r="B11" s="6" t="s">
        <v>2</v>
      </c>
      <c r="C11" s="6" t="s">
        <v>4</v>
      </c>
      <c r="E11" s="4" t="s">
        <v>18</v>
      </c>
      <c r="F11" s="4">
        <f>(F10-F9)/2</f>
        <v>3.9999999999999147E-2</v>
      </c>
    </row>
    <row r="12" spans="2:14" x14ac:dyDescent="0.25">
      <c r="B12" s="7" t="s">
        <v>19</v>
      </c>
      <c r="C12" s="7">
        <f>$C$9/SQRT(PI())</f>
        <v>0.7107886049368054</v>
      </c>
      <c r="E12" s="4" t="s">
        <v>20</v>
      </c>
      <c r="F12" s="4">
        <v>200</v>
      </c>
    </row>
    <row r="13" spans="2:14" x14ac:dyDescent="0.25">
      <c r="B13" s="7" t="s">
        <v>21</v>
      </c>
      <c r="C13" s="7">
        <f>$C$4/2</f>
        <v>0.47498000000000001</v>
      </c>
      <c r="E13" s="8" t="s">
        <v>22</v>
      </c>
      <c r="F13" s="8">
        <f>2*F11</f>
        <v>7.9999999999998295E-2</v>
      </c>
    </row>
    <row r="14" spans="2:14" x14ac:dyDescent="0.25">
      <c r="B14" s="7" t="s">
        <v>23</v>
      </c>
      <c r="C14" s="7">
        <f>$C$13-$C$6</f>
        <v>0.41402</v>
      </c>
      <c r="E14" s="178" t="s">
        <v>278</v>
      </c>
      <c r="F14" s="179"/>
    </row>
    <row r="15" spans="2:14" x14ac:dyDescent="0.25">
      <c r="B15" s="7" t="s">
        <v>24</v>
      </c>
      <c r="C15" s="7">
        <f>$C$14-($C$7/2)</f>
        <v>0.40576499999999999</v>
      </c>
      <c r="E15" s="3" t="s">
        <v>2</v>
      </c>
      <c r="F15" s="3" t="s">
        <v>4</v>
      </c>
    </row>
    <row r="16" spans="2:14" x14ac:dyDescent="0.25">
      <c r="B16" s="178" t="s">
        <v>22</v>
      </c>
      <c r="C16" s="179"/>
      <c r="E16" s="5" t="s">
        <v>25</v>
      </c>
      <c r="F16" s="4">
        <f>F17+28</f>
        <v>193</v>
      </c>
    </row>
    <row r="17" spans="2:8" x14ac:dyDescent="0.25">
      <c r="B17" s="9" t="s">
        <v>2</v>
      </c>
      <c r="C17" s="9" t="s">
        <v>4</v>
      </c>
      <c r="E17" s="4" t="s">
        <v>26</v>
      </c>
      <c r="F17" s="4">
        <v>165</v>
      </c>
    </row>
    <row r="18" spans="2:8" x14ac:dyDescent="0.25">
      <c r="B18" s="10" t="s">
        <v>27</v>
      </c>
      <c r="C18" s="10">
        <v>0.81152999999999997</v>
      </c>
      <c r="E18" s="4" t="s">
        <v>28</v>
      </c>
      <c r="F18" s="4">
        <v>14</v>
      </c>
    </row>
    <row r="19" spans="2:8" x14ac:dyDescent="0.25">
      <c r="B19" s="10" t="s">
        <v>29</v>
      </c>
      <c r="C19" s="10">
        <v>1.651E-2</v>
      </c>
      <c r="E19" s="8" t="s">
        <v>22</v>
      </c>
      <c r="F19" s="8">
        <f>2*(F16/2)*(1-(((F17/2)/(F16/2))^2))</f>
        <v>51.937823834196891</v>
      </c>
    </row>
    <row r="20" spans="2:8" x14ac:dyDescent="0.25">
      <c r="B20" s="10" t="s">
        <v>30</v>
      </c>
      <c r="C20" s="10">
        <f>($C$4-$C$5)</f>
        <v>0.12192000000000003</v>
      </c>
      <c r="E20" s="178" t="s">
        <v>279</v>
      </c>
      <c r="F20" s="179"/>
    </row>
    <row r="21" spans="2:8" x14ac:dyDescent="0.25">
      <c r="B21" s="10" t="s">
        <v>31</v>
      </c>
      <c r="C21" s="10">
        <f>4*((C9^2)-(PI()/4*C4^2))/((4*C9)+(PI()*C4))</f>
        <v>0.43791741341351054</v>
      </c>
      <c r="E21" s="132" t="s">
        <v>33</v>
      </c>
      <c r="F21" s="132">
        <v>81</v>
      </c>
    </row>
    <row r="22" spans="2:8" x14ac:dyDescent="0.25">
      <c r="B22" s="176" t="s">
        <v>32</v>
      </c>
      <c r="C22" s="177"/>
      <c r="E22" s="4" t="s">
        <v>280</v>
      </c>
      <c r="F22" s="4">
        <f>F21-F23-F24</f>
        <v>72</v>
      </c>
    </row>
    <row r="23" spans="2:8" x14ac:dyDescent="0.25">
      <c r="B23" s="137">
        <v>1</v>
      </c>
      <c r="C23" s="137">
        <v>0</v>
      </c>
      <c r="E23" s="4" t="s">
        <v>281</v>
      </c>
      <c r="F23" s="4">
        <v>8</v>
      </c>
      <c r="G23">
        <v>0</v>
      </c>
    </row>
    <row r="24" spans="2:8" x14ac:dyDescent="0.25">
      <c r="B24" s="137">
        <v>2</v>
      </c>
      <c r="C24" s="137">
        <f>$C$32/9</f>
        <v>4.5085E-2</v>
      </c>
      <c r="E24" s="4" t="s">
        <v>282</v>
      </c>
      <c r="F24" s="4">
        <v>1</v>
      </c>
      <c r="G24">
        <f>C26</f>
        <v>0.13525500000000001</v>
      </c>
      <c r="H24" t="s">
        <v>275</v>
      </c>
    </row>
    <row r="25" spans="2:8" x14ac:dyDescent="0.25">
      <c r="B25" s="137">
        <v>3</v>
      </c>
      <c r="C25" s="137">
        <f>$C$24*(B25-1)</f>
        <v>9.017E-2</v>
      </c>
      <c r="E25">
        <f>C6/3</f>
        <v>2.0320000000000005E-2</v>
      </c>
      <c r="G25">
        <f>C27</f>
        <v>0.18034</v>
      </c>
      <c r="H25" t="s">
        <v>277</v>
      </c>
    </row>
    <row r="26" spans="2:8" x14ac:dyDescent="0.25">
      <c r="B26" s="137">
        <v>4</v>
      </c>
      <c r="C26" s="137">
        <f t="shared" ref="C26:C30" si="3">$C$24*(B26-1)</f>
        <v>0.13525500000000001</v>
      </c>
      <c r="G26">
        <f>(G25+G27)/2</f>
        <v>0.24796750000000001</v>
      </c>
      <c r="H26" t="s">
        <v>276</v>
      </c>
    </row>
    <row r="27" spans="2:8" x14ac:dyDescent="0.25">
      <c r="B27" s="137">
        <v>5</v>
      </c>
      <c r="C27" s="137">
        <f t="shared" si="3"/>
        <v>0.18034</v>
      </c>
      <c r="G27">
        <f>C30</f>
        <v>0.31559500000000001</v>
      </c>
      <c r="H27" t="s">
        <v>276</v>
      </c>
    </row>
    <row r="28" spans="2:8" x14ac:dyDescent="0.25">
      <c r="B28" s="137">
        <v>6</v>
      </c>
      <c r="C28" s="137">
        <f t="shared" si="3"/>
        <v>0.22542499999999999</v>
      </c>
    </row>
    <row r="29" spans="2:8" x14ac:dyDescent="0.25">
      <c r="B29" s="137">
        <v>7</v>
      </c>
      <c r="C29" s="137">
        <f t="shared" si="3"/>
        <v>0.27051000000000003</v>
      </c>
    </row>
    <row r="30" spans="2:8" x14ac:dyDescent="0.25">
      <c r="B30" s="137">
        <v>8</v>
      </c>
      <c r="C30" s="137">
        <f t="shared" si="3"/>
        <v>0.31559500000000001</v>
      </c>
    </row>
    <row r="31" spans="2:8" x14ac:dyDescent="0.25">
      <c r="B31" s="137">
        <v>9</v>
      </c>
      <c r="C31" s="137">
        <f>$C$24*(B31-1)</f>
        <v>0.36068</v>
      </c>
    </row>
    <row r="32" spans="2:8" x14ac:dyDescent="0.25">
      <c r="B32" s="137">
        <v>10</v>
      </c>
      <c r="C32" s="137">
        <f>C15</f>
        <v>0.40576499999999999</v>
      </c>
    </row>
    <row r="33" spans="2:3" x14ac:dyDescent="0.25">
      <c r="B33" s="138">
        <v>11</v>
      </c>
      <c r="C33" s="138">
        <f>C14</f>
        <v>0.41402</v>
      </c>
    </row>
    <row r="34" spans="2:3" x14ac:dyDescent="0.25">
      <c r="B34" s="11">
        <v>12</v>
      </c>
      <c r="C34" s="11">
        <f>C33+$E$25</f>
        <v>0.43434</v>
      </c>
    </row>
    <row r="35" spans="2:3" x14ac:dyDescent="0.25">
      <c r="B35" s="11">
        <v>13</v>
      </c>
      <c r="C35" s="11">
        <f>C34+$E$25</f>
        <v>0.45466000000000001</v>
      </c>
    </row>
    <row r="36" spans="2:3" x14ac:dyDescent="0.25">
      <c r="B36" s="11">
        <v>14</v>
      </c>
      <c r="C36" s="11">
        <f>C13</f>
        <v>0.47498000000000001</v>
      </c>
    </row>
    <row r="37" spans="2:3" x14ac:dyDescent="0.25">
      <c r="B37" s="136" t="s">
        <v>33</v>
      </c>
      <c r="C37" s="136">
        <v>81</v>
      </c>
    </row>
  </sheetData>
  <mergeCells count="9">
    <mergeCell ref="H1:N1"/>
    <mergeCell ref="B22:C22"/>
    <mergeCell ref="B2:C2"/>
    <mergeCell ref="E2:F2"/>
    <mergeCell ref="E7:F7"/>
    <mergeCell ref="B10:C10"/>
    <mergeCell ref="E14:F14"/>
    <mergeCell ref="B16:C16"/>
    <mergeCell ref="E20:F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workbookViewId="0">
      <selection activeCell="U80" sqref="U80"/>
    </sheetView>
  </sheetViews>
  <sheetFormatPr defaultRowHeight="15" x14ac:dyDescent="0.25"/>
  <sheetData>
    <row r="1" spans="1:21" x14ac:dyDescent="0.25">
      <c r="A1" t="s">
        <v>44</v>
      </c>
      <c r="B1">
        <v>772.03899999999999</v>
      </c>
      <c r="C1" t="s">
        <v>45</v>
      </c>
      <c r="D1" t="s">
        <v>288</v>
      </c>
      <c r="F1" t="s">
        <v>289</v>
      </c>
      <c r="G1">
        <f>2*B6*B7</f>
        <v>5.2027287617569842</v>
      </c>
      <c r="R1" s="40"/>
      <c r="S1" t="s">
        <v>206</v>
      </c>
      <c r="T1">
        <v>531.48299999999995</v>
      </c>
      <c r="U1" t="s">
        <v>45</v>
      </c>
    </row>
    <row r="2" spans="1:21" x14ac:dyDescent="0.25">
      <c r="A2" t="s">
        <v>290</v>
      </c>
      <c r="B2">
        <v>557.03899999999999</v>
      </c>
      <c r="C2" t="s">
        <v>45</v>
      </c>
      <c r="D2" t="s">
        <v>291</v>
      </c>
      <c r="F2" t="s">
        <v>292</v>
      </c>
      <c r="G2">
        <f>B12*0.00001/B8</f>
        <v>2.591863517060367E-3</v>
      </c>
      <c r="R2" s="40"/>
      <c r="S2" t="s">
        <v>290</v>
      </c>
      <c r="T2">
        <v>557.03899999999999</v>
      </c>
      <c r="U2" t="s">
        <v>45</v>
      </c>
    </row>
    <row r="3" spans="1:21" x14ac:dyDescent="0.25">
      <c r="A3" t="s">
        <v>293</v>
      </c>
      <c r="B3">
        <v>658.15</v>
      </c>
      <c r="C3" t="s">
        <v>45</v>
      </c>
      <c r="F3" t="s">
        <v>294</v>
      </c>
      <c r="G3">
        <f>B9/((B10^-1)+(B11^-1)-1)</f>
        <v>1.0154290645247896E-12</v>
      </c>
      <c r="R3" s="40"/>
      <c r="S3" t="s">
        <v>295</v>
      </c>
      <c r="T3">
        <f>(2*T2)-T1</f>
        <v>582.59500000000003</v>
      </c>
      <c r="U3" t="s">
        <v>45</v>
      </c>
    </row>
    <row r="4" spans="1:21" x14ac:dyDescent="0.25">
      <c r="A4" t="s">
        <v>296</v>
      </c>
      <c r="B4">
        <v>664.53899999999999</v>
      </c>
      <c r="C4" t="s">
        <v>45</v>
      </c>
      <c r="R4" s="40"/>
      <c r="S4" t="s">
        <v>13</v>
      </c>
      <c r="T4" s="107">
        <f>0.94996/100</f>
        <v>9.4996000000000004E-3</v>
      </c>
      <c r="U4" t="s">
        <v>297</v>
      </c>
    </row>
    <row r="5" spans="1:21" x14ac:dyDescent="0.25">
      <c r="A5" s="4" t="s">
        <v>298</v>
      </c>
      <c r="B5" s="4">
        <f>0.000164042*1000000</f>
        <v>164.042</v>
      </c>
      <c r="C5" s="4" t="s">
        <v>299</v>
      </c>
      <c r="D5" t="s">
        <v>300</v>
      </c>
      <c r="R5" s="40"/>
      <c r="S5" t="s">
        <v>301</v>
      </c>
      <c r="T5">
        <f>B6*T4*2</f>
        <v>5.9687747144083203E-2</v>
      </c>
      <c r="U5" t="s">
        <v>302</v>
      </c>
    </row>
    <row r="6" spans="1:21" x14ac:dyDescent="0.25">
      <c r="A6" s="69" t="s">
        <v>303</v>
      </c>
      <c r="B6">
        <f>PI()</f>
        <v>3.1415926535897931</v>
      </c>
      <c r="R6" s="40"/>
      <c r="S6" t="s">
        <v>304</v>
      </c>
      <c r="T6">
        <v>587.15012339999998</v>
      </c>
      <c r="U6" t="s">
        <v>305</v>
      </c>
    </row>
    <row r="7" spans="1:21" x14ac:dyDescent="0.25">
      <c r="A7" s="69" t="s">
        <v>306</v>
      </c>
      <c r="B7" s="4">
        <v>0.82804</v>
      </c>
      <c r="C7" s="4" t="s">
        <v>154</v>
      </c>
      <c r="D7" t="s">
        <v>307</v>
      </c>
      <c r="R7" s="40"/>
      <c r="S7" t="s">
        <v>308</v>
      </c>
      <c r="T7">
        <v>0.82296000000000002</v>
      </c>
      <c r="U7" t="s">
        <v>309</v>
      </c>
    </row>
    <row r="8" spans="1:21" x14ac:dyDescent="0.25">
      <c r="A8" s="69" t="s">
        <v>310</v>
      </c>
      <c r="B8" s="4">
        <v>6.0960000000000014E-2</v>
      </c>
      <c r="C8" s="4" t="s">
        <v>154</v>
      </c>
      <c r="D8" t="s">
        <v>311</v>
      </c>
      <c r="R8" s="40"/>
      <c r="S8" t="s">
        <v>312</v>
      </c>
    </row>
    <row r="9" spans="1:21" x14ac:dyDescent="0.25">
      <c r="A9" s="69" t="s">
        <v>313</v>
      </c>
      <c r="B9" s="58">
        <f>0.00000005670367/10000</f>
        <v>5.6703669999999993E-12</v>
      </c>
      <c r="C9" s="69" t="s">
        <v>372</v>
      </c>
      <c r="D9" t="s">
        <v>314</v>
      </c>
      <c r="R9" s="40"/>
      <c r="S9" t="s">
        <v>290</v>
      </c>
      <c r="T9">
        <v>557.03899999999999</v>
      </c>
      <c r="U9" t="s">
        <v>45</v>
      </c>
    </row>
    <row r="10" spans="1:21" x14ac:dyDescent="0.25">
      <c r="A10" s="69" t="s">
        <v>315</v>
      </c>
      <c r="B10" s="69">
        <v>0.87</v>
      </c>
      <c r="D10" t="s">
        <v>316</v>
      </c>
      <c r="E10" t="s">
        <v>317</v>
      </c>
      <c r="R10" s="40"/>
      <c r="S10" t="s">
        <v>318</v>
      </c>
      <c r="T10">
        <v>1850</v>
      </c>
      <c r="U10" t="s">
        <v>51</v>
      </c>
    </row>
    <row r="11" spans="1:21" x14ac:dyDescent="0.25">
      <c r="A11" s="69" t="s">
        <v>319</v>
      </c>
      <c r="B11" s="69">
        <v>0.184</v>
      </c>
      <c r="D11" t="s">
        <v>320</v>
      </c>
      <c r="E11" t="s">
        <v>321</v>
      </c>
      <c r="R11" s="40"/>
      <c r="S11" t="s">
        <v>73</v>
      </c>
      <c r="T11">
        <v>753.20399999999995</v>
      </c>
      <c r="U11" t="s">
        <v>322</v>
      </c>
    </row>
    <row r="12" spans="1:21" x14ac:dyDescent="0.25">
      <c r="A12" s="69" t="s">
        <v>323</v>
      </c>
      <c r="B12" s="69">
        <v>15.8</v>
      </c>
      <c r="R12" s="40"/>
      <c r="S12" t="s">
        <v>324</v>
      </c>
      <c r="T12" s="58">
        <v>9.3751000000000004E-5</v>
      </c>
      <c r="U12" t="s">
        <v>325</v>
      </c>
    </row>
    <row r="13" spans="1:21" x14ac:dyDescent="0.25">
      <c r="R13" s="40"/>
      <c r="S13" t="s">
        <v>326</v>
      </c>
      <c r="T13">
        <v>5.2000599999999997</v>
      </c>
      <c r="U13" t="s">
        <v>327</v>
      </c>
    </row>
    <row r="14" spans="1:21" x14ac:dyDescent="0.25">
      <c r="A14" s="180" t="s">
        <v>328</v>
      </c>
      <c r="B14" s="180"/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40"/>
      <c r="S14" t="s">
        <v>329</v>
      </c>
      <c r="T14">
        <v>4.6342128000000002</v>
      </c>
      <c r="U14" t="s">
        <v>330</v>
      </c>
    </row>
    <row r="15" spans="1:21" x14ac:dyDescent="0.25">
      <c r="A15" s="180" t="s">
        <v>331</v>
      </c>
      <c r="B15" s="180" t="s">
        <v>332</v>
      </c>
      <c r="C15" s="180"/>
      <c r="D15" s="180"/>
      <c r="E15" s="180"/>
      <c r="F15" s="180"/>
      <c r="G15" s="180" t="s">
        <v>333</v>
      </c>
      <c r="H15" s="180"/>
      <c r="I15" s="180"/>
      <c r="J15" s="180"/>
      <c r="K15" s="180"/>
      <c r="L15" s="180" t="s">
        <v>334</v>
      </c>
      <c r="M15" s="180"/>
      <c r="N15" s="180"/>
      <c r="O15" s="180"/>
      <c r="P15" s="180"/>
      <c r="Q15" s="134" t="s">
        <v>335</v>
      </c>
      <c r="R15" s="40"/>
    </row>
    <row r="16" spans="1:21" x14ac:dyDescent="0.25">
      <c r="A16" s="180"/>
      <c r="B16" t="s">
        <v>336</v>
      </c>
      <c r="C16" t="s">
        <v>347</v>
      </c>
      <c r="D16" t="s">
        <v>373</v>
      </c>
      <c r="E16" t="s">
        <v>337</v>
      </c>
      <c r="F16" t="s">
        <v>338</v>
      </c>
      <c r="G16" t="s">
        <v>336</v>
      </c>
      <c r="H16" t="s">
        <v>347</v>
      </c>
      <c r="I16" t="s">
        <v>323</v>
      </c>
      <c r="J16" t="s">
        <v>337</v>
      </c>
      <c r="K16" t="s">
        <v>338</v>
      </c>
      <c r="L16" t="s">
        <v>336</v>
      </c>
      <c r="M16" t="s">
        <v>347</v>
      </c>
      <c r="N16" t="s">
        <v>323</v>
      </c>
      <c r="O16" t="s">
        <v>337</v>
      </c>
      <c r="P16" t="s">
        <v>338</v>
      </c>
      <c r="R16" s="40"/>
      <c r="S16" t="s">
        <v>339</v>
      </c>
    </row>
    <row r="17" spans="1:21" x14ac:dyDescent="0.25">
      <c r="A17">
        <v>1</v>
      </c>
      <c r="B17">
        <v>600</v>
      </c>
      <c r="C17">
        <f>($B$1+B17)/2</f>
        <v>686.01949999999999</v>
      </c>
      <c r="D17">
        <f>$G$2*C17^0.79</f>
        <v>0.45114685326705301</v>
      </c>
      <c r="E17">
        <f t="shared" ref="E17:E66" si="0">($B$1^4-B17^4)/($B$1-B17)</f>
        <v>1311729952.1632953</v>
      </c>
      <c r="F17">
        <f t="shared" ref="F17:F66" si="1">$B$1-($B$5/($G$1*(D17+($G$3*E17))))-B17</f>
        <v>102.35619675839087</v>
      </c>
      <c r="G17">
        <f t="shared" ref="G17:G66" si="2">(B17+L17)/2</f>
        <v>700</v>
      </c>
      <c r="H17">
        <f>($B$1+G17)/2</f>
        <v>736.01949999999999</v>
      </c>
      <c r="I17">
        <f>$G$2*H17^0.79</f>
        <v>0.47693005545662226</v>
      </c>
      <c r="J17">
        <f t="shared" ref="J17:J66" si="3">($B$1^4-G17^4)/($B$1-G17)</f>
        <v>1598699443.9153953</v>
      </c>
      <c r="K17">
        <f t="shared" ref="K17:K66" si="4">$B$1-($B$5/($G$1*(I17+($G$3*J17))))-G17</f>
        <v>6.1529540173405621</v>
      </c>
      <c r="L17">
        <v>800</v>
      </c>
      <c r="M17">
        <f>($B$1+L17)/2</f>
        <v>786.01949999999999</v>
      </c>
      <c r="N17">
        <f>$G$2*M17^0.79</f>
        <v>0.50234773880358363</v>
      </c>
      <c r="O17">
        <f t="shared" ref="O17:O66" si="5">($B$1^4-L17^4)/($B$1-L17)</f>
        <v>1943109715.6674957</v>
      </c>
      <c r="P17">
        <f t="shared" ref="P17:P66" si="6">$B$1-($B$5/($G$1*(N17+($G$3*O17))))-L17</f>
        <v>-90.480711496233084</v>
      </c>
      <c r="R17" s="40"/>
      <c r="T17" t="s">
        <v>340</v>
      </c>
      <c r="U17" s="58">
        <f>T11*T7*T4/T12</f>
        <v>62808.837385995495</v>
      </c>
    </row>
    <row r="18" spans="1:21" x14ac:dyDescent="0.25">
      <c r="A18">
        <v>2</v>
      </c>
      <c r="B18">
        <f t="shared" ref="B18:B66" si="7">IF(F17*K17&gt;0,G17,B17)</f>
        <v>700</v>
      </c>
      <c r="C18">
        <f t="shared" ref="C18:C66" si="8">($B$1+B18)/2</f>
        <v>736.01949999999999</v>
      </c>
      <c r="D18">
        <f t="shared" ref="D18:D66" si="9">$G$2*C18^0.79</f>
        <v>0.47693005545662226</v>
      </c>
      <c r="E18">
        <f t="shared" si="0"/>
        <v>1598699443.9153953</v>
      </c>
      <c r="F18">
        <f t="shared" si="1"/>
        <v>6.1529540173405621</v>
      </c>
      <c r="G18">
        <f t="shared" si="2"/>
        <v>750</v>
      </c>
      <c r="H18">
        <f t="shared" ref="H18:H66" si="10">($B$1+G18)/2</f>
        <v>761.01949999999999</v>
      </c>
      <c r="I18">
        <f t="shared" ref="I18:I66" si="11">$G$2*H18^0.79</f>
        <v>0.48968274253804794</v>
      </c>
      <c r="J18">
        <f t="shared" si="3"/>
        <v>1763349482.2914448</v>
      </c>
      <c r="K18">
        <f t="shared" si="4"/>
        <v>-42.115029927897353</v>
      </c>
      <c r="L18">
        <f t="shared" ref="L18:L66" si="12">IF(K17*P17&lt;0,L17,G17)</f>
        <v>800</v>
      </c>
      <c r="M18">
        <f t="shared" ref="M18:M66" si="13">($B$1+L18)/2</f>
        <v>786.01949999999999</v>
      </c>
      <c r="N18">
        <f t="shared" ref="N18:N66" si="14">$G$2*M18^0.79</f>
        <v>0.50234773880358363</v>
      </c>
      <c r="O18">
        <f t="shared" si="5"/>
        <v>1943109715.6674957</v>
      </c>
      <c r="P18">
        <f t="shared" si="6"/>
        <v>-90.480711496233084</v>
      </c>
      <c r="Q18">
        <f>G18-G17</f>
        <v>50</v>
      </c>
      <c r="R18" s="40"/>
      <c r="T18" t="s">
        <v>341</v>
      </c>
      <c r="U18" s="58">
        <f>T13*T12/T14</f>
        <v>1.0519819570219131E-4</v>
      </c>
    </row>
    <row r="19" spans="1:21" x14ac:dyDescent="0.25">
      <c r="A19">
        <v>3</v>
      </c>
      <c r="B19">
        <f t="shared" si="7"/>
        <v>700</v>
      </c>
      <c r="C19">
        <f t="shared" si="8"/>
        <v>736.01949999999999</v>
      </c>
      <c r="D19">
        <f t="shared" si="9"/>
        <v>0.47693005545662226</v>
      </c>
      <c r="E19">
        <f t="shared" si="0"/>
        <v>1598699443.9153953</v>
      </c>
      <c r="F19">
        <f t="shared" si="1"/>
        <v>6.1529540173405621</v>
      </c>
      <c r="G19">
        <f t="shared" si="2"/>
        <v>725</v>
      </c>
      <c r="H19">
        <f t="shared" si="10"/>
        <v>748.51949999999999</v>
      </c>
      <c r="I19">
        <f t="shared" si="11"/>
        <v>0.48331758023202565</v>
      </c>
      <c r="J19">
        <f t="shared" si="3"/>
        <v>1679182563.72842</v>
      </c>
      <c r="K19">
        <f t="shared" si="4"/>
        <v>-17.968255552851588</v>
      </c>
      <c r="L19">
        <f t="shared" si="12"/>
        <v>750</v>
      </c>
      <c r="M19">
        <f t="shared" si="13"/>
        <v>761.01949999999999</v>
      </c>
      <c r="N19">
        <f t="shared" si="14"/>
        <v>0.48968274253804794</v>
      </c>
      <c r="O19">
        <f t="shared" si="5"/>
        <v>1763349482.2914448</v>
      </c>
      <c r="P19">
        <f t="shared" si="6"/>
        <v>-42.115029927897353</v>
      </c>
      <c r="Q19">
        <f t="shared" ref="Q19:Q66" si="15">G19-G18</f>
        <v>-25</v>
      </c>
      <c r="R19" s="40"/>
      <c r="T19" t="s">
        <v>342</v>
      </c>
      <c r="U19" s="58">
        <f>0.0023*U17^0.8*U18^0.4</f>
        <v>0.40639443858002228</v>
      </c>
    </row>
    <row r="20" spans="1:21" x14ac:dyDescent="0.25">
      <c r="A20">
        <v>4</v>
      </c>
      <c r="B20">
        <f t="shared" si="7"/>
        <v>700</v>
      </c>
      <c r="C20">
        <f t="shared" si="8"/>
        <v>736.01949999999999</v>
      </c>
      <c r="D20">
        <f t="shared" si="9"/>
        <v>0.47693005545662226</v>
      </c>
      <c r="E20">
        <f t="shared" si="0"/>
        <v>1598699443.9153953</v>
      </c>
      <c r="F20">
        <f t="shared" si="1"/>
        <v>6.1529540173405621</v>
      </c>
      <c r="G20">
        <f t="shared" si="2"/>
        <v>712.5</v>
      </c>
      <c r="H20">
        <f t="shared" si="10"/>
        <v>742.26949999999999</v>
      </c>
      <c r="I20">
        <f t="shared" si="11"/>
        <v>0.48012664152681128</v>
      </c>
      <c r="J20">
        <f t="shared" si="3"/>
        <v>1638486388.3531575</v>
      </c>
      <c r="K20">
        <f t="shared" si="4"/>
        <v>-5.9043799116145692</v>
      </c>
      <c r="L20">
        <f t="shared" si="12"/>
        <v>725</v>
      </c>
      <c r="M20">
        <f t="shared" si="13"/>
        <v>748.51949999999999</v>
      </c>
      <c r="N20">
        <f t="shared" si="14"/>
        <v>0.48331758023202565</v>
      </c>
      <c r="O20">
        <f t="shared" si="5"/>
        <v>1679182563.72842</v>
      </c>
      <c r="P20">
        <f t="shared" si="6"/>
        <v>-17.968255552851588</v>
      </c>
      <c r="Q20">
        <f t="shared" si="15"/>
        <v>-12.5</v>
      </c>
      <c r="R20" s="40"/>
    </row>
    <row r="21" spans="1:21" x14ac:dyDescent="0.25">
      <c r="A21">
        <v>5</v>
      </c>
      <c r="B21">
        <f t="shared" si="7"/>
        <v>700</v>
      </c>
      <c r="C21">
        <f t="shared" si="8"/>
        <v>736.01949999999999</v>
      </c>
      <c r="D21">
        <f t="shared" si="9"/>
        <v>0.47693005545662226</v>
      </c>
      <c r="E21">
        <f t="shared" si="0"/>
        <v>1598699443.9153953</v>
      </c>
      <c r="F21">
        <f t="shared" si="1"/>
        <v>6.1529540173405621</v>
      </c>
      <c r="G21">
        <f t="shared" si="2"/>
        <v>706.25</v>
      </c>
      <c r="H21">
        <f t="shared" si="10"/>
        <v>739.14449999999999</v>
      </c>
      <c r="I21">
        <f t="shared" si="11"/>
        <v>0.47852905801684231</v>
      </c>
      <c r="J21">
        <f t="shared" si="3"/>
        <v>1618479994.6889639</v>
      </c>
      <c r="K21">
        <f t="shared" si="4"/>
        <v>0.12511443773564679</v>
      </c>
      <c r="L21">
        <f t="shared" si="12"/>
        <v>712.5</v>
      </c>
      <c r="M21">
        <f t="shared" si="13"/>
        <v>742.26949999999999</v>
      </c>
      <c r="N21">
        <f t="shared" si="14"/>
        <v>0.48012664152681128</v>
      </c>
      <c r="O21">
        <f t="shared" si="5"/>
        <v>1638486388.3531575</v>
      </c>
      <c r="P21">
        <f t="shared" si="6"/>
        <v>-5.9043799116145692</v>
      </c>
      <c r="Q21">
        <f t="shared" si="15"/>
        <v>-6.25</v>
      </c>
      <c r="R21" s="40"/>
      <c r="T21" t="s">
        <v>343</v>
      </c>
      <c r="U21" s="95">
        <f>U19*T14/T4</f>
        <v>198.25238000719537</v>
      </c>
    </row>
    <row r="22" spans="1:21" x14ac:dyDescent="0.25">
      <c r="A22">
        <v>6</v>
      </c>
      <c r="B22">
        <f t="shared" si="7"/>
        <v>706.25</v>
      </c>
      <c r="C22">
        <f t="shared" si="8"/>
        <v>739.14449999999999</v>
      </c>
      <c r="D22">
        <f t="shared" si="9"/>
        <v>0.47852905801684231</v>
      </c>
      <c r="E22">
        <f t="shared" si="0"/>
        <v>1618479994.6889639</v>
      </c>
      <c r="F22">
        <f t="shared" si="1"/>
        <v>0.12511443773564679</v>
      </c>
      <c r="G22">
        <f t="shared" si="2"/>
        <v>709.375</v>
      </c>
      <c r="H22">
        <f t="shared" si="10"/>
        <v>740.70699999999999</v>
      </c>
      <c r="I22">
        <f t="shared" si="11"/>
        <v>0.47932802669992081</v>
      </c>
      <c r="J22">
        <f t="shared" si="3"/>
        <v>1628454869.6069982</v>
      </c>
      <c r="K22">
        <f t="shared" si="4"/>
        <v>-2.889427111666464</v>
      </c>
      <c r="L22">
        <f t="shared" si="12"/>
        <v>712.5</v>
      </c>
      <c r="M22">
        <f t="shared" si="13"/>
        <v>742.26949999999999</v>
      </c>
      <c r="N22">
        <f t="shared" si="14"/>
        <v>0.48012664152681128</v>
      </c>
      <c r="O22">
        <f t="shared" si="5"/>
        <v>1638486388.3531575</v>
      </c>
      <c r="P22">
        <f t="shared" si="6"/>
        <v>-5.9043799116145692</v>
      </c>
      <c r="Q22">
        <f t="shared" si="15"/>
        <v>3.125</v>
      </c>
      <c r="R22" s="40"/>
    </row>
    <row r="23" spans="1:21" x14ac:dyDescent="0.25">
      <c r="A23">
        <v>7</v>
      </c>
      <c r="B23">
        <f t="shared" si="7"/>
        <v>706.25</v>
      </c>
      <c r="C23">
        <f t="shared" si="8"/>
        <v>739.14449999999999</v>
      </c>
      <c r="D23">
        <f t="shared" si="9"/>
        <v>0.47852905801684231</v>
      </c>
      <c r="E23">
        <f t="shared" si="0"/>
        <v>1618479994.6889639</v>
      </c>
      <c r="F23">
        <f t="shared" si="1"/>
        <v>0.12511443773564679</v>
      </c>
      <c r="G23">
        <f t="shared" si="2"/>
        <v>707.8125</v>
      </c>
      <c r="H23">
        <f t="shared" si="10"/>
        <v>739.92574999999999</v>
      </c>
      <c r="I23">
        <f t="shared" si="11"/>
        <v>0.4789285866468882</v>
      </c>
      <c r="J23">
        <f t="shared" si="3"/>
        <v>1623460363.1135576</v>
      </c>
      <c r="K23">
        <f t="shared" si="4"/>
        <v>-1.3821047787930638</v>
      </c>
      <c r="L23">
        <f t="shared" si="12"/>
        <v>709.375</v>
      </c>
      <c r="M23">
        <f t="shared" si="13"/>
        <v>740.70699999999999</v>
      </c>
      <c r="N23">
        <f t="shared" si="14"/>
        <v>0.47932802669992081</v>
      </c>
      <c r="O23">
        <f t="shared" si="5"/>
        <v>1628454869.6069982</v>
      </c>
      <c r="P23">
        <f t="shared" si="6"/>
        <v>-2.889427111666464</v>
      </c>
      <c r="Q23">
        <f t="shared" si="15"/>
        <v>-1.5625</v>
      </c>
      <c r="R23" s="40"/>
      <c r="S23" t="s">
        <v>344</v>
      </c>
    </row>
    <row r="24" spans="1:21" x14ac:dyDescent="0.25">
      <c r="A24">
        <v>8</v>
      </c>
      <c r="B24">
        <f t="shared" si="7"/>
        <v>706.25</v>
      </c>
      <c r="C24">
        <f t="shared" si="8"/>
        <v>739.14449999999999</v>
      </c>
      <c r="D24">
        <f t="shared" si="9"/>
        <v>0.47852905801684231</v>
      </c>
      <c r="E24">
        <f t="shared" si="0"/>
        <v>1618479994.6889639</v>
      </c>
      <c r="F24">
        <f t="shared" si="1"/>
        <v>0.12511443773564679</v>
      </c>
      <c r="G24">
        <f t="shared" si="2"/>
        <v>707.03125</v>
      </c>
      <c r="H24">
        <f t="shared" si="10"/>
        <v>739.53512499999999</v>
      </c>
      <c r="I24">
        <f t="shared" si="11"/>
        <v>0.47872883341106642</v>
      </c>
      <c r="J24">
        <f t="shared" si="3"/>
        <v>1620968413.0731661</v>
      </c>
      <c r="K24">
        <f t="shared" si="4"/>
        <v>-0.62848226193739265</v>
      </c>
      <c r="L24">
        <f t="shared" si="12"/>
        <v>707.8125</v>
      </c>
      <c r="M24">
        <f t="shared" si="13"/>
        <v>739.92574999999999</v>
      </c>
      <c r="N24">
        <f t="shared" si="14"/>
        <v>0.4789285866468882</v>
      </c>
      <c r="O24">
        <f t="shared" si="5"/>
        <v>1623460363.1135576</v>
      </c>
      <c r="P24">
        <f t="shared" si="6"/>
        <v>-1.3821047787930638</v>
      </c>
      <c r="Q24">
        <f t="shared" si="15"/>
        <v>-0.78125</v>
      </c>
      <c r="R24" s="40"/>
      <c r="T24" t="s">
        <v>345</v>
      </c>
      <c r="U24">
        <f>(B5/(2*B6*T4/2*U21))+B2</f>
        <v>584.76463198510032</v>
      </c>
    </row>
    <row r="25" spans="1:21" x14ac:dyDescent="0.25">
      <c r="A25">
        <v>9</v>
      </c>
      <c r="B25">
        <f t="shared" si="7"/>
        <v>706.25</v>
      </c>
      <c r="C25">
        <f t="shared" si="8"/>
        <v>739.14449999999999</v>
      </c>
      <c r="D25">
        <f t="shared" si="9"/>
        <v>0.47852905801684231</v>
      </c>
      <c r="E25">
        <f t="shared" si="0"/>
        <v>1618479994.6889639</v>
      </c>
      <c r="F25">
        <f t="shared" si="1"/>
        <v>0.12511443773564679</v>
      </c>
      <c r="G25">
        <f t="shared" si="2"/>
        <v>706.640625</v>
      </c>
      <c r="H25">
        <f t="shared" si="10"/>
        <v>739.33981249999999</v>
      </c>
      <c r="I25">
        <f t="shared" si="11"/>
        <v>0.47862894848464027</v>
      </c>
      <c r="J25">
        <f t="shared" si="3"/>
        <v>1619723762.6028552</v>
      </c>
      <c r="K25">
        <f t="shared" si="4"/>
        <v>-0.25168068256778042</v>
      </c>
      <c r="L25">
        <f t="shared" si="12"/>
        <v>707.03125</v>
      </c>
      <c r="M25">
        <f t="shared" si="13"/>
        <v>739.53512499999999</v>
      </c>
      <c r="N25">
        <f t="shared" si="14"/>
        <v>0.47872883341106642</v>
      </c>
      <c r="O25">
        <f t="shared" si="5"/>
        <v>1620968413.0731661</v>
      </c>
      <c r="P25">
        <f t="shared" si="6"/>
        <v>-0.62848226193739265</v>
      </c>
      <c r="Q25">
        <f t="shared" si="15"/>
        <v>-0.390625</v>
      </c>
      <c r="R25" s="40"/>
    </row>
    <row r="26" spans="1:21" x14ac:dyDescent="0.25">
      <c r="A26">
        <v>10</v>
      </c>
      <c r="B26">
        <f t="shared" si="7"/>
        <v>706.25</v>
      </c>
      <c r="C26">
        <f t="shared" si="8"/>
        <v>739.14449999999999</v>
      </c>
      <c r="D26">
        <f t="shared" si="9"/>
        <v>0.47852905801684231</v>
      </c>
      <c r="E26">
        <f t="shared" si="0"/>
        <v>1618479994.6889639</v>
      </c>
      <c r="F26">
        <f t="shared" si="1"/>
        <v>0.12511443773564679</v>
      </c>
      <c r="G26">
        <f t="shared" si="2"/>
        <v>706.4453125</v>
      </c>
      <c r="H26">
        <f t="shared" si="10"/>
        <v>739.24215624999999</v>
      </c>
      <c r="I26">
        <f t="shared" si="11"/>
        <v>0.47857900394352332</v>
      </c>
      <c r="J26">
        <f t="shared" si="3"/>
        <v>1619101768.3487089</v>
      </c>
      <c r="K26">
        <f t="shared" si="4"/>
        <v>-6.328231473435153E-2</v>
      </c>
      <c r="L26">
        <f t="shared" si="12"/>
        <v>706.640625</v>
      </c>
      <c r="M26">
        <f t="shared" si="13"/>
        <v>739.33981249999999</v>
      </c>
      <c r="N26">
        <f t="shared" si="14"/>
        <v>0.47862894848464027</v>
      </c>
      <c r="O26">
        <f t="shared" si="5"/>
        <v>1619723762.6028552</v>
      </c>
      <c r="P26">
        <f t="shared" si="6"/>
        <v>-0.25168068256778042</v>
      </c>
      <c r="Q26">
        <f t="shared" si="15"/>
        <v>-0.1953125</v>
      </c>
      <c r="R26" s="40"/>
      <c r="S26" t="s">
        <v>346</v>
      </c>
      <c r="T26">
        <f>(G66+U24)/2</f>
        <v>645.57216968162379</v>
      </c>
    </row>
    <row r="27" spans="1:21" x14ac:dyDescent="0.25">
      <c r="A27">
        <v>11</v>
      </c>
      <c r="B27">
        <f t="shared" si="7"/>
        <v>706.25</v>
      </c>
      <c r="C27">
        <f t="shared" si="8"/>
        <v>739.14449999999999</v>
      </c>
      <c r="D27">
        <f t="shared" si="9"/>
        <v>0.47852905801684231</v>
      </c>
      <c r="E27">
        <f t="shared" si="0"/>
        <v>1618479994.6889639</v>
      </c>
      <c r="F27">
        <f t="shared" si="1"/>
        <v>0.12511443773564679</v>
      </c>
      <c r="G27">
        <f t="shared" si="2"/>
        <v>706.34765625</v>
      </c>
      <c r="H27">
        <f t="shared" si="10"/>
        <v>739.19332812499999</v>
      </c>
      <c r="I27">
        <f t="shared" si="11"/>
        <v>0.47855403115339246</v>
      </c>
      <c r="J27">
        <f t="shared" si="3"/>
        <v>1618790853.9473302</v>
      </c>
      <c r="K27">
        <f t="shared" si="4"/>
        <v>3.0916263458379944E-2</v>
      </c>
      <c r="L27">
        <f t="shared" si="12"/>
        <v>706.4453125</v>
      </c>
      <c r="M27">
        <f t="shared" si="13"/>
        <v>739.24215624999999</v>
      </c>
      <c r="N27">
        <f t="shared" si="14"/>
        <v>0.47857900394352332</v>
      </c>
      <c r="O27">
        <f t="shared" si="5"/>
        <v>1619101768.3487089</v>
      </c>
      <c r="P27">
        <f t="shared" si="6"/>
        <v>-6.328231473435153E-2</v>
      </c>
      <c r="Q27">
        <f t="shared" si="15"/>
        <v>-9.765625E-2</v>
      </c>
      <c r="R27" s="40"/>
    </row>
    <row r="28" spans="1:21" x14ac:dyDescent="0.25">
      <c r="A28">
        <v>12</v>
      </c>
      <c r="B28">
        <f t="shared" si="7"/>
        <v>706.34765625</v>
      </c>
      <c r="C28">
        <f t="shared" si="8"/>
        <v>739.19332812499999</v>
      </c>
      <c r="D28">
        <f t="shared" si="9"/>
        <v>0.47855403115339246</v>
      </c>
      <c r="E28">
        <f t="shared" si="0"/>
        <v>1618790853.9473302</v>
      </c>
      <c r="F28">
        <f t="shared" si="1"/>
        <v>3.0916263458379944E-2</v>
      </c>
      <c r="G28">
        <f t="shared" si="2"/>
        <v>706.396484375</v>
      </c>
      <c r="H28">
        <f t="shared" si="10"/>
        <v>739.21774218749999</v>
      </c>
      <c r="I28">
        <f t="shared" si="11"/>
        <v>0.47856651759175822</v>
      </c>
      <c r="J28">
        <f t="shared" si="3"/>
        <v>1618946304.2547936</v>
      </c>
      <c r="K28">
        <f t="shared" si="4"/>
        <v>-1.6182975153242296E-2</v>
      </c>
      <c r="L28">
        <f t="shared" si="12"/>
        <v>706.4453125</v>
      </c>
      <c r="M28">
        <f t="shared" si="13"/>
        <v>739.24215624999999</v>
      </c>
      <c r="N28">
        <f t="shared" si="14"/>
        <v>0.47857900394352332</v>
      </c>
      <c r="O28">
        <f t="shared" si="5"/>
        <v>1619101768.3487089</v>
      </c>
      <c r="P28">
        <f t="shared" si="6"/>
        <v>-6.328231473435153E-2</v>
      </c>
      <c r="Q28">
        <f t="shared" si="15"/>
        <v>4.8828125E-2</v>
      </c>
      <c r="R28" s="40"/>
    </row>
    <row r="29" spans="1:21" x14ac:dyDescent="0.25">
      <c r="A29">
        <v>13</v>
      </c>
      <c r="B29">
        <f t="shared" si="7"/>
        <v>706.34765625</v>
      </c>
      <c r="C29">
        <f t="shared" si="8"/>
        <v>739.19332812499999</v>
      </c>
      <c r="D29">
        <f t="shared" si="9"/>
        <v>0.47855403115339246</v>
      </c>
      <c r="E29">
        <f t="shared" si="0"/>
        <v>1618790853.9473302</v>
      </c>
      <c r="F29">
        <f t="shared" si="1"/>
        <v>3.0916263458379944E-2</v>
      </c>
      <c r="G29">
        <f t="shared" si="2"/>
        <v>706.3720703125</v>
      </c>
      <c r="H29">
        <f t="shared" si="10"/>
        <v>739.20553515624999</v>
      </c>
      <c r="I29">
        <f t="shared" si="11"/>
        <v>0.4785602743834006</v>
      </c>
      <c r="J29">
        <f t="shared" si="3"/>
        <v>1618868577.377799</v>
      </c>
      <c r="K29">
        <f t="shared" si="4"/>
        <v>7.3666567743657652E-3</v>
      </c>
      <c r="L29">
        <f t="shared" si="12"/>
        <v>706.396484375</v>
      </c>
      <c r="M29">
        <f t="shared" si="13"/>
        <v>739.21774218749999</v>
      </c>
      <c r="N29">
        <f t="shared" si="14"/>
        <v>0.47856651759175822</v>
      </c>
      <c r="O29">
        <f t="shared" si="5"/>
        <v>1618946304.2547936</v>
      </c>
      <c r="P29">
        <f t="shared" si="6"/>
        <v>-1.6182975153242296E-2</v>
      </c>
      <c r="Q29">
        <f t="shared" si="15"/>
        <v>-2.44140625E-2</v>
      </c>
      <c r="R29" s="40"/>
    </row>
    <row r="30" spans="1:21" x14ac:dyDescent="0.25">
      <c r="A30">
        <v>14</v>
      </c>
      <c r="B30">
        <f t="shared" si="7"/>
        <v>706.3720703125</v>
      </c>
      <c r="C30">
        <f t="shared" si="8"/>
        <v>739.20553515624999</v>
      </c>
      <c r="D30">
        <f t="shared" si="9"/>
        <v>0.4785602743834006</v>
      </c>
      <c r="E30">
        <f t="shared" si="0"/>
        <v>1618868577.377799</v>
      </c>
      <c r="F30">
        <f t="shared" si="1"/>
        <v>7.3666567743657652E-3</v>
      </c>
      <c r="G30">
        <f t="shared" si="2"/>
        <v>706.38427734375</v>
      </c>
      <c r="H30">
        <f t="shared" si="10"/>
        <v>739.21163867187499</v>
      </c>
      <c r="I30">
        <f t="shared" si="11"/>
        <v>0.4785633959902858</v>
      </c>
      <c r="J30">
        <f t="shared" si="3"/>
        <v>1618907440.3854754</v>
      </c>
      <c r="K30">
        <f t="shared" si="4"/>
        <v>-4.4081560340600845E-3</v>
      </c>
      <c r="L30">
        <f t="shared" si="12"/>
        <v>706.396484375</v>
      </c>
      <c r="M30">
        <f t="shared" si="13"/>
        <v>739.21774218749999</v>
      </c>
      <c r="N30">
        <f t="shared" si="14"/>
        <v>0.47856651759175822</v>
      </c>
      <c r="O30">
        <f t="shared" si="5"/>
        <v>1618946304.2547936</v>
      </c>
      <c r="P30">
        <f t="shared" si="6"/>
        <v>-1.6182975153242296E-2</v>
      </c>
      <c r="Q30">
        <f t="shared" si="15"/>
        <v>1.220703125E-2</v>
      </c>
      <c r="R30" s="40"/>
    </row>
    <row r="31" spans="1:21" x14ac:dyDescent="0.25">
      <c r="A31">
        <v>15</v>
      </c>
      <c r="B31">
        <f t="shared" si="7"/>
        <v>706.3720703125</v>
      </c>
      <c r="C31">
        <f t="shared" si="8"/>
        <v>739.20553515624999</v>
      </c>
      <c r="D31">
        <f t="shared" si="9"/>
        <v>0.4785602743834006</v>
      </c>
      <c r="E31">
        <f t="shared" si="0"/>
        <v>1618868577.377799</v>
      </c>
      <c r="F31">
        <f t="shared" si="1"/>
        <v>7.3666567743657652E-3</v>
      </c>
      <c r="G31">
        <f t="shared" si="2"/>
        <v>706.378173828125</v>
      </c>
      <c r="H31">
        <f t="shared" si="10"/>
        <v>739.20858691406249</v>
      </c>
      <c r="I31">
        <f t="shared" si="11"/>
        <v>0.47856183518751977</v>
      </c>
      <c r="J31">
        <f t="shared" si="3"/>
        <v>1618888008.7739325</v>
      </c>
      <c r="K31">
        <f t="shared" si="4"/>
        <v>1.4792511590258073E-3</v>
      </c>
      <c r="L31">
        <f t="shared" si="12"/>
        <v>706.38427734375</v>
      </c>
      <c r="M31">
        <f t="shared" si="13"/>
        <v>739.21163867187499</v>
      </c>
      <c r="N31">
        <f t="shared" si="14"/>
        <v>0.4785633959902858</v>
      </c>
      <c r="O31">
        <f t="shared" si="5"/>
        <v>1618907440.3854754</v>
      </c>
      <c r="P31">
        <f t="shared" si="6"/>
        <v>-4.4081560340600845E-3</v>
      </c>
      <c r="Q31">
        <f t="shared" si="15"/>
        <v>-6.103515625E-3</v>
      </c>
      <c r="R31" s="40"/>
    </row>
    <row r="32" spans="1:21" x14ac:dyDescent="0.25">
      <c r="A32">
        <v>16</v>
      </c>
      <c r="B32">
        <f t="shared" si="7"/>
        <v>706.378173828125</v>
      </c>
      <c r="C32">
        <f t="shared" si="8"/>
        <v>739.20858691406249</v>
      </c>
      <c r="D32">
        <f t="shared" si="9"/>
        <v>0.47856183518751977</v>
      </c>
      <c r="E32">
        <f t="shared" si="0"/>
        <v>1618888008.7739325</v>
      </c>
      <c r="F32">
        <f t="shared" si="1"/>
        <v>1.4792511590258073E-3</v>
      </c>
      <c r="G32">
        <f t="shared" si="2"/>
        <v>706.3812255859375</v>
      </c>
      <c r="H32">
        <f t="shared" si="10"/>
        <v>739.21011279296874</v>
      </c>
      <c r="I32">
        <f t="shared" si="11"/>
        <v>0.47856261558907176</v>
      </c>
      <c r="J32">
        <f t="shared" si="3"/>
        <v>1618897724.5527775</v>
      </c>
      <c r="K32">
        <f t="shared" si="4"/>
        <v>-1.464452240384162E-3</v>
      </c>
      <c r="L32">
        <f t="shared" si="12"/>
        <v>706.38427734375</v>
      </c>
      <c r="M32">
        <f t="shared" si="13"/>
        <v>739.21163867187499</v>
      </c>
      <c r="N32">
        <f t="shared" si="14"/>
        <v>0.4785633959902858</v>
      </c>
      <c r="O32">
        <f t="shared" si="5"/>
        <v>1618907440.3854754</v>
      </c>
      <c r="P32">
        <f t="shared" si="6"/>
        <v>-4.4081560340600845E-3</v>
      </c>
      <c r="Q32">
        <f t="shared" si="15"/>
        <v>3.0517578125E-3</v>
      </c>
      <c r="R32" s="40"/>
    </row>
    <row r="33" spans="1:18" x14ac:dyDescent="0.25">
      <c r="A33">
        <v>17</v>
      </c>
      <c r="B33">
        <f t="shared" si="7"/>
        <v>706.378173828125</v>
      </c>
      <c r="C33">
        <f t="shared" si="8"/>
        <v>739.20858691406249</v>
      </c>
      <c r="D33">
        <f t="shared" si="9"/>
        <v>0.47856183518751977</v>
      </c>
      <c r="E33">
        <f t="shared" si="0"/>
        <v>1618888008.7739325</v>
      </c>
      <c r="F33">
        <f t="shared" si="1"/>
        <v>1.4792511590258073E-3</v>
      </c>
      <c r="G33">
        <f t="shared" si="2"/>
        <v>706.37969970703125</v>
      </c>
      <c r="H33">
        <f t="shared" si="10"/>
        <v>739.20934985351562</v>
      </c>
      <c r="I33">
        <f t="shared" si="11"/>
        <v>0.47856222538833793</v>
      </c>
      <c r="J33">
        <f t="shared" si="3"/>
        <v>1618892866.6566236</v>
      </c>
      <c r="K33">
        <f t="shared" si="4"/>
        <v>7.3995086040667957E-6</v>
      </c>
      <c r="L33">
        <f t="shared" si="12"/>
        <v>706.3812255859375</v>
      </c>
      <c r="M33">
        <f t="shared" si="13"/>
        <v>739.21011279296874</v>
      </c>
      <c r="N33">
        <f t="shared" si="14"/>
        <v>0.47856261558907176</v>
      </c>
      <c r="O33">
        <f t="shared" si="5"/>
        <v>1618897724.5527775</v>
      </c>
      <c r="P33">
        <f t="shared" si="6"/>
        <v>-1.464452240384162E-3</v>
      </c>
      <c r="Q33">
        <f t="shared" si="15"/>
        <v>-1.52587890625E-3</v>
      </c>
      <c r="R33" s="40"/>
    </row>
    <row r="34" spans="1:18" x14ac:dyDescent="0.25">
      <c r="A34">
        <v>18</v>
      </c>
      <c r="B34">
        <f t="shared" si="7"/>
        <v>706.37969970703125</v>
      </c>
      <c r="C34">
        <f t="shared" si="8"/>
        <v>739.20934985351562</v>
      </c>
      <c r="D34">
        <f t="shared" si="9"/>
        <v>0.47856222538833793</v>
      </c>
      <c r="E34">
        <f t="shared" si="0"/>
        <v>1618892866.6566236</v>
      </c>
      <c r="F34">
        <f t="shared" si="1"/>
        <v>7.3995086040667957E-6</v>
      </c>
      <c r="G34">
        <f t="shared" si="2"/>
        <v>706.38046264648437</v>
      </c>
      <c r="H34">
        <f t="shared" si="10"/>
        <v>739.20973132324218</v>
      </c>
      <c r="I34">
        <f t="shared" si="11"/>
        <v>0.47856242048871545</v>
      </c>
      <c r="J34">
        <f t="shared" si="3"/>
        <v>1618895295.6030176</v>
      </c>
      <c r="K34">
        <f t="shared" si="4"/>
        <v>-7.2852635355502571E-4</v>
      </c>
      <c r="L34">
        <f t="shared" si="12"/>
        <v>706.3812255859375</v>
      </c>
      <c r="M34">
        <f t="shared" si="13"/>
        <v>739.21011279296874</v>
      </c>
      <c r="N34">
        <f t="shared" si="14"/>
        <v>0.47856261558907176</v>
      </c>
      <c r="O34">
        <f t="shared" si="5"/>
        <v>1618897724.5527775</v>
      </c>
      <c r="P34">
        <f t="shared" si="6"/>
        <v>-1.464452240384162E-3</v>
      </c>
      <c r="Q34">
        <f t="shared" si="15"/>
        <v>7.62939453125E-4</v>
      </c>
      <c r="R34" s="40"/>
    </row>
    <row r="35" spans="1:18" x14ac:dyDescent="0.25">
      <c r="A35">
        <v>19</v>
      </c>
      <c r="B35">
        <f t="shared" si="7"/>
        <v>706.37969970703125</v>
      </c>
      <c r="C35">
        <f t="shared" si="8"/>
        <v>739.20934985351562</v>
      </c>
      <c r="D35">
        <f t="shared" si="9"/>
        <v>0.47856222538833793</v>
      </c>
      <c r="E35">
        <f t="shared" si="0"/>
        <v>1618892866.6566236</v>
      </c>
      <c r="F35">
        <f t="shared" si="1"/>
        <v>7.3995086040667957E-6</v>
      </c>
      <c r="G35">
        <f t="shared" si="2"/>
        <v>706.38008117675781</v>
      </c>
      <c r="H35">
        <f t="shared" si="10"/>
        <v>739.2095405883789</v>
      </c>
      <c r="I35">
        <f t="shared" si="11"/>
        <v>0.47856232293852929</v>
      </c>
      <c r="J35">
        <f t="shared" si="3"/>
        <v>1618894081.1294003</v>
      </c>
      <c r="K35">
        <f t="shared" si="4"/>
        <v>-3.6056341946277826E-4</v>
      </c>
      <c r="L35">
        <f t="shared" si="12"/>
        <v>706.38046264648437</v>
      </c>
      <c r="M35">
        <f t="shared" si="13"/>
        <v>739.20973132324218</v>
      </c>
      <c r="N35">
        <f t="shared" si="14"/>
        <v>0.47856242048871545</v>
      </c>
      <c r="O35">
        <f t="shared" si="5"/>
        <v>1618895295.6030176</v>
      </c>
      <c r="P35">
        <f t="shared" si="6"/>
        <v>-7.2852635355502571E-4</v>
      </c>
      <c r="Q35">
        <f t="shared" si="15"/>
        <v>-3.814697265625E-4</v>
      </c>
      <c r="R35" s="40"/>
    </row>
    <row r="36" spans="1:18" x14ac:dyDescent="0.25">
      <c r="A36">
        <v>20</v>
      </c>
      <c r="B36">
        <f t="shared" si="7"/>
        <v>706.37969970703125</v>
      </c>
      <c r="C36">
        <f t="shared" si="8"/>
        <v>739.20934985351562</v>
      </c>
      <c r="D36">
        <f t="shared" si="9"/>
        <v>0.47856222538833793</v>
      </c>
      <c r="E36">
        <f t="shared" si="0"/>
        <v>1618892866.6566236</v>
      </c>
      <c r="F36">
        <f t="shared" si="1"/>
        <v>7.3995086040667957E-6</v>
      </c>
      <c r="G36">
        <f t="shared" si="2"/>
        <v>706.37989044189453</v>
      </c>
      <c r="H36">
        <f t="shared" si="10"/>
        <v>739.20944522094726</v>
      </c>
      <c r="I36">
        <f t="shared" si="11"/>
        <v>0.47856227416343455</v>
      </c>
      <c r="J36">
        <f t="shared" si="3"/>
        <v>1618893473.8929067</v>
      </c>
      <c r="K36">
        <f t="shared" si="4"/>
        <v>-1.7658195463354787E-4</v>
      </c>
      <c r="L36">
        <f t="shared" si="12"/>
        <v>706.38008117675781</v>
      </c>
      <c r="M36">
        <f t="shared" si="13"/>
        <v>739.2095405883789</v>
      </c>
      <c r="N36">
        <f t="shared" si="14"/>
        <v>0.47856232293852929</v>
      </c>
      <c r="O36">
        <f t="shared" si="5"/>
        <v>1618894081.1294003</v>
      </c>
      <c r="P36">
        <f t="shared" si="6"/>
        <v>-3.6056341946277826E-4</v>
      </c>
      <c r="Q36">
        <f t="shared" si="15"/>
        <v>-1.9073486328125E-4</v>
      </c>
      <c r="R36" s="40"/>
    </row>
    <row r="37" spans="1:18" x14ac:dyDescent="0.25">
      <c r="A37">
        <v>21</v>
      </c>
      <c r="B37">
        <f t="shared" si="7"/>
        <v>706.37969970703125</v>
      </c>
      <c r="C37">
        <f t="shared" si="8"/>
        <v>739.20934985351562</v>
      </c>
      <c r="D37">
        <f t="shared" si="9"/>
        <v>0.47856222538833793</v>
      </c>
      <c r="E37">
        <f t="shared" si="0"/>
        <v>1618892866.6566236</v>
      </c>
      <c r="F37">
        <f t="shared" si="1"/>
        <v>7.3995086040667957E-6</v>
      </c>
      <c r="G37">
        <f t="shared" si="2"/>
        <v>706.37979507446289</v>
      </c>
      <c r="H37">
        <f t="shared" si="10"/>
        <v>739.20939753723144</v>
      </c>
      <c r="I37">
        <f t="shared" si="11"/>
        <v>0.47856224977588646</v>
      </c>
      <c r="J37">
        <f t="shared" si="3"/>
        <v>1618893170.2747393</v>
      </c>
      <c r="K37">
        <f t="shared" si="4"/>
        <v>-8.4591222844210279E-5</v>
      </c>
      <c r="L37">
        <f t="shared" si="12"/>
        <v>706.37989044189453</v>
      </c>
      <c r="M37">
        <f t="shared" si="13"/>
        <v>739.20944522094726</v>
      </c>
      <c r="N37">
        <f t="shared" si="14"/>
        <v>0.47856227416343455</v>
      </c>
      <c r="O37">
        <f t="shared" si="5"/>
        <v>1618893473.8929067</v>
      </c>
      <c r="P37">
        <f t="shared" si="6"/>
        <v>-1.7658195463354787E-4</v>
      </c>
      <c r="Q37">
        <f t="shared" si="15"/>
        <v>-9.5367431640625E-5</v>
      </c>
      <c r="R37" s="40"/>
    </row>
    <row r="38" spans="1:18" x14ac:dyDescent="0.25">
      <c r="A38">
        <v>22</v>
      </c>
      <c r="B38">
        <f t="shared" si="7"/>
        <v>706.37969970703125</v>
      </c>
      <c r="C38">
        <f t="shared" si="8"/>
        <v>739.20934985351562</v>
      </c>
      <c r="D38">
        <f t="shared" si="9"/>
        <v>0.47856222538833793</v>
      </c>
      <c r="E38">
        <f t="shared" si="0"/>
        <v>1618892866.6566236</v>
      </c>
      <c r="F38">
        <f t="shared" si="1"/>
        <v>7.3995086040667957E-6</v>
      </c>
      <c r="G38">
        <f t="shared" si="2"/>
        <v>706.37974739074707</v>
      </c>
      <c r="H38">
        <f t="shared" si="10"/>
        <v>739.20937369537353</v>
      </c>
      <c r="I38">
        <f t="shared" si="11"/>
        <v>0.4785622375821123</v>
      </c>
      <c r="J38">
        <f t="shared" si="3"/>
        <v>1618893018.4656746</v>
      </c>
      <c r="K38">
        <f t="shared" si="4"/>
        <v>-3.8595857063228323E-5</v>
      </c>
      <c r="L38">
        <f t="shared" si="12"/>
        <v>706.37979507446289</v>
      </c>
      <c r="M38">
        <f t="shared" si="13"/>
        <v>739.20939753723144</v>
      </c>
      <c r="N38">
        <f t="shared" si="14"/>
        <v>0.47856224977588646</v>
      </c>
      <c r="O38">
        <f t="shared" si="5"/>
        <v>1618893170.2747393</v>
      </c>
      <c r="P38">
        <f t="shared" si="6"/>
        <v>-8.4591222844210279E-5</v>
      </c>
      <c r="Q38">
        <f t="shared" si="15"/>
        <v>-4.76837158203125E-5</v>
      </c>
      <c r="R38" s="40"/>
    </row>
    <row r="39" spans="1:18" x14ac:dyDescent="0.25">
      <c r="A39">
        <v>23</v>
      </c>
      <c r="B39">
        <f t="shared" si="7"/>
        <v>706.37969970703125</v>
      </c>
      <c r="C39">
        <f t="shared" si="8"/>
        <v>739.20934985351562</v>
      </c>
      <c r="D39">
        <f t="shared" si="9"/>
        <v>0.47856222538833793</v>
      </c>
      <c r="E39">
        <f t="shared" si="0"/>
        <v>1618892866.6566236</v>
      </c>
      <c r="F39">
        <f t="shared" si="1"/>
        <v>7.3995086040667957E-6</v>
      </c>
      <c r="G39">
        <f t="shared" si="2"/>
        <v>706.37972354888916</v>
      </c>
      <c r="H39">
        <f t="shared" si="10"/>
        <v>739.20936177444457</v>
      </c>
      <c r="I39">
        <f t="shared" si="11"/>
        <v>0.47856223148522553</v>
      </c>
      <c r="J39">
        <f t="shared" si="3"/>
        <v>1618892942.5611475</v>
      </c>
      <c r="K39">
        <f t="shared" si="4"/>
        <v>-1.5598174172737345E-5</v>
      </c>
      <c r="L39">
        <f t="shared" si="12"/>
        <v>706.37974739074707</v>
      </c>
      <c r="M39">
        <f t="shared" si="13"/>
        <v>739.20937369537353</v>
      </c>
      <c r="N39">
        <f t="shared" si="14"/>
        <v>0.4785622375821123</v>
      </c>
      <c r="O39">
        <f t="shared" si="5"/>
        <v>1618893018.4656746</v>
      </c>
      <c r="P39">
        <f t="shared" si="6"/>
        <v>-3.8595857063228323E-5</v>
      </c>
      <c r="Q39">
        <f t="shared" si="15"/>
        <v>-2.384185791015625E-5</v>
      </c>
      <c r="R39" s="40"/>
    </row>
    <row r="40" spans="1:18" x14ac:dyDescent="0.25">
      <c r="A40">
        <v>24</v>
      </c>
      <c r="B40">
        <f t="shared" si="7"/>
        <v>706.37969970703125</v>
      </c>
      <c r="C40">
        <f t="shared" si="8"/>
        <v>739.20934985351562</v>
      </c>
      <c r="D40">
        <f t="shared" si="9"/>
        <v>0.47856222538833793</v>
      </c>
      <c r="E40">
        <f t="shared" si="0"/>
        <v>1618892866.6566236</v>
      </c>
      <c r="F40">
        <f t="shared" si="1"/>
        <v>7.3995086040667957E-6</v>
      </c>
      <c r="G40">
        <f t="shared" si="2"/>
        <v>706.37971162796021</v>
      </c>
      <c r="H40">
        <f t="shared" si="10"/>
        <v>739.2093558139801</v>
      </c>
      <c r="I40">
        <f t="shared" si="11"/>
        <v>0.4785622284367817</v>
      </c>
      <c r="J40">
        <f t="shared" si="3"/>
        <v>1618892904.6088855</v>
      </c>
      <c r="K40">
        <f t="shared" si="4"/>
        <v>-4.0993328411786933E-6</v>
      </c>
      <c r="L40">
        <f t="shared" si="12"/>
        <v>706.37972354888916</v>
      </c>
      <c r="M40">
        <f t="shared" si="13"/>
        <v>739.20936177444457</v>
      </c>
      <c r="N40">
        <f t="shared" si="14"/>
        <v>0.47856223148522553</v>
      </c>
      <c r="O40">
        <f t="shared" si="5"/>
        <v>1618892942.5611475</v>
      </c>
      <c r="P40">
        <f t="shared" si="6"/>
        <v>-1.5598174172737345E-5</v>
      </c>
      <c r="Q40">
        <f t="shared" si="15"/>
        <v>-1.1920928955078125E-5</v>
      </c>
      <c r="R40" s="40"/>
    </row>
    <row r="41" spans="1:18" x14ac:dyDescent="0.25">
      <c r="A41">
        <v>25</v>
      </c>
      <c r="B41">
        <f t="shared" si="7"/>
        <v>706.37969970703125</v>
      </c>
      <c r="C41">
        <f t="shared" si="8"/>
        <v>739.20934985351562</v>
      </c>
      <c r="D41">
        <f t="shared" si="9"/>
        <v>0.47856222538833793</v>
      </c>
      <c r="E41">
        <f t="shared" si="0"/>
        <v>1618892866.6566236</v>
      </c>
      <c r="F41">
        <f t="shared" si="1"/>
        <v>7.3995086040667957E-6</v>
      </c>
      <c r="G41">
        <f t="shared" si="2"/>
        <v>706.37970566749573</v>
      </c>
      <c r="H41">
        <f t="shared" si="10"/>
        <v>739.20935283374786</v>
      </c>
      <c r="I41">
        <f t="shared" si="11"/>
        <v>0.47856222691255984</v>
      </c>
      <c r="J41">
        <f t="shared" si="3"/>
        <v>1618892885.6327543</v>
      </c>
      <c r="K41">
        <f t="shared" si="4"/>
        <v>1.65008793828747E-6</v>
      </c>
      <c r="L41">
        <f t="shared" si="12"/>
        <v>706.37971162796021</v>
      </c>
      <c r="M41">
        <f t="shared" si="13"/>
        <v>739.2093558139801</v>
      </c>
      <c r="N41">
        <f t="shared" si="14"/>
        <v>0.4785622284367817</v>
      </c>
      <c r="O41">
        <f t="shared" si="5"/>
        <v>1618892904.6088855</v>
      </c>
      <c r="P41">
        <f t="shared" si="6"/>
        <v>-4.0993328411786933E-6</v>
      </c>
      <c r="Q41">
        <f t="shared" si="15"/>
        <v>-5.9604644775390625E-6</v>
      </c>
      <c r="R41" s="40"/>
    </row>
    <row r="42" spans="1:18" x14ac:dyDescent="0.25">
      <c r="A42">
        <v>26</v>
      </c>
      <c r="B42">
        <f t="shared" si="7"/>
        <v>706.37970566749573</v>
      </c>
      <c r="C42">
        <f t="shared" si="8"/>
        <v>739.20935283374786</v>
      </c>
      <c r="D42">
        <f t="shared" si="9"/>
        <v>0.47856222691255984</v>
      </c>
      <c r="E42">
        <f t="shared" si="0"/>
        <v>1618892885.6327543</v>
      </c>
      <c r="F42">
        <f t="shared" si="1"/>
        <v>1.65008793828747E-6</v>
      </c>
      <c r="G42">
        <f t="shared" si="2"/>
        <v>706.37970864772797</v>
      </c>
      <c r="H42">
        <f t="shared" si="10"/>
        <v>739.20935432386398</v>
      </c>
      <c r="I42">
        <f t="shared" si="11"/>
        <v>0.47856222767467077</v>
      </c>
      <c r="J42">
        <f t="shared" si="3"/>
        <v>1618892895.1208198</v>
      </c>
      <c r="K42">
        <f t="shared" si="4"/>
        <v>-1.2246224514456117E-6</v>
      </c>
      <c r="L42">
        <f t="shared" si="12"/>
        <v>706.37971162796021</v>
      </c>
      <c r="M42">
        <f t="shared" si="13"/>
        <v>739.2093558139801</v>
      </c>
      <c r="N42">
        <f t="shared" si="14"/>
        <v>0.4785622284367817</v>
      </c>
      <c r="O42">
        <f t="shared" si="5"/>
        <v>1618892904.6088855</v>
      </c>
      <c r="P42">
        <f t="shared" si="6"/>
        <v>-4.0993328411786933E-6</v>
      </c>
      <c r="Q42">
        <f t="shared" si="15"/>
        <v>2.9802322387695313E-6</v>
      </c>
      <c r="R42" s="40"/>
    </row>
    <row r="43" spans="1:18" x14ac:dyDescent="0.25">
      <c r="A43">
        <v>27</v>
      </c>
      <c r="B43">
        <f t="shared" si="7"/>
        <v>706.37970566749573</v>
      </c>
      <c r="C43">
        <f t="shared" si="8"/>
        <v>739.20935283374786</v>
      </c>
      <c r="D43">
        <f t="shared" si="9"/>
        <v>0.47856222691255984</v>
      </c>
      <c r="E43">
        <f t="shared" si="0"/>
        <v>1618892885.6327543</v>
      </c>
      <c r="F43">
        <f t="shared" si="1"/>
        <v>1.65008793828747E-6</v>
      </c>
      <c r="G43">
        <f t="shared" si="2"/>
        <v>706.37970715761185</v>
      </c>
      <c r="H43">
        <f t="shared" si="10"/>
        <v>739.20935357880592</v>
      </c>
      <c r="I43">
        <f t="shared" si="11"/>
        <v>0.47856222729361514</v>
      </c>
      <c r="J43">
        <f t="shared" si="3"/>
        <v>1618892890.3767872</v>
      </c>
      <c r="K43">
        <f t="shared" si="4"/>
        <v>2.1273274342092918E-7</v>
      </c>
      <c r="L43">
        <f t="shared" si="12"/>
        <v>706.37970864772797</v>
      </c>
      <c r="M43">
        <f t="shared" si="13"/>
        <v>739.20935432386398</v>
      </c>
      <c r="N43">
        <f t="shared" si="14"/>
        <v>0.47856222767467077</v>
      </c>
      <c r="O43">
        <f t="shared" si="5"/>
        <v>1618892895.1208198</v>
      </c>
      <c r="P43">
        <f t="shared" si="6"/>
        <v>-1.2246224514456117E-6</v>
      </c>
      <c r="Q43">
        <f t="shared" si="15"/>
        <v>-1.4901161193847656E-6</v>
      </c>
      <c r="R43" s="40"/>
    </row>
    <row r="44" spans="1:18" x14ac:dyDescent="0.25">
      <c r="A44">
        <v>28</v>
      </c>
      <c r="B44">
        <f t="shared" si="7"/>
        <v>706.37970715761185</v>
      </c>
      <c r="C44">
        <f t="shared" si="8"/>
        <v>739.20935357880592</v>
      </c>
      <c r="D44">
        <f t="shared" si="9"/>
        <v>0.47856222729361514</v>
      </c>
      <c r="E44">
        <f t="shared" si="0"/>
        <v>1618892890.3767872</v>
      </c>
      <c r="F44">
        <f t="shared" si="1"/>
        <v>2.1273274342092918E-7</v>
      </c>
      <c r="G44">
        <f t="shared" si="2"/>
        <v>706.37970790266991</v>
      </c>
      <c r="H44">
        <f t="shared" si="10"/>
        <v>739.20935395133495</v>
      </c>
      <c r="I44">
        <f t="shared" si="11"/>
        <v>0.47856222748414312</v>
      </c>
      <c r="J44">
        <f t="shared" si="3"/>
        <v>1618892892.7488029</v>
      </c>
      <c r="K44">
        <f t="shared" si="4"/>
        <v>-5.0594485401234124E-7</v>
      </c>
      <c r="L44">
        <f t="shared" si="12"/>
        <v>706.37970864772797</v>
      </c>
      <c r="M44">
        <f t="shared" si="13"/>
        <v>739.20935432386398</v>
      </c>
      <c r="N44">
        <f t="shared" si="14"/>
        <v>0.47856222767467077</v>
      </c>
      <c r="O44">
        <f t="shared" si="5"/>
        <v>1618892895.1208198</v>
      </c>
      <c r="P44">
        <f t="shared" si="6"/>
        <v>-1.2246224514456117E-6</v>
      </c>
      <c r="Q44">
        <f t="shared" si="15"/>
        <v>7.4505805969238281E-7</v>
      </c>
      <c r="R44" s="40"/>
    </row>
    <row r="45" spans="1:18" x14ac:dyDescent="0.25">
      <c r="A45">
        <v>29</v>
      </c>
      <c r="B45">
        <f t="shared" si="7"/>
        <v>706.37970715761185</v>
      </c>
      <c r="C45">
        <f t="shared" si="8"/>
        <v>739.20935357880592</v>
      </c>
      <c r="D45">
        <f t="shared" si="9"/>
        <v>0.47856222729361514</v>
      </c>
      <c r="E45">
        <f t="shared" si="0"/>
        <v>1618892890.3767872</v>
      </c>
      <c r="F45">
        <f t="shared" si="1"/>
        <v>2.1273274342092918E-7</v>
      </c>
      <c r="G45">
        <f t="shared" si="2"/>
        <v>706.37970753014088</v>
      </c>
      <c r="H45">
        <f t="shared" si="10"/>
        <v>739.20935376507043</v>
      </c>
      <c r="I45">
        <f t="shared" si="11"/>
        <v>0.4785622273888791</v>
      </c>
      <c r="J45">
        <f t="shared" si="3"/>
        <v>1618892891.5627954</v>
      </c>
      <c r="K45">
        <f t="shared" si="4"/>
        <v>-1.4660611213912489E-7</v>
      </c>
      <c r="L45">
        <f t="shared" si="12"/>
        <v>706.37970790266991</v>
      </c>
      <c r="M45">
        <f t="shared" si="13"/>
        <v>739.20935395133495</v>
      </c>
      <c r="N45">
        <f t="shared" si="14"/>
        <v>0.47856222748414312</v>
      </c>
      <c r="O45">
        <f t="shared" si="5"/>
        <v>1618892892.7488029</v>
      </c>
      <c r="P45">
        <f t="shared" si="6"/>
        <v>-5.0594485401234124E-7</v>
      </c>
      <c r="Q45">
        <f t="shared" si="15"/>
        <v>-3.7252902984619141E-7</v>
      </c>
      <c r="R45" s="40"/>
    </row>
    <row r="46" spans="1:18" x14ac:dyDescent="0.25">
      <c r="A46">
        <v>30</v>
      </c>
      <c r="B46">
        <f t="shared" si="7"/>
        <v>706.37970715761185</v>
      </c>
      <c r="C46">
        <f t="shared" si="8"/>
        <v>739.20935357880592</v>
      </c>
      <c r="D46">
        <f t="shared" si="9"/>
        <v>0.47856222729361514</v>
      </c>
      <c r="E46">
        <f t="shared" si="0"/>
        <v>1618892890.3767872</v>
      </c>
      <c r="F46">
        <f t="shared" si="1"/>
        <v>2.1273274342092918E-7</v>
      </c>
      <c r="G46">
        <f t="shared" si="2"/>
        <v>706.37970734387636</v>
      </c>
      <c r="H46">
        <f t="shared" si="10"/>
        <v>739.20935367193817</v>
      </c>
      <c r="I46">
        <f t="shared" si="11"/>
        <v>0.47856222734124731</v>
      </c>
      <c r="J46">
        <f t="shared" si="3"/>
        <v>1618892890.9697909</v>
      </c>
      <c r="K46">
        <f t="shared" si="4"/>
        <v>3.3063315640902147E-8</v>
      </c>
      <c r="L46">
        <f t="shared" si="12"/>
        <v>706.37970753014088</v>
      </c>
      <c r="M46">
        <f t="shared" si="13"/>
        <v>739.20935376507043</v>
      </c>
      <c r="N46">
        <f t="shared" si="14"/>
        <v>0.4785622273888791</v>
      </c>
      <c r="O46">
        <f t="shared" si="5"/>
        <v>1618892891.5627954</v>
      </c>
      <c r="P46">
        <f t="shared" si="6"/>
        <v>-1.4660611213912489E-7</v>
      </c>
      <c r="Q46">
        <f t="shared" si="15"/>
        <v>-1.862645149230957E-7</v>
      </c>
      <c r="R46" s="40"/>
    </row>
    <row r="47" spans="1:18" x14ac:dyDescent="0.25">
      <c r="A47">
        <v>31</v>
      </c>
      <c r="B47">
        <f t="shared" si="7"/>
        <v>706.37970734387636</v>
      </c>
      <c r="C47">
        <f t="shared" si="8"/>
        <v>739.20935367193817</v>
      </c>
      <c r="D47">
        <f t="shared" si="9"/>
        <v>0.47856222734124731</v>
      </c>
      <c r="E47">
        <f t="shared" si="0"/>
        <v>1618892890.9697909</v>
      </c>
      <c r="F47">
        <f t="shared" si="1"/>
        <v>3.3063315640902147E-8</v>
      </c>
      <c r="G47">
        <f t="shared" si="2"/>
        <v>706.37970743700862</v>
      </c>
      <c r="H47">
        <f t="shared" si="10"/>
        <v>739.2093537185043</v>
      </c>
      <c r="I47">
        <f t="shared" si="11"/>
        <v>0.47856222736506321</v>
      </c>
      <c r="J47">
        <f t="shared" si="3"/>
        <v>1618892891.2662935</v>
      </c>
      <c r="K47">
        <f t="shared" si="4"/>
        <v>-5.677134140569251E-8</v>
      </c>
      <c r="L47">
        <f t="shared" si="12"/>
        <v>706.37970753014088</v>
      </c>
      <c r="M47">
        <f t="shared" si="13"/>
        <v>739.20935376507043</v>
      </c>
      <c r="N47">
        <f t="shared" si="14"/>
        <v>0.4785622273888791</v>
      </c>
      <c r="O47">
        <f t="shared" si="5"/>
        <v>1618892891.5627954</v>
      </c>
      <c r="P47">
        <f t="shared" si="6"/>
        <v>-1.4660611213912489E-7</v>
      </c>
      <c r="Q47">
        <f t="shared" si="15"/>
        <v>9.3132257461547852E-8</v>
      </c>
      <c r="R47" s="40"/>
    </row>
    <row r="48" spans="1:18" x14ac:dyDescent="0.25">
      <c r="A48">
        <v>32</v>
      </c>
      <c r="B48">
        <f t="shared" si="7"/>
        <v>706.37970734387636</v>
      </c>
      <c r="C48">
        <f t="shared" si="8"/>
        <v>739.20935367193817</v>
      </c>
      <c r="D48">
        <f t="shared" si="9"/>
        <v>0.47856222734124731</v>
      </c>
      <c r="E48">
        <f t="shared" si="0"/>
        <v>1618892890.9697909</v>
      </c>
      <c r="F48">
        <f t="shared" si="1"/>
        <v>3.3063315640902147E-8</v>
      </c>
      <c r="G48">
        <f t="shared" si="2"/>
        <v>706.37970739044249</v>
      </c>
      <c r="H48">
        <f t="shared" si="10"/>
        <v>739.20935369522124</v>
      </c>
      <c r="I48">
        <f t="shared" si="11"/>
        <v>0.47856222735315546</v>
      </c>
      <c r="J48">
        <f t="shared" si="3"/>
        <v>1618892891.118042</v>
      </c>
      <c r="K48">
        <f t="shared" si="4"/>
        <v>-1.1854012882395182E-8</v>
      </c>
      <c r="L48">
        <f t="shared" si="12"/>
        <v>706.37970743700862</v>
      </c>
      <c r="M48">
        <f t="shared" si="13"/>
        <v>739.2093537185043</v>
      </c>
      <c r="N48">
        <f t="shared" si="14"/>
        <v>0.47856222736506321</v>
      </c>
      <c r="O48">
        <f t="shared" si="5"/>
        <v>1618892891.2662935</v>
      </c>
      <c r="P48">
        <f t="shared" si="6"/>
        <v>-5.677134140569251E-8</v>
      </c>
      <c r="Q48">
        <f t="shared" si="15"/>
        <v>-4.6566128730773926E-8</v>
      </c>
      <c r="R48" s="40"/>
    </row>
    <row r="49" spans="1:18" x14ac:dyDescent="0.25">
      <c r="A49">
        <v>33</v>
      </c>
      <c r="B49">
        <f t="shared" si="7"/>
        <v>706.37970734387636</v>
      </c>
      <c r="C49">
        <f t="shared" si="8"/>
        <v>739.20935367193817</v>
      </c>
      <c r="D49">
        <f t="shared" si="9"/>
        <v>0.47856222734124731</v>
      </c>
      <c r="E49">
        <f t="shared" si="0"/>
        <v>1618892890.9697909</v>
      </c>
      <c r="F49">
        <f t="shared" si="1"/>
        <v>3.3063315640902147E-8</v>
      </c>
      <c r="G49">
        <f t="shared" si="2"/>
        <v>706.37970736715943</v>
      </c>
      <c r="H49">
        <f t="shared" si="10"/>
        <v>739.20935368357971</v>
      </c>
      <c r="I49">
        <f t="shared" si="11"/>
        <v>0.47856222734720094</v>
      </c>
      <c r="J49">
        <f t="shared" si="3"/>
        <v>1618892891.0439167</v>
      </c>
      <c r="K49">
        <f t="shared" si="4"/>
        <v>1.0604594535834622E-8</v>
      </c>
      <c r="L49">
        <f t="shared" si="12"/>
        <v>706.37970739044249</v>
      </c>
      <c r="M49">
        <f t="shared" si="13"/>
        <v>739.20935369522124</v>
      </c>
      <c r="N49">
        <f t="shared" si="14"/>
        <v>0.47856222735315546</v>
      </c>
      <c r="O49">
        <f t="shared" si="5"/>
        <v>1618892891.118042</v>
      </c>
      <c r="P49">
        <f t="shared" si="6"/>
        <v>-1.1854012882395182E-8</v>
      </c>
      <c r="Q49">
        <f t="shared" si="15"/>
        <v>-2.3283064365386963E-8</v>
      </c>
      <c r="R49" s="40"/>
    </row>
    <row r="50" spans="1:18" x14ac:dyDescent="0.25">
      <c r="A50">
        <v>34</v>
      </c>
      <c r="B50">
        <f t="shared" si="7"/>
        <v>706.37970736715943</v>
      </c>
      <c r="C50">
        <f t="shared" si="8"/>
        <v>739.20935368357971</v>
      </c>
      <c r="D50">
        <f t="shared" si="9"/>
        <v>0.47856222734720094</v>
      </c>
      <c r="E50">
        <f t="shared" si="0"/>
        <v>1618892891.0439167</v>
      </c>
      <c r="F50">
        <f t="shared" si="1"/>
        <v>1.0604594535834622E-8</v>
      </c>
      <c r="G50">
        <f t="shared" si="2"/>
        <v>706.37970737880096</v>
      </c>
      <c r="H50">
        <f t="shared" si="10"/>
        <v>739.20935368940047</v>
      </c>
      <c r="I50">
        <f t="shared" si="11"/>
        <v>0.478562227350178</v>
      </c>
      <c r="J50">
        <f t="shared" si="3"/>
        <v>1618892891.0809791</v>
      </c>
      <c r="K50">
        <f t="shared" si="4"/>
        <v>-6.2470917328028008E-10</v>
      </c>
      <c r="L50">
        <f t="shared" si="12"/>
        <v>706.37970739044249</v>
      </c>
      <c r="M50">
        <f t="shared" si="13"/>
        <v>739.20935369522124</v>
      </c>
      <c r="N50">
        <f t="shared" si="14"/>
        <v>0.47856222735315546</v>
      </c>
      <c r="O50">
        <f t="shared" si="5"/>
        <v>1618892891.118042</v>
      </c>
      <c r="P50">
        <f t="shared" si="6"/>
        <v>-1.1854012882395182E-8</v>
      </c>
      <c r="Q50">
        <f t="shared" si="15"/>
        <v>1.1641532182693481E-8</v>
      </c>
      <c r="R50" s="40"/>
    </row>
    <row r="51" spans="1:18" x14ac:dyDescent="0.25">
      <c r="A51">
        <v>35</v>
      </c>
      <c r="B51">
        <f t="shared" si="7"/>
        <v>706.37970736715943</v>
      </c>
      <c r="C51">
        <f t="shared" si="8"/>
        <v>739.20935368357971</v>
      </c>
      <c r="D51">
        <f t="shared" si="9"/>
        <v>0.47856222734720094</v>
      </c>
      <c r="E51">
        <f t="shared" si="0"/>
        <v>1618892891.0439167</v>
      </c>
      <c r="F51">
        <f t="shared" si="1"/>
        <v>1.0604594535834622E-8</v>
      </c>
      <c r="G51">
        <f t="shared" si="2"/>
        <v>706.37970737298019</v>
      </c>
      <c r="H51">
        <f t="shared" si="10"/>
        <v>739.20935368649009</v>
      </c>
      <c r="I51">
        <f t="shared" si="11"/>
        <v>0.47856222734868953</v>
      </c>
      <c r="J51">
        <f t="shared" si="3"/>
        <v>1618892891.062448</v>
      </c>
      <c r="K51">
        <f t="shared" si="4"/>
        <v>4.9899426812771708E-9</v>
      </c>
      <c r="L51">
        <f t="shared" si="12"/>
        <v>706.37970737880096</v>
      </c>
      <c r="M51">
        <f t="shared" si="13"/>
        <v>739.20935368940047</v>
      </c>
      <c r="N51">
        <f t="shared" si="14"/>
        <v>0.478562227350178</v>
      </c>
      <c r="O51">
        <f t="shared" si="5"/>
        <v>1618892891.0809791</v>
      </c>
      <c r="P51">
        <f t="shared" si="6"/>
        <v>-6.2470917328028008E-10</v>
      </c>
      <c r="Q51">
        <f t="shared" si="15"/>
        <v>-5.8207660913467407E-9</v>
      </c>
      <c r="R51" s="40"/>
    </row>
    <row r="52" spans="1:18" x14ac:dyDescent="0.25">
      <c r="A52">
        <v>36</v>
      </c>
      <c r="B52">
        <f t="shared" si="7"/>
        <v>706.37970737298019</v>
      </c>
      <c r="C52">
        <f t="shared" si="8"/>
        <v>739.20935368649009</v>
      </c>
      <c r="D52">
        <f t="shared" si="9"/>
        <v>0.47856222734868953</v>
      </c>
      <c r="E52">
        <f t="shared" si="0"/>
        <v>1618892891.062448</v>
      </c>
      <c r="F52">
        <f t="shared" si="1"/>
        <v>4.9899426812771708E-9</v>
      </c>
      <c r="G52">
        <f t="shared" si="2"/>
        <v>706.37970737589058</v>
      </c>
      <c r="H52">
        <f t="shared" si="10"/>
        <v>739.20935368794528</v>
      </c>
      <c r="I52">
        <f t="shared" si="11"/>
        <v>0.47856222734943421</v>
      </c>
      <c r="J52">
        <f t="shared" si="3"/>
        <v>1618892891.0717134</v>
      </c>
      <c r="K52">
        <f t="shared" si="4"/>
        <v>2.1826735974173062E-9</v>
      </c>
      <c r="L52">
        <f t="shared" si="12"/>
        <v>706.37970737880096</v>
      </c>
      <c r="M52">
        <f t="shared" si="13"/>
        <v>739.20935368940047</v>
      </c>
      <c r="N52">
        <f t="shared" si="14"/>
        <v>0.478562227350178</v>
      </c>
      <c r="O52">
        <f t="shared" si="5"/>
        <v>1618892891.0809791</v>
      </c>
      <c r="P52">
        <f t="shared" si="6"/>
        <v>-6.2470917328028008E-10</v>
      </c>
      <c r="Q52">
        <f t="shared" si="15"/>
        <v>2.9103830456733704E-9</v>
      </c>
      <c r="R52" s="40"/>
    </row>
    <row r="53" spans="1:18" x14ac:dyDescent="0.25">
      <c r="A53">
        <v>37</v>
      </c>
      <c r="B53">
        <f t="shared" si="7"/>
        <v>706.37970737589058</v>
      </c>
      <c r="C53">
        <f t="shared" si="8"/>
        <v>739.20935368794528</v>
      </c>
      <c r="D53">
        <f t="shared" si="9"/>
        <v>0.47856222734943421</v>
      </c>
      <c r="E53">
        <f t="shared" si="0"/>
        <v>1618892891.0717134</v>
      </c>
      <c r="F53">
        <f t="shared" si="1"/>
        <v>2.1826735974173062E-9</v>
      </c>
      <c r="G53">
        <f t="shared" si="2"/>
        <v>706.37970737734577</v>
      </c>
      <c r="H53">
        <f t="shared" si="10"/>
        <v>739.20935368867288</v>
      </c>
      <c r="I53">
        <f t="shared" si="11"/>
        <v>0.47856222734980614</v>
      </c>
      <c r="J53">
        <f t="shared" si="3"/>
        <v>1618892891.0763462</v>
      </c>
      <c r="K53">
        <f t="shared" si="4"/>
        <v>7.7898221206851304E-10</v>
      </c>
      <c r="L53">
        <f t="shared" si="12"/>
        <v>706.37970737880096</v>
      </c>
      <c r="M53">
        <f t="shared" si="13"/>
        <v>739.20935368940047</v>
      </c>
      <c r="N53">
        <f t="shared" si="14"/>
        <v>0.478562227350178</v>
      </c>
      <c r="O53">
        <f t="shared" si="5"/>
        <v>1618892891.0809791</v>
      </c>
      <c r="P53">
        <f t="shared" si="6"/>
        <v>-6.2470917328028008E-10</v>
      </c>
      <c r="Q53">
        <f t="shared" si="15"/>
        <v>1.4551915228366852E-9</v>
      </c>
      <c r="R53" s="40"/>
    </row>
    <row r="54" spans="1:18" x14ac:dyDescent="0.25">
      <c r="A54">
        <v>38</v>
      </c>
      <c r="B54">
        <f t="shared" si="7"/>
        <v>706.37970737734577</v>
      </c>
      <c r="C54">
        <f t="shared" si="8"/>
        <v>739.20935368867288</v>
      </c>
      <c r="D54">
        <f t="shared" si="9"/>
        <v>0.47856222734980614</v>
      </c>
      <c r="E54">
        <f t="shared" si="0"/>
        <v>1618892891.0763462</v>
      </c>
      <c r="F54">
        <f t="shared" si="1"/>
        <v>7.7898221206851304E-10</v>
      </c>
      <c r="G54">
        <f t="shared" si="2"/>
        <v>706.37970737807336</v>
      </c>
      <c r="H54">
        <f t="shared" si="10"/>
        <v>739.20935368903667</v>
      </c>
      <c r="I54">
        <f t="shared" si="11"/>
        <v>0.47856222734999226</v>
      </c>
      <c r="J54">
        <f t="shared" si="3"/>
        <v>1618892891.0786633</v>
      </c>
      <c r="K54">
        <f t="shared" si="4"/>
        <v>7.7193362812977284E-11</v>
      </c>
      <c r="L54">
        <f t="shared" si="12"/>
        <v>706.37970737880096</v>
      </c>
      <c r="M54">
        <f t="shared" si="13"/>
        <v>739.20935368940047</v>
      </c>
      <c r="N54">
        <f t="shared" si="14"/>
        <v>0.478562227350178</v>
      </c>
      <c r="O54">
        <f t="shared" si="5"/>
        <v>1618892891.0809791</v>
      </c>
      <c r="P54">
        <f t="shared" si="6"/>
        <v>-6.2470917328028008E-10</v>
      </c>
      <c r="Q54">
        <f t="shared" si="15"/>
        <v>7.2759576141834259E-10</v>
      </c>
      <c r="R54" s="40"/>
    </row>
    <row r="55" spans="1:18" x14ac:dyDescent="0.25">
      <c r="A55">
        <v>39</v>
      </c>
      <c r="B55">
        <f t="shared" si="7"/>
        <v>706.37970737807336</v>
      </c>
      <c r="C55">
        <f t="shared" si="8"/>
        <v>739.20935368903667</v>
      </c>
      <c r="D55">
        <f t="shared" si="9"/>
        <v>0.47856222734999226</v>
      </c>
      <c r="E55">
        <f t="shared" si="0"/>
        <v>1618892891.0786633</v>
      </c>
      <c r="F55">
        <f t="shared" si="1"/>
        <v>7.7193362812977284E-11</v>
      </c>
      <c r="G55">
        <f t="shared" si="2"/>
        <v>706.37970737843716</v>
      </c>
      <c r="H55">
        <f t="shared" si="10"/>
        <v>739.20935368921857</v>
      </c>
      <c r="I55">
        <f t="shared" si="11"/>
        <v>0.47856222735008541</v>
      </c>
      <c r="J55">
        <f t="shared" si="3"/>
        <v>1618892891.0798211</v>
      </c>
      <c r="K55">
        <f t="shared" si="4"/>
        <v>-2.737579052336514E-10</v>
      </c>
      <c r="L55">
        <f t="shared" si="12"/>
        <v>706.37970737880096</v>
      </c>
      <c r="M55">
        <f t="shared" si="13"/>
        <v>739.20935368940047</v>
      </c>
      <c r="N55">
        <f t="shared" si="14"/>
        <v>0.478562227350178</v>
      </c>
      <c r="O55">
        <f t="shared" si="5"/>
        <v>1618892891.0809791</v>
      </c>
      <c r="P55">
        <f t="shared" si="6"/>
        <v>-6.2470917328028008E-10</v>
      </c>
      <c r="Q55">
        <f t="shared" si="15"/>
        <v>3.637978807091713E-10</v>
      </c>
      <c r="R55" s="40"/>
    </row>
    <row r="56" spans="1:18" x14ac:dyDescent="0.25">
      <c r="A56">
        <v>40</v>
      </c>
      <c r="B56">
        <f t="shared" si="7"/>
        <v>706.37970737807336</v>
      </c>
      <c r="C56">
        <f t="shared" si="8"/>
        <v>739.20935368903667</v>
      </c>
      <c r="D56">
        <f t="shared" si="9"/>
        <v>0.47856222734999226</v>
      </c>
      <c r="E56">
        <f t="shared" si="0"/>
        <v>1618892891.0786633</v>
      </c>
      <c r="F56">
        <f t="shared" si="1"/>
        <v>7.7193362812977284E-11</v>
      </c>
      <c r="G56">
        <f t="shared" si="2"/>
        <v>706.37970737825526</v>
      </c>
      <c r="H56">
        <f t="shared" si="10"/>
        <v>739.20935368912762</v>
      </c>
      <c r="I56">
        <f t="shared" si="11"/>
        <v>0.47856222735003906</v>
      </c>
      <c r="J56">
        <f t="shared" si="3"/>
        <v>1618892891.0792422</v>
      </c>
      <c r="K56">
        <f t="shared" si="4"/>
        <v>-9.822542779147625E-11</v>
      </c>
      <c r="L56">
        <f t="shared" si="12"/>
        <v>706.37970737843716</v>
      </c>
      <c r="M56">
        <f t="shared" si="13"/>
        <v>739.20935368921857</v>
      </c>
      <c r="N56">
        <f t="shared" si="14"/>
        <v>0.47856222735008541</v>
      </c>
      <c r="O56">
        <f t="shared" si="5"/>
        <v>1618892891.0798211</v>
      </c>
      <c r="P56">
        <f t="shared" si="6"/>
        <v>-2.737579052336514E-10</v>
      </c>
      <c r="Q56">
        <f t="shared" si="15"/>
        <v>-1.8189894035458565E-10</v>
      </c>
      <c r="R56" s="40"/>
    </row>
    <row r="57" spans="1:18" x14ac:dyDescent="0.25">
      <c r="A57">
        <v>41</v>
      </c>
      <c r="B57">
        <f t="shared" si="7"/>
        <v>706.37970737807336</v>
      </c>
      <c r="C57">
        <f t="shared" si="8"/>
        <v>739.20935368903667</v>
      </c>
      <c r="D57">
        <f t="shared" si="9"/>
        <v>0.47856222734999226</v>
      </c>
      <c r="E57">
        <f t="shared" si="0"/>
        <v>1618892891.0786633</v>
      </c>
      <c r="F57">
        <f t="shared" si="1"/>
        <v>7.7193362812977284E-11</v>
      </c>
      <c r="G57">
        <f t="shared" si="2"/>
        <v>706.37970737816431</v>
      </c>
      <c r="H57">
        <f t="shared" si="10"/>
        <v>739.20935368908215</v>
      </c>
      <c r="I57">
        <f t="shared" si="11"/>
        <v>0.47856222735001525</v>
      </c>
      <c r="J57">
        <f t="shared" si="3"/>
        <v>1618892891.0789523</v>
      </c>
      <c r="K57">
        <f t="shared" si="4"/>
        <v>-1.0572875908110291E-11</v>
      </c>
      <c r="L57">
        <f t="shared" si="12"/>
        <v>706.37970737825526</v>
      </c>
      <c r="M57">
        <f t="shared" si="13"/>
        <v>739.20935368912762</v>
      </c>
      <c r="N57">
        <f t="shared" si="14"/>
        <v>0.47856222735003906</v>
      </c>
      <c r="O57">
        <f t="shared" si="5"/>
        <v>1618892891.0792422</v>
      </c>
      <c r="P57">
        <f t="shared" si="6"/>
        <v>-9.822542779147625E-11</v>
      </c>
      <c r="Q57">
        <f t="shared" si="15"/>
        <v>-9.0949470177292824E-11</v>
      </c>
      <c r="R57" s="40"/>
    </row>
    <row r="58" spans="1:18" x14ac:dyDescent="0.25">
      <c r="A58">
        <v>42</v>
      </c>
      <c r="B58">
        <f t="shared" si="7"/>
        <v>706.37970737807336</v>
      </c>
      <c r="C58">
        <f t="shared" si="8"/>
        <v>739.20935368903667</v>
      </c>
      <c r="D58">
        <f t="shared" si="9"/>
        <v>0.47856222734999226</v>
      </c>
      <c r="E58">
        <f t="shared" si="0"/>
        <v>1618892891.0786633</v>
      </c>
      <c r="F58">
        <f t="shared" si="1"/>
        <v>7.7193362812977284E-11</v>
      </c>
      <c r="G58">
        <f t="shared" si="2"/>
        <v>706.37970737811884</v>
      </c>
      <c r="H58">
        <f t="shared" si="10"/>
        <v>739.20935368905941</v>
      </c>
      <c r="I58">
        <f t="shared" si="11"/>
        <v>0.47856222735000375</v>
      </c>
      <c r="J58">
        <f t="shared" si="3"/>
        <v>1618892891.0788076</v>
      </c>
      <c r="K58">
        <f t="shared" si="4"/>
        <v>3.3310243452433497E-11</v>
      </c>
      <c r="L58">
        <f t="shared" si="12"/>
        <v>706.37970737816431</v>
      </c>
      <c r="M58">
        <f t="shared" si="13"/>
        <v>739.20935368908215</v>
      </c>
      <c r="N58">
        <f t="shared" si="14"/>
        <v>0.47856222735001525</v>
      </c>
      <c r="O58">
        <f t="shared" si="5"/>
        <v>1618892891.0789523</v>
      </c>
      <c r="P58">
        <f t="shared" si="6"/>
        <v>-1.0572875908110291E-11</v>
      </c>
      <c r="Q58">
        <f t="shared" si="15"/>
        <v>-4.5474735088646412E-11</v>
      </c>
      <c r="R58" s="40"/>
    </row>
    <row r="59" spans="1:18" x14ac:dyDescent="0.25">
      <c r="A59">
        <v>43</v>
      </c>
      <c r="B59">
        <f t="shared" si="7"/>
        <v>706.37970737811884</v>
      </c>
      <c r="C59">
        <f t="shared" si="8"/>
        <v>739.20935368905941</v>
      </c>
      <c r="D59">
        <f t="shared" si="9"/>
        <v>0.47856222735000375</v>
      </c>
      <c r="E59">
        <f t="shared" si="0"/>
        <v>1618892891.0788076</v>
      </c>
      <c r="F59">
        <f t="shared" si="1"/>
        <v>3.3310243452433497E-11</v>
      </c>
      <c r="G59">
        <f t="shared" si="2"/>
        <v>706.37970737814157</v>
      </c>
      <c r="H59">
        <f t="shared" si="10"/>
        <v>739.20935368907078</v>
      </c>
      <c r="I59">
        <f t="shared" si="11"/>
        <v>0.47856222735000964</v>
      </c>
      <c r="J59">
        <f t="shared" si="3"/>
        <v>1618892891.0788803</v>
      </c>
      <c r="K59">
        <f t="shared" si="4"/>
        <v>1.1368683772161603E-11</v>
      </c>
      <c r="L59">
        <f t="shared" si="12"/>
        <v>706.37970737816431</v>
      </c>
      <c r="M59">
        <f t="shared" si="13"/>
        <v>739.20935368908215</v>
      </c>
      <c r="N59">
        <f t="shared" si="14"/>
        <v>0.47856222735001525</v>
      </c>
      <c r="O59">
        <f t="shared" si="5"/>
        <v>1618892891.0789523</v>
      </c>
      <c r="P59">
        <f t="shared" si="6"/>
        <v>-1.0572875908110291E-11</v>
      </c>
      <c r="Q59">
        <f t="shared" si="15"/>
        <v>2.2737367544323206E-11</v>
      </c>
      <c r="R59" s="40"/>
    </row>
    <row r="60" spans="1:18" x14ac:dyDescent="0.25">
      <c r="A60">
        <v>44</v>
      </c>
      <c r="B60">
        <f t="shared" si="7"/>
        <v>706.37970737814157</v>
      </c>
      <c r="C60">
        <f t="shared" si="8"/>
        <v>739.20935368907078</v>
      </c>
      <c r="D60">
        <f t="shared" si="9"/>
        <v>0.47856222735000964</v>
      </c>
      <c r="E60">
        <f t="shared" si="0"/>
        <v>1618892891.0788803</v>
      </c>
      <c r="F60">
        <f t="shared" si="1"/>
        <v>1.1368683772161603E-11</v>
      </c>
      <c r="G60">
        <f t="shared" si="2"/>
        <v>706.37970737815294</v>
      </c>
      <c r="H60">
        <f t="shared" si="10"/>
        <v>739.20935368907647</v>
      </c>
      <c r="I60">
        <f t="shared" si="11"/>
        <v>0.47856222735001269</v>
      </c>
      <c r="J60">
        <f t="shared" si="3"/>
        <v>1618892891.0789161</v>
      </c>
      <c r="K60">
        <f t="shared" si="4"/>
        <v>0</v>
      </c>
      <c r="L60">
        <f t="shared" si="12"/>
        <v>706.37970737816431</v>
      </c>
      <c r="M60">
        <f t="shared" si="13"/>
        <v>739.20935368908215</v>
      </c>
      <c r="N60">
        <f t="shared" si="14"/>
        <v>0.47856222735001525</v>
      </c>
      <c r="O60">
        <f t="shared" si="5"/>
        <v>1618892891.0789523</v>
      </c>
      <c r="P60">
        <f t="shared" si="6"/>
        <v>-1.0572875908110291E-11</v>
      </c>
      <c r="Q60">
        <f t="shared" si="15"/>
        <v>1.1368683772161603E-11</v>
      </c>
      <c r="R60" s="40"/>
    </row>
    <row r="61" spans="1:18" x14ac:dyDescent="0.25">
      <c r="A61">
        <v>45</v>
      </c>
      <c r="B61">
        <f t="shared" si="7"/>
        <v>706.37970737814157</v>
      </c>
      <c r="C61">
        <f t="shared" si="8"/>
        <v>739.20935368907078</v>
      </c>
      <c r="D61">
        <f t="shared" si="9"/>
        <v>0.47856222735000964</v>
      </c>
      <c r="E61">
        <f t="shared" si="0"/>
        <v>1618892891.0788803</v>
      </c>
      <c r="F61">
        <f t="shared" si="1"/>
        <v>1.1368683772161603E-11</v>
      </c>
      <c r="G61">
        <f t="shared" si="2"/>
        <v>706.37970737814726</v>
      </c>
      <c r="H61">
        <f t="shared" si="10"/>
        <v>739.20935368907362</v>
      </c>
      <c r="I61">
        <f t="shared" si="11"/>
        <v>0.47856222735001097</v>
      </c>
      <c r="J61">
        <f t="shared" si="3"/>
        <v>1618892891.0788982</v>
      </c>
      <c r="K61">
        <f t="shared" si="4"/>
        <v>5.9117155615240335E-12</v>
      </c>
      <c r="L61">
        <f t="shared" si="12"/>
        <v>706.37970737815294</v>
      </c>
      <c r="M61">
        <f t="shared" si="13"/>
        <v>739.20935368907647</v>
      </c>
      <c r="N61">
        <f t="shared" si="14"/>
        <v>0.47856222735001269</v>
      </c>
      <c r="O61">
        <f t="shared" si="5"/>
        <v>1618892891.0789161</v>
      </c>
      <c r="P61">
        <f t="shared" si="6"/>
        <v>0</v>
      </c>
      <c r="Q61">
        <f t="shared" si="15"/>
        <v>-5.6843418860808015E-12</v>
      </c>
      <c r="R61" s="40"/>
    </row>
    <row r="62" spans="1:18" x14ac:dyDescent="0.25">
      <c r="A62">
        <v>46</v>
      </c>
      <c r="B62">
        <f t="shared" si="7"/>
        <v>706.37970737814726</v>
      </c>
      <c r="C62">
        <f t="shared" si="8"/>
        <v>739.20935368907362</v>
      </c>
      <c r="D62">
        <f t="shared" si="9"/>
        <v>0.47856222735001097</v>
      </c>
      <c r="E62">
        <f t="shared" si="0"/>
        <v>1618892891.0788982</v>
      </c>
      <c r="F62">
        <f t="shared" si="1"/>
        <v>5.9117155615240335E-12</v>
      </c>
      <c r="G62">
        <f t="shared" si="2"/>
        <v>706.37970737814726</v>
      </c>
      <c r="H62">
        <f t="shared" si="10"/>
        <v>739.20935368907362</v>
      </c>
      <c r="I62">
        <f t="shared" si="11"/>
        <v>0.47856222735001097</v>
      </c>
      <c r="J62">
        <f t="shared" si="3"/>
        <v>1618892891.0788982</v>
      </c>
      <c r="K62">
        <f t="shared" si="4"/>
        <v>5.9117155615240335E-12</v>
      </c>
      <c r="L62">
        <f t="shared" si="12"/>
        <v>706.37970737814726</v>
      </c>
      <c r="M62">
        <f t="shared" si="13"/>
        <v>739.20935368907362</v>
      </c>
      <c r="N62">
        <f t="shared" si="14"/>
        <v>0.47856222735001097</v>
      </c>
      <c r="O62">
        <f t="shared" si="5"/>
        <v>1618892891.0788982</v>
      </c>
      <c r="P62">
        <f t="shared" si="6"/>
        <v>5.9117155615240335E-12</v>
      </c>
      <c r="Q62">
        <f t="shared" si="15"/>
        <v>0</v>
      </c>
      <c r="R62" s="40"/>
    </row>
    <row r="63" spans="1:18" x14ac:dyDescent="0.25">
      <c r="A63">
        <v>47</v>
      </c>
      <c r="B63">
        <f t="shared" si="7"/>
        <v>706.37970737814726</v>
      </c>
      <c r="C63">
        <f t="shared" si="8"/>
        <v>739.20935368907362</v>
      </c>
      <c r="D63">
        <f t="shared" si="9"/>
        <v>0.47856222735001097</v>
      </c>
      <c r="E63">
        <f t="shared" si="0"/>
        <v>1618892891.0788982</v>
      </c>
      <c r="F63">
        <f t="shared" si="1"/>
        <v>5.9117155615240335E-12</v>
      </c>
      <c r="G63">
        <f t="shared" si="2"/>
        <v>706.37970737814726</v>
      </c>
      <c r="H63">
        <f t="shared" si="10"/>
        <v>739.20935368907362</v>
      </c>
      <c r="I63">
        <f t="shared" si="11"/>
        <v>0.47856222735001097</v>
      </c>
      <c r="J63">
        <f t="shared" si="3"/>
        <v>1618892891.0788982</v>
      </c>
      <c r="K63">
        <f t="shared" si="4"/>
        <v>5.9117155615240335E-12</v>
      </c>
      <c r="L63">
        <f t="shared" si="12"/>
        <v>706.37970737814726</v>
      </c>
      <c r="M63">
        <f t="shared" si="13"/>
        <v>739.20935368907362</v>
      </c>
      <c r="N63">
        <f t="shared" si="14"/>
        <v>0.47856222735001097</v>
      </c>
      <c r="O63">
        <f t="shared" si="5"/>
        <v>1618892891.0788982</v>
      </c>
      <c r="P63">
        <f t="shared" si="6"/>
        <v>5.9117155615240335E-12</v>
      </c>
      <c r="Q63">
        <f t="shared" si="15"/>
        <v>0</v>
      </c>
      <c r="R63" s="40"/>
    </row>
    <row r="64" spans="1:18" x14ac:dyDescent="0.25">
      <c r="A64">
        <v>48</v>
      </c>
      <c r="B64">
        <f t="shared" si="7"/>
        <v>706.37970737814726</v>
      </c>
      <c r="C64">
        <f t="shared" si="8"/>
        <v>739.20935368907362</v>
      </c>
      <c r="D64">
        <f t="shared" si="9"/>
        <v>0.47856222735001097</v>
      </c>
      <c r="E64">
        <f t="shared" si="0"/>
        <v>1618892891.0788982</v>
      </c>
      <c r="F64">
        <f t="shared" si="1"/>
        <v>5.9117155615240335E-12</v>
      </c>
      <c r="G64">
        <f t="shared" si="2"/>
        <v>706.37970737814726</v>
      </c>
      <c r="H64">
        <f t="shared" si="10"/>
        <v>739.20935368907362</v>
      </c>
      <c r="I64">
        <f t="shared" si="11"/>
        <v>0.47856222735001097</v>
      </c>
      <c r="J64">
        <f t="shared" si="3"/>
        <v>1618892891.0788982</v>
      </c>
      <c r="K64">
        <f t="shared" si="4"/>
        <v>5.9117155615240335E-12</v>
      </c>
      <c r="L64">
        <f t="shared" si="12"/>
        <v>706.37970737814726</v>
      </c>
      <c r="M64">
        <f t="shared" si="13"/>
        <v>739.20935368907362</v>
      </c>
      <c r="N64">
        <f t="shared" si="14"/>
        <v>0.47856222735001097</v>
      </c>
      <c r="O64">
        <f t="shared" si="5"/>
        <v>1618892891.0788982</v>
      </c>
      <c r="P64">
        <f t="shared" si="6"/>
        <v>5.9117155615240335E-12</v>
      </c>
      <c r="Q64">
        <f t="shared" si="15"/>
        <v>0</v>
      </c>
      <c r="R64" s="40"/>
    </row>
    <row r="65" spans="1:18" x14ac:dyDescent="0.25">
      <c r="A65">
        <v>49</v>
      </c>
      <c r="B65">
        <f t="shared" si="7"/>
        <v>706.37970737814726</v>
      </c>
      <c r="C65">
        <f t="shared" si="8"/>
        <v>739.20935368907362</v>
      </c>
      <c r="D65">
        <f t="shared" si="9"/>
        <v>0.47856222735001097</v>
      </c>
      <c r="E65">
        <f t="shared" si="0"/>
        <v>1618892891.0788982</v>
      </c>
      <c r="F65">
        <f t="shared" si="1"/>
        <v>5.9117155615240335E-12</v>
      </c>
      <c r="G65">
        <f t="shared" si="2"/>
        <v>706.37970737814726</v>
      </c>
      <c r="H65">
        <f t="shared" si="10"/>
        <v>739.20935368907362</v>
      </c>
      <c r="I65">
        <f t="shared" si="11"/>
        <v>0.47856222735001097</v>
      </c>
      <c r="J65">
        <f t="shared" si="3"/>
        <v>1618892891.0788982</v>
      </c>
      <c r="K65">
        <f t="shared" si="4"/>
        <v>5.9117155615240335E-12</v>
      </c>
      <c r="L65">
        <f t="shared" si="12"/>
        <v>706.37970737814726</v>
      </c>
      <c r="M65">
        <f t="shared" si="13"/>
        <v>739.20935368907362</v>
      </c>
      <c r="N65">
        <f t="shared" si="14"/>
        <v>0.47856222735001097</v>
      </c>
      <c r="O65">
        <f t="shared" si="5"/>
        <v>1618892891.0788982</v>
      </c>
      <c r="P65">
        <f t="shared" si="6"/>
        <v>5.9117155615240335E-12</v>
      </c>
      <c r="Q65">
        <f t="shared" si="15"/>
        <v>0</v>
      </c>
      <c r="R65" s="40"/>
    </row>
    <row r="66" spans="1:18" x14ac:dyDescent="0.25">
      <c r="A66">
        <v>50</v>
      </c>
      <c r="B66">
        <f t="shared" si="7"/>
        <v>706.37970737814726</v>
      </c>
      <c r="C66">
        <f t="shared" si="8"/>
        <v>739.20935368907362</v>
      </c>
      <c r="D66">
        <f t="shared" si="9"/>
        <v>0.47856222735001097</v>
      </c>
      <c r="E66">
        <f t="shared" si="0"/>
        <v>1618892891.0788982</v>
      </c>
      <c r="F66">
        <f t="shared" si="1"/>
        <v>5.9117155615240335E-12</v>
      </c>
      <c r="G66">
        <f t="shared" si="2"/>
        <v>706.37970737814726</v>
      </c>
      <c r="H66">
        <f t="shared" si="10"/>
        <v>739.20935368907362</v>
      </c>
      <c r="I66">
        <f t="shared" si="11"/>
        <v>0.47856222735001097</v>
      </c>
      <c r="J66">
        <f t="shared" si="3"/>
        <v>1618892891.0788982</v>
      </c>
      <c r="K66">
        <f t="shared" si="4"/>
        <v>5.9117155615240335E-12</v>
      </c>
      <c r="L66">
        <f t="shared" si="12"/>
        <v>706.37970737814726</v>
      </c>
      <c r="M66">
        <f t="shared" si="13"/>
        <v>739.20935368907362</v>
      </c>
      <c r="N66">
        <f t="shared" si="14"/>
        <v>0.47856222735001097</v>
      </c>
      <c r="O66">
        <f t="shared" si="5"/>
        <v>1618892891.0788982</v>
      </c>
      <c r="P66">
        <f t="shared" si="6"/>
        <v>5.9117155615240335E-12</v>
      </c>
      <c r="Q66">
        <f t="shared" si="15"/>
        <v>0</v>
      </c>
      <c r="R66" s="40"/>
    </row>
    <row r="67" spans="1:18" x14ac:dyDescent="0.25">
      <c r="R67" s="40"/>
    </row>
    <row r="68" spans="1:18" x14ac:dyDescent="0.25">
      <c r="B68" t="s">
        <v>347</v>
      </c>
      <c r="C68">
        <f>(B1+G66)/2</f>
        <v>739.20935368907362</v>
      </c>
      <c r="R68" s="40"/>
    </row>
    <row r="69" spans="1:18" x14ac:dyDescent="0.25">
      <c r="R69" s="40"/>
    </row>
  </sheetData>
  <mergeCells count="5">
    <mergeCell ref="A15:A16"/>
    <mergeCell ref="A14:Q14"/>
    <mergeCell ref="B15:F15"/>
    <mergeCell ref="G15:K15"/>
    <mergeCell ref="L15:P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opLeftCell="M1" workbookViewId="0">
      <selection activeCell="S4" sqref="S4:S14"/>
    </sheetView>
  </sheetViews>
  <sheetFormatPr defaultRowHeight="15" x14ac:dyDescent="0.25"/>
  <cols>
    <col min="18" max="18" width="12" bestFit="1" customWidth="1"/>
    <col min="19" max="19" width="11.5703125" bestFit="1" customWidth="1"/>
  </cols>
  <sheetData>
    <row r="1" spans="1:19" ht="15.75" x14ac:dyDescent="0.25">
      <c r="A1" s="181" t="s">
        <v>382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</row>
    <row r="2" spans="1:19" ht="15.75" x14ac:dyDescent="0.25">
      <c r="A2" s="182" t="s">
        <v>348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4"/>
    </row>
    <row r="3" spans="1:19" ht="75" x14ac:dyDescent="0.25">
      <c r="A3" s="101" t="s">
        <v>349</v>
      </c>
      <c r="B3" s="101" t="s">
        <v>350</v>
      </c>
      <c r="C3" s="101" t="s">
        <v>351</v>
      </c>
      <c r="D3" s="101" t="s">
        <v>352</v>
      </c>
      <c r="E3" s="101" t="s">
        <v>353</v>
      </c>
      <c r="F3" s="101" t="s">
        <v>354</v>
      </c>
      <c r="G3" s="101" t="s">
        <v>355</v>
      </c>
      <c r="H3" s="101"/>
      <c r="I3" s="101" t="s">
        <v>356</v>
      </c>
      <c r="J3" s="101" t="s">
        <v>357</v>
      </c>
      <c r="K3" s="101" t="s">
        <v>358</v>
      </c>
      <c r="L3" s="101" t="s">
        <v>359</v>
      </c>
      <c r="M3" s="131" t="s">
        <v>378</v>
      </c>
      <c r="N3" s="131" t="s">
        <v>379</v>
      </c>
      <c r="O3" s="101" t="s">
        <v>360</v>
      </c>
      <c r="P3" s="101" t="s">
        <v>361</v>
      </c>
      <c r="Q3" s="101" t="s">
        <v>362</v>
      </c>
      <c r="R3" s="108" t="s">
        <v>363</v>
      </c>
    </row>
    <row r="4" spans="1:19" x14ac:dyDescent="0.25">
      <c r="A4" s="185" t="s">
        <v>364</v>
      </c>
      <c r="B4" s="102" t="s">
        <v>53</v>
      </c>
      <c r="C4" s="104">
        <f>4.6/100</f>
        <v>4.5999999999999999E-2</v>
      </c>
      <c r="D4" s="109">
        <v>238.04955989999999</v>
      </c>
      <c r="E4" s="185">
        <f>(C4*D4)+(C5*D5)+(C6*D6)+(C7*D7)+(C8*D8)</f>
        <v>239.7495783283</v>
      </c>
      <c r="F4" s="185">
        <f>E4+E9</f>
        <v>271.74838818501661</v>
      </c>
      <c r="G4" s="185">
        <v>0.12</v>
      </c>
      <c r="H4" s="185">
        <f>G4</f>
        <v>0.12</v>
      </c>
      <c r="I4" s="185">
        <f>(G4*F4)+(G10*F10)</f>
        <v>270.23439648232056</v>
      </c>
      <c r="J4" s="185">
        <f>11.46</f>
        <v>11.46</v>
      </c>
      <c r="K4" s="185">
        <v>100</v>
      </c>
      <c r="L4" s="185">
        <f>K4*H4</f>
        <v>12</v>
      </c>
      <c r="M4" s="185">
        <f>L4/F4</f>
        <v>4.4158495585371951E-2</v>
      </c>
      <c r="N4" s="185">
        <f>M4/(M4+M10)</f>
        <v>0.11933093573750687</v>
      </c>
      <c r="O4" s="185">
        <f>L4/J4</f>
        <v>1.0471204188481675</v>
      </c>
      <c r="P4" s="188">
        <f>O4+O10</f>
        <v>9.0763174991401385</v>
      </c>
      <c r="Q4" s="188">
        <f>O4/P4</f>
        <v>0.11536842105263158</v>
      </c>
      <c r="R4" s="191">
        <f>(Q4*J4)+(Q10*J10)</f>
        <v>11.017684210526316</v>
      </c>
      <c r="S4" s="112">
        <f t="shared" ref="S4:S14" si="0">R4*0.96</f>
        <v>10.576976842105262</v>
      </c>
    </row>
    <row r="5" spans="1:19" x14ac:dyDescent="0.25">
      <c r="A5" s="186"/>
      <c r="B5" s="102" t="s">
        <v>54</v>
      </c>
      <c r="C5" s="104">
        <f>50.5/100</f>
        <v>0.505</v>
      </c>
      <c r="D5" s="109">
        <v>239.05216340000001</v>
      </c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9"/>
      <c r="Q5" s="189"/>
      <c r="R5" s="192"/>
      <c r="S5" s="112"/>
    </row>
    <row r="6" spans="1:19" x14ac:dyDescent="0.25">
      <c r="A6" s="186"/>
      <c r="B6" s="102" t="s">
        <v>55</v>
      </c>
      <c r="C6" s="104">
        <f>24/100</f>
        <v>0.24</v>
      </c>
      <c r="D6" s="109">
        <v>240.05381349999999</v>
      </c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9"/>
      <c r="Q6" s="189"/>
      <c r="R6" s="192"/>
      <c r="S6" s="112"/>
    </row>
    <row r="7" spans="1:19" x14ac:dyDescent="0.25">
      <c r="A7" s="186"/>
      <c r="B7" s="102" t="s">
        <v>56</v>
      </c>
      <c r="C7" s="104">
        <f>12.5/100</f>
        <v>0.125</v>
      </c>
      <c r="D7" s="110">
        <v>241.05685149999999</v>
      </c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9"/>
      <c r="Q7" s="189"/>
      <c r="R7" s="192"/>
      <c r="S7" s="112"/>
    </row>
    <row r="8" spans="1:19" x14ac:dyDescent="0.25">
      <c r="A8" s="186"/>
      <c r="B8" s="102" t="s">
        <v>57</v>
      </c>
      <c r="C8" s="104">
        <f>8.4/100</f>
        <v>8.4000000000000005E-2</v>
      </c>
      <c r="D8" s="110">
        <v>242.05874259999999</v>
      </c>
      <c r="E8" s="187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9"/>
      <c r="Q8" s="189"/>
      <c r="R8" s="192"/>
      <c r="S8" s="112"/>
    </row>
    <row r="9" spans="1:19" x14ac:dyDescent="0.25">
      <c r="A9" s="187"/>
      <c r="B9" s="24" t="s">
        <v>66</v>
      </c>
      <c r="C9" s="24">
        <v>1</v>
      </c>
      <c r="D9" s="111">
        <v>15.999404928358301</v>
      </c>
      <c r="E9" s="24">
        <f>2*D9</f>
        <v>31.998809856716601</v>
      </c>
      <c r="F9" s="187"/>
      <c r="G9" s="187"/>
      <c r="H9" s="187"/>
      <c r="I9" s="186"/>
      <c r="J9" s="187"/>
      <c r="K9" s="186"/>
      <c r="L9" s="187"/>
      <c r="M9" s="187"/>
      <c r="N9" s="187"/>
      <c r="O9" s="187"/>
      <c r="P9" s="189"/>
      <c r="Q9" s="190"/>
      <c r="R9" s="192"/>
      <c r="S9" s="112"/>
    </row>
    <row r="10" spans="1:19" x14ac:dyDescent="0.25">
      <c r="A10" s="194" t="s">
        <v>365</v>
      </c>
      <c r="B10" s="104" t="s">
        <v>62</v>
      </c>
      <c r="C10" s="135">
        <v>7.1999999999999998E-3</v>
      </c>
      <c r="D10" s="104">
        <v>235.0439231</v>
      </c>
      <c r="E10" s="194">
        <f>(C10*D10)+(C11*D11)</f>
        <v>238.0291332116</v>
      </c>
      <c r="F10" s="188">
        <f>E10+E12</f>
        <v>270.02794306831657</v>
      </c>
      <c r="G10" s="188">
        <f>1-G4</f>
        <v>0.88</v>
      </c>
      <c r="H10" s="188">
        <f>G10</f>
        <v>0.88</v>
      </c>
      <c r="I10" s="186"/>
      <c r="J10" s="194">
        <v>10.96</v>
      </c>
      <c r="K10" s="186"/>
      <c r="L10" s="188">
        <f>K4*H10</f>
        <v>88</v>
      </c>
      <c r="M10" s="188">
        <f>L10/F10</f>
        <v>0.3258921984149476</v>
      </c>
      <c r="N10" s="188">
        <f>M10/(M10+M4)</f>
        <v>0.88066906426249314</v>
      </c>
      <c r="O10" s="188">
        <f>L10/J10</f>
        <v>8.0291970802919703</v>
      </c>
      <c r="P10" s="189"/>
      <c r="Q10" s="188">
        <f>O10/P4</f>
        <v>0.88463157894736832</v>
      </c>
      <c r="R10" s="192"/>
      <c r="S10" s="112"/>
    </row>
    <row r="11" spans="1:19" x14ac:dyDescent="0.25">
      <c r="A11" s="194"/>
      <c r="B11" s="104" t="s">
        <v>64</v>
      </c>
      <c r="C11" s="135">
        <f>1-C10</f>
        <v>0.99280000000000002</v>
      </c>
      <c r="D11" s="104">
        <v>238.05078259999999</v>
      </c>
      <c r="E11" s="194"/>
      <c r="F11" s="189"/>
      <c r="G11" s="189"/>
      <c r="H11" s="189"/>
      <c r="I11" s="186"/>
      <c r="J11" s="194"/>
      <c r="K11" s="186"/>
      <c r="L11" s="189"/>
      <c r="M11" s="189"/>
      <c r="N11" s="189"/>
      <c r="O11" s="189"/>
      <c r="P11" s="189"/>
      <c r="Q11" s="189"/>
      <c r="R11" s="192"/>
      <c r="S11" s="112"/>
    </row>
    <row r="12" spans="1:19" x14ac:dyDescent="0.25">
      <c r="A12" s="194"/>
      <c r="B12" s="104" t="s">
        <v>66</v>
      </c>
      <c r="C12" s="135">
        <v>1</v>
      </c>
      <c r="D12" s="111">
        <v>15.999404928358301</v>
      </c>
      <c r="E12" s="111">
        <f>(2*D12)</f>
        <v>31.998809856716601</v>
      </c>
      <c r="F12" s="190"/>
      <c r="G12" s="190"/>
      <c r="H12" s="190"/>
      <c r="I12" s="187"/>
      <c r="J12" s="194"/>
      <c r="K12" s="187"/>
      <c r="L12" s="190"/>
      <c r="M12" s="190"/>
      <c r="N12" s="190"/>
      <c r="O12" s="190"/>
      <c r="P12" s="190"/>
      <c r="Q12" s="190"/>
      <c r="R12" s="193"/>
      <c r="S12" s="112"/>
    </row>
    <row r="13" spans="1:19" ht="15.75" x14ac:dyDescent="0.25">
      <c r="A13" s="182" t="s">
        <v>366</v>
      </c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4"/>
      <c r="S13" s="112"/>
    </row>
    <row r="14" spans="1:19" x14ac:dyDescent="0.25">
      <c r="A14" s="185" t="s">
        <v>364</v>
      </c>
      <c r="B14" s="102" t="s">
        <v>53</v>
      </c>
      <c r="C14" s="104">
        <f>4.6/100</f>
        <v>4.5999999999999999E-2</v>
      </c>
      <c r="D14" s="109">
        <v>238.04955989999999</v>
      </c>
      <c r="E14" s="185">
        <f>(C14*D14)+(C15*D15)+(C16*D16)+(C17*D17)+(C18*D18)</f>
        <v>239.7495783283</v>
      </c>
      <c r="F14" s="185">
        <f>E14+E19</f>
        <v>271.74838818501661</v>
      </c>
      <c r="G14" s="185">
        <f>G4</f>
        <v>0.12</v>
      </c>
      <c r="H14" s="195">
        <f>G14*0.9921</f>
        <v>0.11905199999999999</v>
      </c>
      <c r="I14" s="194">
        <f>(H14*F14)+(H20*F20)+(H23*F23)</f>
        <v>270.96331379065765</v>
      </c>
      <c r="J14" s="185">
        <f>11.46</f>
        <v>11.46</v>
      </c>
      <c r="K14" s="194">
        <v>100</v>
      </c>
      <c r="L14" s="194">
        <f>K14*H14</f>
        <v>11.905199999999999</v>
      </c>
      <c r="M14" s="188">
        <f>L14/F14</f>
        <v>4.380964347024751E-2</v>
      </c>
      <c r="N14" s="188">
        <f>M14/(M14+M20+M23)</f>
        <v>0.11862675817577309</v>
      </c>
      <c r="O14" s="194">
        <f>L14/J14</f>
        <v>1.0388481675392669</v>
      </c>
      <c r="P14" s="188">
        <f>O14+O20+O23</f>
        <v>9.1112272764569848</v>
      </c>
      <c r="Q14" s="194">
        <f>O14/P14</f>
        <v>0.11401846710855358</v>
      </c>
      <c r="R14" s="194">
        <f>(Q14*J14)+(Q20*J20)+(Q23*J23)</f>
        <v>10.975469820448412</v>
      </c>
      <c r="S14" s="112">
        <f t="shared" si="0"/>
        <v>10.536451027630475</v>
      </c>
    </row>
    <row r="15" spans="1:19" x14ac:dyDescent="0.25">
      <c r="A15" s="186"/>
      <c r="B15" s="102" t="s">
        <v>54</v>
      </c>
      <c r="C15" s="104">
        <f>50.5/100</f>
        <v>0.505</v>
      </c>
      <c r="D15" s="109">
        <v>239.05216340000001</v>
      </c>
      <c r="E15" s="186"/>
      <c r="F15" s="186"/>
      <c r="G15" s="186"/>
      <c r="H15" s="196"/>
      <c r="I15" s="194"/>
      <c r="J15" s="186"/>
      <c r="K15" s="194"/>
      <c r="L15" s="194"/>
      <c r="M15" s="189"/>
      <c r="N15" s="189"/>
      <c r="O15" s="194"/>
      <c r="P15" s="189"/>
      <c r="Q15" s="194"/>
      <c r="R15" s="194"/>
      <c r="S15" s="112"/>
    </row>
    <row r="16" spans="1:19" x14ac:dyDescent="0.25">
      <c r="A16" s="186"/>
      <c r="B16" s="102" t="s">
        <v>55</v>
      </c>
      <c r="C16" s="104">
        <f>24/100</f>
        <v>0.24</v>
      </c>
      <c r="D16" s="109">
        <v>240.05381349999999</v>
      </c>
      <c r="E16" s="186"/>
      <c r="F16" s="186"/>
      <c r="G16" s="186"/>
      <c r="H16" s="196"/>
      <c r="I16" s="194"/>
      <c r="J16" s="186"/>
      <c r="K16" s="194"/>
      <c r="L16" s="194"/>
      <c r="M16" s="189"/>
      <c r="N16" s="189"/>
      <c r="O16" s="194"/>
      <c r="P16" s="189"/>
      <c r="Q16" s="194"/>
      <c r="R16" s="194"/>
      <c r="S16" s="112"/>
    </row>
    <row r="17" spans="1:19" x14ac:dyDescent="0.25">
      <c r="A17" s="186"/>
      <c r="B17" s="102" t="s">
        <v>56</v>
      </c>
      <c r="C17" s="104">
        <f>12.5/100</f>
        <v>0.125</v>
      </c>
      <c r="D17" s="110">
        <v>241.05685149999999</v>
      </c>
      <c r="E17" s="186"/>
      <c r="F17" s="186"/>
      <c r="G17" s="186"/>
      <c r="H17" s="196"/>
      <c r="I17" s="194"/>
      <c r="J17" s="186"/>
      <c r="K17" s="194"/>
      <c r="L17" s="194"/>
      <c r="M17" s="189"/>
      <c r="N17" s="189"/>
      <c r="O17" s="194"/>
      <c r="P17" s="189"/>
      <c r="Q17" s="194"/>
      <c r="R17" s="194"/>
      <c r="S17" s="112"/>
    </row>
    <row r="18" spans="1:19" x14ac:dyDescent="0.25">
      <c r="A18" s="186"/>
      <c r="B18" s="102" t="s">
        <v>57</v>
      </c>
      <c r="C18" s="104">
        <f>8.4/100</f>
        <v>8.4000000000000005E-2</v>
      </c>
      <c r="D18" s="110">
        <v>242.05874259999999</v>
      </c>
      <c r="E18" s="187"/>
      <c r="F18" s="186"/>
      <c r="G18" s="186"/>
      <c r="H18" s="196"/>
      <c r="I18" s="194"/>
      <c r="J18" s="186"/>
      <c r="K18" s="194"/>
      <c r="L18" s="194"/>
      <c r="M18" s="189"/>
      <c r="N18" s="189"/>
      <c r="O18" s="194"/>
      <c r="P18" s="189"/>
      <c r="Q18" s="194"/>
      <c r="R18" s="194"/>
      <c r="S18" s="112"/>
    </row>
    <row r="19" spans="1:19" x14ac:dyDescent="0.25">
      <c r="A19" s="187"/>
      <c r="B19" s="24" t="s">
        <v>66</v>
      </c>
      <c r="C19" s="24">
        <v>1</v>
      </c>
      <c r="D19" s="111">
        <v>15.999404928358301</v>
      </c>
      <c r="E19" s="24">
        <f>2*D19</f>
        <v>31.998809856716601</v>
      </c>
      <c r="F19" s="187"/>
      <c r="G19" s="187"/>
      <c r="H19" s="197"/>
      <c r="I19" s="194"/>
      <c r="J19" s="187"/>
      <c r="K19" s="194"/>
      <c r="L19" s="194"/>
      <c r="M19" s="190"/>
      <c r="N19" s="190"/>
      <c r="O19" s="194"/>
      <c r="P19" s="189"/>
      <c r="Q19" s="194"/>
      <c r="R19" s="194"/>
      <c r="S19" s="112"/>
    </row>
    <row r="20" spans="1:19" x14ac:dyDescent="0.25">
      <c r="A20" s="194" t="s">
        <v>365</v>
      </c>
      <c r="B20" s="104" t="s">
        <v>62</v>
      </c>
      <c r="C20" s="135">
        <v>7.1999999999999998E-3</v>
      </c>
      <c r="D20" s="104">
        <v>235.0439231</v>
      </c>
      <c r="E20" s="194">
        <f>(C20*D20)+(C21*D21)</f>
        <v>238.0291332116</v>
      </c>
      <c r="F20" s="188">
        <f>E20+E22</f>
        <v>270.02794306831657</v>
      </c>
      <c r="G20" s="188">
        <f>G10</f>
        <v>0.88</v>
      </c>
      <c r="H20" s="198">
        <f>G20*0.9921</f>
        <v>0.87304799999999994</v>
      </c>
      <c r="I20" s="194"/>
      <c r="J20" s="194">
        <v>10.96</v>
      </c>
      <c r="K20" s="194"/>
      <c r="L20" s="194">
        <f>K14*H20</f>
        <v>87.3048</v>
      </c>
      <c r="M20" s="188">
        <f>L20/F20</f>
        <v>0.32331765004746954</v>
      </c>
      <c r="N20" s="188">
        <f>M20/(M14+M20+M23)</f>
        <v>0.87547219397454989</v>
      </c>
      <c r="O20" s="194">
        <f>L20/J20</f>
        <v>7.9657664233576639</v>
      </c>
      <c r="P20" s="189"/>
      <c r="Q20" s="194">
        <f>O20/P14</f>
        <v>0.87428028976303318</v>
      </c>
      <c r="R20" s="194"/>
      <c r="S20" s="112"/>
    </row>
    <row r="21" spans="1:19" x14ac:dyDescent="0.25">
      <c r="A21" s="194"/>
      <c r="B21" s="104" t="s">
        <v>64</v>
      </c>
      <c r="C21" s="135">
        <f>1-C20</f>
        <v>0.99280000000000002</v>
      </c>
      <c r="D21" s="104">
        <v>238.05078259999999</v>
      </c>
      <c r="E21" s="194"/>
      <c r="F21" s="189"/>
      <c r="G21" s="189"/>
      <c r="H21" s="199"/>
      <c r="I21" s="194"/>
      <c r="J21" s="194"/>
      <c r="K21" s="194"/>
      <c r="L21" s="194"/>
      <c r="M21" s="189"/>
      <c r="N21" s="189"/>
      <c r="O21" s="194"/>
      <c r="P21" s="189"/>
      <c r="Q21" s="194"/>
      <c r="R21" s="194"/>
      <c r="S21" s="112"/>
    </row>
    <row r="22" spans="1:19" x14ac:dyDescent="0.25">
      <c r="A22" s="194"/>
      <c r="B22" s="104" t="s">
        <v>66</v>
      </c>
      <c r="C22" s="135">
        <v>1</v>
      </c>
      <c r="D22" s="111">
        <v>15.999404928358301</v>
      </c>
      <c r="E22" s="111">
        <f>(2*D22)</f>
        <v>31.998809856716601</v>
      </c>
      <c r="F22" s="190"/>
      <c r="G22" s="190"/>
      <c r="H22" s="200"/>
      <c r="I22" s="194"/>
      <c r="J22" s="194"/>
      <c r="K22" s="194"/>
      <c r="L22" s="194"/>
      <c r="M22" s="190"/>
      <c r="N22" s="190"/>
      <c r="O22" s="194"/>
      <c r="P22" s="189"/>
      <c r="Q22" s="194"/>
      <c r="R22" s="194"/>
      <c r="S22" s="112"/>
    </row>
    <row r="23" spans="1:19" x14ac:dyDescent="0.25">
      <c r="A23" s="194" t="s">
        <v>127</v>
      </c>
      <c r="B23" s="104" t="s">
        <v>367</v>
      </c>
      <c r="C23" s="104">
        <v>1</v>
      </c>
      <c r="D23" s="4">
        <v>157.25209770539999</v>
      </c>
      <c r="E23" s="111">
        <f>2*D23</f>
        <v>314.50419541079998</v>
      </c>
      <c r="F23" s="188">
        <f>E23+E24</f>
        <v>362.50241019587486</v>
      </c>
      <c r="G23" s="188">
        <v>7.9000000000000008E-3</v>
      </c>
      <c r="H23" s="198">
        <v>7.9000000000000008E-3</v>
      </c>
      <c r="I23" s="194"/>
      <c r="J23" s="188">
        <v>7.41</v>
      </c>
      <c r="K23" s="194"/>
      <c r="L23" s="194">
        <f>K14*H23</f>
        <v>0.79</v>
      </c>
      <c r="M23" s="188">
        <f>L23/F23</f>
        <v>2.1792958550899862E-3</v>
      </c>
      <c r="N23" s="188">
        <f>M23/(M14+M20+M23)</f>
        <v>5.9010478496770991E-3</v>
      </c>
      <c r="O23" s="194">
        <f>L23/J23</f>
        <v>0.10661268556005399</v>
      </c>
      <c r="P23" s="189"/>
      <c r="Q23" s="194">
        <f>O23/P14</f>
        <v>1.1701243128413285E-2</v>
      </c>
      <c r="R23" s="194"/>
      <c r="S23" s="112"/>
    </row>
    <row r="24" spans="1:19" x14ac:dyDescent="0.25">
      <c r="A24" s="194"/>
      <c r="B24" s="104" t="s">
        <v>66</v>
      </c>
      <c r="C24" s="104">
        <v>1</v>
      </c>
      <c r="D24" s="104">
        <v>15.999404928358299</v>
      </c>
      <c r="E24" s="111">
        <f>(3*D24)</f>
        <v>47.998214785074893</v>
      </c>
      <c r="F24" s="190"/>
      <c r="G24" s="190"/>
      <c r="H24" s="200"/>
      <c r="I24" s="194"/>
      <c r="J24" s="190"/>
      <c r="K24" s="194"/>
      <c r="L24" s="194"/>
      <c r="M24" s="190"/>
      <c r="N24" s="190"/>
      <c r="O24" s="194"/>
      <c r="P24" s="190"/>
      <c r="Q24" s="194"/>
      <c r="R24" s="194"/>
      <c r="S24" s="112"/>
    </row>
  </sheetData>
  <mergeCells count="65">
    <mergeCell ref="M4:M9"/>
    <mergeCell ref="N4:N9"/>
    <mergeCell ref="M10:M12"/>
    <mergeCell ref="N10:N12"/>
    <mergeCell ref="M14:M19"/>
    <mergeCell ref="N14:N19"/>
    <mergeCell ref="Q20:Q22"/>
    <mergeCell ref="A23:A24"/>
    <mergeCell ref="F23:F24"/>
    <mergeCell ref="G23:G24"/>
    <mergeCell ref="H23:H24"/>
    <mergeCell ref="J23:J24"/>
    <mergeCell ref="L23:L24"/>
    <mergeCell ref="O23:O24"/>
    <mergeCell ref="Q23:Q24"/>
    <mergeCell ref="M20:M22"/>
    <mergeCell ref="N20:N22"/>
    <mergeCell ref="M23:M24"/>
    <mergeCell ref="N23:N24"/>
    <mergeCell ref="Q14:Q19"/>
    <mergeCell ref="R14:R24"/>
    <mergeCell ref="A20:A22"/>
    <mergeCell ref="E20:E21"/>
    <mergeCell ref="F20:F22"/>
    <mergeCell ref="G20:G22"/>
    <mergeCell ref="H20:H22"/>
    <mergeCell ref="J20:J22"/>
    <mergeCell ref="L20:L22"/>
    <mergeCell ref="O20:O22"/>
    <mergeCell ref="I14:I24"/>
    <mergeCell ref="J14:J19"/>
    <mergeCell ref="K14:K24"/>
    <mergeCell ref="L14:L19"/>
    <mergeCell ref="O14:O19"/>
    <mergeCell ref="P14:P24"/>
    <mergeCell ref="L10:L12"/>
    <mergeCell ref="O10:O12"/>
    <mergeCell ref="Q10:Q12"/>
    <mergeCell ref="A13:R13"/>
    <mergeCell ref="A10:A12"/>
    <mergeCell ref="E10:E11"/>
    <mergeCell ref="F10:F12"/>
    <mergeCell ref="G10:G12"/>
    <mergeCell ref="H10:H12"/>
    <mergeCell ref="A14:A19"/>
    <mergeCell ref="E14:E18"/>
    <mergeCell ref="F14:F19"/>
    <mergeCell ref="G14:G19"/>
    <mergeCell ref="H14:H19"/>
    <mergeCell ref="A1:R1"/>
    <mergeCell ref="A2:R2"/>
    <mergeCell ref="A4:A9"/>
    <mergeCell ref="E4:E8"/>
    <mergeCell ref="F4:F9"/>
    <mergeCell ref="G4:G9"/>
    <mergeCell ref="H4:H9"/>
    <mergeCell ref="I4:I12"/>
    <mergeCell ref="J4:J9"/>
    <mergeCell ref="K4:K12"/>
    <mergeCell ref="L4:L9"/>
    <mergeCell ref="O4:O9"/>
    <mergeCell ref="P4:P12"/>
    <mergeCell ref="Q4:Q9"/>
    <mergeCell ref="R4:R12"/>
    <mergeCell ref="J10:J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9"/>
  <sheetViews>
    <sheetView topLeftCell="B1" zoomScale="94" zoomScaleNormal="175" workbookViewId="0">
      <selection activeCell="C3" sqref="C3"/>
    </sheetView>
  </sheetViews>
  <sheetFormatPr defaultRowHeight="15" x14ac:dyDescent="0.25"/>
  <cols>
    <col min="1" max="1" width="27.5703125" bestFit="1" customWidth="1"/>
    <col min="2" max="2" width="18.85546875" bestFit="1" customWidth="1"/>
    <col min="3" max="3" width="17.7109375" bestFit="1" customWidth="1"/>
    <col min="4" max="4" width="17.85546875" bestFit="1" customWidth="1"/>
    <col min="5" max="7" width="17.7109375" bestFit="1" customWidth="1"/>
    <col min="8" max="8" width="17.85546875" customWidth="1"/>
    <col min="9" max="9" width="17.7109375" bestFit="1" customWidth="1"/>
    <col min="10" max="10" width="17.85546875" bestFit="1" customWidth="1"/>
    <col min="11" max="11" width="17.7109375" bestFit="1" customWidth="1"/>
    <col min="15" max="15" width="3.85546875" bestFit="1" customWidth="1"/>
    <col min="16" max="17" width="2.140625" bestFit="1" customWidth="1"/>
    <col min="18" max="20" width="4" bestFit="1" customWidth="1"/>
    <col min="21" max="22" width="4" customWidth="1"/>
    <col min="23" max="24" width="2.140625" bestFit="1" customWidth="1"/>
    <col min="26" max="26" width="3.85546875" bestFit="1" customWidth="1"/>
    <col min="27" max="28" width="2.140625" bestFit="1" customWidth="1"/>
    <col min="29" max="33" width="4" bestFit="1" customWidth="1"/>
    <col min="34" max="35" width="2.140625" bestFit="1" customWidth="1"/>
    <col min="37" max="37" width="3.85546875" bestFit="1" customWidth="1"/>
    <col min="38" max="39" width="2.140625" bestFit="1" customWidth="1"/>
    <col min="40" max="46" width="4" bestFit="1" customWidth="1"/>
    <col min="47" max="48" width="3" bestFit="1" customWidth="1"/>
    <col min="50" max="50" width="3.85546875" bestFit="1" customWidth="1"/>
    <col min="51" max="52" width="2.140625" bestFit="1" customWidth="1"/>
    <col min="53" max="59" width="4" bestFit="1" customWidth="1"/>
    <col min="60" max="61" width="3" bestFit="1" customWidth="1"/>
    <col min="62" max="62" width="9.28515625" customWidth="1"/>
    <col min="63" max="63" width="3.85546875" bestFit="1" customWidth="1"/>
    <col min="64" max="65" width="2.140625" bestFit="1" customWidth="1"/>
    <col min="66" max="74" width="4" bestFit="1" customWidth="1"/>
    <col min="75" max="76" width="3" bestFit="1" customWidth="1"/>
  </cols>
  <sheetData>
    <row r="1" spans="1:76" x14ac:dyDescent="0.25">
      <c r="A1" s="203" t="s">
        <v>35</v>
      </c>
      <c r="B1" s="173" t="s">
        <v>226</v>
      </c>
      <c r="C1" s="173"/>
      <c r="D1" s="173" t="s">
        <v>227</v>
      </c>
      <c r="E1" s="173"/>
      <c r="F1" s="204" t="s">
        <v>228</v>
      </c>
      <c r="G1" s="204"/>
      <c r="H1" s="173" t="s">
        <v>229</v>
      </c>
      <c r="I1" s="173"/>
      <c r="J1" s="173" t="s">
        <v>230</v>
      </c>
      <c r="K1" s="173"/>
      <c r="O1" s="180" t="s">
        <v>257</v>
      </c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0"/>
      <c r="AZ1" s="180"/>
      <c r="BA1" s="180"/>
      <c r="BB1" s="180"/>
      <c r="BC1" s="180"/>
      <c r="BD1" s="180"/>
      <c r="BE1" s="180"/>
      <c r="BF1" s="180"/>
      <c r="BG1" s="180"/>
      <c r="BH1" s="180"/>
      <c r="BI1" s="180"/>
      <c r="BJ1" s="180"/>
      <c r="BK1" s="180"/>
      <c r="BL1" s="180"/>
      <c r="BM1" s="180"/>
      <c r="BN1" s="180"/>
      <c r="BO1" s="180"/>
      <c r="BP1" s="180"/>
      <c r="BQ1" s="180"/>
      <c r="BR1" s="180"/>
      <c r="BS1" s="180"/>
      <c r="BT1" s="180"/>
      <c r="BU1" s="180"/>
      <c r="BV1" s="180"/>
      <c r="BW1" s="180"/>
      <c r="BX1" s="180"/>
    </row>
    <row r="2" spans="1:76" x14ac:dyDescent="0.25">
      <c r="A2" s="203"/>
      <c r="B2" s="47" t="s">
        <v>225</v>
      </c>
      <c r="C2" s="47" t="s">
        <v>224</v>
      </c>
      <c r="D2" s="47" t="s">
        <v>225</v>
      </c>
      <c r="E2" s="47" t="s">
        <v>224</v>
      </c>
      <c r="F2" s="47" t="s">
        <v>225</v>
      </c>
      <c r="G2" s="47" t="s">
        <v>224</v>
      </c>
      <c r="H2" s="47" t="s">
        <v>225</v>
      </c>
      <c r="I2" s="47" t="s">
        <v>224</v>
      </c>
      <c r="J2" s="47" t="s">
        <v>225</v>
      </c>
      <c r="K2" s="47" t="s">
        <v>224</v>
      </c>
    </row>
    <row r="3" spans="1:76" x14ac:dyDescent="0.25">
      <c r="A3" s="4" t="s">
        <v>223</v>
      </c>
      <c r="B3" s="4">
        <f t="shared" ref="B3:I3" si="0">B5/B4</f>
        <v>4.9484906079522606</v>
      </c>
      <c r="C3" s="4">
        <f t="shared" si="0"/>
        <v>4.9484906079522606</v>
      </c>
      <c r="D3" s="4">
        <f>D5/D4</f>
        <v>2.5151933614569573</v>
      </c>
      <c r="E3" s="4">
        <f>E5/E4</f>
        <v>2.5151933614569573</v>
      </c>
      <c r="F3" s="4">
        <f t="shared" si="0"/>
        <v>1.2121212121212122</v>
      </c>
      <c r="G3" s="4">
        <f t="shared" si="0"/>
        <v>1.2121212121212122</v>
      </c>
      <c r="H3" s="4">
        <f t="shared" si="0"/>
        <v>0.86527374061281581</v>
      </c>
      <c r="I3" s="4">
        <f t="shared" si="0"/>
        <v>0.86527374061281581</v>
      </c>
      <c r="J3" s="4">
        <f>J5/J4</f>
        <v>0.56427203692144656</v>
      </c>
      <c r="K3" s="4">
        <f>K5/K4</f>
        <v>0.56427203692144656</v>
      </c>
      <c r="O3" s="180" t="s">
        <v>261</v>
      </c>
      <c r="P3" s="180"/>
      <c r="Q3" s="180"/>
      <c r="R3" s="180"/>
      <c r="S3" s="180"/>
      <c r="T3" s="180"/>
      <c r="U3" s="180"/>
      <c r="V3" s="180"/>
      <c r="W3" s="180"/>
      <c r="X3" s="180"/>
      <c r="Z3" s="180" t="s">
        <v>262</v>
      </c>
      <c r="AA3" s="180"/>
      <c r="AB3" s="180"/>
      <c r="AC3" s="180"/>
      <c r="AD3" s="180"/>
      <c r="AE3" s="180"/>
      <c r="AF3" s="180"/>
      <c r="AG3" s="180"/>
      <c r="AH3" s="180"/>
      <c r="AI3" s="180"/>
      <c r="AK3" s="180" t="s">
        <v>258</v>
      </c>
      <c r="AL3" s="180"/>
      <c r="AM3" s="180"/>
      <c r="AN3" s="180"/>
      <c r="AO3" s="180"/>
      <c r="AP3" s="180"/>
      <c r="AQ3" s="180"/>
      <c r="AR3" s="180"/>
      <c r="AS3" s="180"/>
      <c r="AT3" s="180"/>
      <c r="AU3" s="180"/>
      <c r="AV3" s="180"/>
      <c r="AX3" s="180" t="s">
        <v>263</v>
      </c>
      <c r="AY3" s="180"/>
      <c r="AZ3" s="180"/>
      <c r="BA3" s="180"/>
      <c r="BB3" s="180"/>
      <c r="BC3" s="180"/>
      <c r="BD3" s="180"/>
      <c r="BE3" s="180"/>
      <c r="BF3" s="180"/>
      <c r="BG3" s="180"/>
      <c r="BH3" s="180"/>
      <c r="BI3" s="180"/>
      <c r="BK3" s="180" t="s">
        <v>264</v>
      </c>
      <c r="BL3" s="180"/>
      <c r="BM3" s="180"/>
      <c r="BN3" s="180"/>
      <c r="BO3" s="180"/>
      <c r="BP3" s="180"/>
      <c r="BQ3" s="180"/>
      <c r="BR3" s="180"/>
      <c r="BS3" s="180"/>
      <c r="BT3" s="180"/>
      <c r="BU3" s="180"/>
      <c r="BV3" s="180"/>
      <c r="BW3" s="180"/>
      <c r="BX3" s="180"/>
    </row>
    <row r="4" spans="1:76" x14ac:dyDescent="0.25">
      <c r="A4" s="10" t="s">
        <v>222</v>
      </c>
      <c r="B4" s="10">
        <v>115</v>
      </c>
      <c r="C4" s="10">
        <v>115</v>
      </c>
      <c r="D4" s="10">
        <v>140</v>
      </c>
      <c r="E4" s="10">
        <v>140</v>
      </c>
      <c r="F4" s="10">
        <v>165</v>
      </c>
      <c r="G4" s="10">
        <v>165</v>
      </c>
      <c r="H4" s="10">
        <v>190</v>
      </c>
      <c r="I4" s="10">
        <v>190</v>
      </c>
      <c r="J4" s="10">
        <v>215</v>
      </c>
      <c r="K4" s="10">
        <v>215</v>
      </c>
      <c r="O4" t="s">
        <v>259</v>
      </c>
      <c r="P4">
        <v>1</v>
      </c>
      <c r="Q4">
        <v>2</v>
      </c>
      <c r="R4">
        <v>3</v>
      </c>
      <c r="S4">
        <v>4</v>
      </c>
      <c r="T4">
        <v>5</v>
      </c>
      <c r="U4">
        <v>6</v>
      </c>
      <c r="V4">
        <v>7</v>
      </c>
      <c r="W4">
        <v>8</v>
      </c>
      <c r="X4">
        <v>9</v>
      </c>
      <c r="Z4" t="s">
        <v>259</v>
      </c>
      <c r="AA4">
        <v>1</v>
      </c>
      <c r="AB4">
        <v>2</v>
      </c>
      <c r="AC4">
        <v>3</v>
      </c>
      <c r="AD4">
        <v>4</v>
      </c>
      <c r="AE4">
        <v>5</v>
      </c>
      <c r="AF4">
        <v>6</v>
      </c>
      <c r="AG4">
        <v>7</v>
      </c>
      <c r="AH4">
        <v>8</v>
      </c>
      <c r="AI4">
        <v>9</v>
      </c>
      <c r="AK4" t="s">
        <v>259</v>
      </c>
      <c r="AL4">
        <v>1</v>
      </c>
      <c r="AM4">
        <v>2</v>
      </c>
      <c r="AN4">
        <v>3</v>
      </c>
      <c r="AO4">
        <v>4</v>
      </c>
      <c r="AP4">
        <v>5</v>
      </c>
      <c r="AQ4">
        <v>6</v>
      </c>
      <c r="AR4">
        <v>7</v>
      </c>
      <c r="AS4">
        <v>8</v>
      </c>
      <c r="AT4">
        <v>9</v>
      </c>
      <c r="AU4">
        <v>10</v>
      </c>
      <c r="AV4">
        <v>11</v>
      </c>
      <c r="AX4" t="s">
        <v>259</v>
      </c>
      <c r="AY4">
        <v>1</v>
      </c>
      <c r="AZ4">
        <v>2</v>
      </c>
      <c r="BA4">
        <v>3</v>
      </c>
      <c r="BB4">
        <v>4</v>
      </c>
      <c r="BC4">
        <v>5</v>
      </c>
      <c r="BD4">
        <v>6</v>
      </c>
      <c r="BE4">
        <v>7</v>
      </c>
      <c r="BF4">
        <v>8</v>
      </c>
      <c r="BG4">
        <v>9</v>
      </c>
      <c r="BH4">
        <v>10</v>
      </c>
      <c r="BI4">
        <v>11</v>
      </c>
      <c r="BK4" t="s">
        <v>259</v>
      </c>
      <c r="BL4">
        <v>1</v>
      </c>
      <c r="BM4">
        <v>2</v>
      </c>
      <c r="BN4">
        <v>3</v>
      </c>
      <c r="BO4">
        <v>4</v>
      </c>
      <c r="BP4">
        <v>5</v>
      </c>
      <c r="BQ4">
        <v>6</v>
      </c>
      <c r="BR4">
        <v>7</v>
      </c>
      <c r="BS4">
        <v>8</v>
      </c>
      <c r="BT4">
        <v>9</v>
      </c>
      <c r="BU4">
        <v>10</v>
      </c>
      <c r="BV4">
        <v>11</v>
      </c>
      <c r="BW4">
        <v>12</v>
      </c>
      <c r="BX4">
        <v>13</v>
      </c>
    </row>
    <row r="5" spans="1:76" x14ac:dyDescent="0.25">
      <c r="A5" s="10" t="s">
        <v>221</v>
      </c>
      <c r="B5" s="49">
        <v>569.07641991450998</v>
      </c>
      <c r="C5" s="49">
        <f>B5</f>
        <v>569.07641991450998</v>
      </c>
      <c r="D5" s="49">
        <v>352.127070603974</v>
      </c>
      <c r="E5" s="49">
        <f>D5</f>
        <v>352.127070603974</v>
      </c>
      <c r="F5" s="49">
        <v>200</v>
      </c>
      <c r="G5" s="49">
        <v>200</v>
      </c>
      <c r="H5" s="49">
        <v>164.402010716435</v>
      </c>
      <c r="I5" s="49">
        <f>H5</f>
        <v>164.402010716435</v>
      </c>
      <c r="J5" s="49">
        <v>121.31848793811101</v>
      </c>
      <c r="K5" s="49">
        <f>J5</f>
        <v>121.31848793811101</v>
      </c>
      <c r="O5">
        <v>1</v>
      </c>
      <c r="P5" s="65" t="s">
        <v>260</v>
      </c>
      <c r="Q5" s="66" t="s">
        <v>260</v>
      </c>
      <c r="R5" s="66" t="s">
        <v>260</v>
      </c>
      <c r="S5" s="66" t="s">
        <v>260</v>
      </c>
      <c r="T5" s="66" t="s">
        <v>260</v>
      </c>
      <c r="U5" s="66" t="s">
        <v>260</v>
      </c>
      <c r="V5" s="66" t="s">
        <v>260</v>
      </c>
      <c r="W5" s="66" t="s">
        <v>260</v>
      </c>
      <c r="X5" s="67" t="s">
        <v>260</v>
      </c>
      <c r="Z5">
        <v>1</v>
      </c>
      <c r="AA5" s="65" t="s">
        <v>260</v>
      </c>
      <c r="AB5" s="66" t="s">
        <v>260</v>
      </c>
      <c r="AC5" s="66" t="s">
        <v>260</v>
      </c>
      <c r="AD5" s="66" t="s">
        <v>260</v>
      </c>
      <c r="AE5" s="66" t="s">
        <v>260</v>
      </c>
      <c r="AF5" s="66" t="s">
        <v>260</v>
      </c>
      <c r="AG5" s="66" t="s">
        <v>260</v>
      </c>
      <c r="AH5" s="66" t="s">
        <v>260</v>
      </c>
      <c r="AI5" s="67" t="s">
        <v>260</v>
      </c>
      <c r="AK5">
        <v>1</v>
      </c>
      <c r="AL5" s="65" t="s">
        <v>260</v>
      </c>
      <c r="AM5" s="66" t="s">
        <v>260</v>
      </c>
      <c r="AN5" s="66" t="s">
        <v>260</v>
      </c>
      <c r="AO5" s="66" t="s">
        <v>260</v>
      </c>
      <c r="AP5" s="66" t="s">
        <v>260</v>
      </c>
      <c r="AQ5" s="66" t="s">
        <v>260</v>
      </c>
      <c r="AR5" s="66" t="s">
        <v>260</v>
      </c>
      <c r="AS5" s="66" t="s">
        <v>260</v>
      </c>
      <c r="AT5" s="66" t="s">
        <v>260</v>
      </c>
      <c r="AU5" s="66" t="s">
        <v>260</v>
      </c>
      <c r="AV5" s="67" t="s">
        <v>260</v>
      </c>
      <c r="AX5">
        <v>1</v>
      </c>
      <c r="AY5" s="65" t="s">
        <v>260</v>
      </c>
      <c r="AZ5" s="66" t="s">
        <v>260</v>
      </c>
      <c r="BA5" s="66" t="s">
        <v>260</v>
      </c>
      <c r="BB5" s="66" t="s">
        <v>260</v>
      </c>
      <c r="BC5" s="66" t="s">
        <v>260</v>
      </c>
      <c r="BD5" s="66" t="s">
        <v>260</v>
      </c>
      <c r="BE5" s="66" t="s">
        <v>260</v>
      </c>
      <c r="BF5" s="66" t="s">
        <v>260</v>
      </c>
      <c r="BG5" s="66" t="s">
        <v>260</v>
      </c>
      <c r="BH5" s="66" t="s">
        <v>260</v>
      </c>
      <c r="BI5" s="67" t="s">
        <v>260</v>
      </c>
      <c r="BK5">
        <v>1</v>
      </c>
      <c r="BL5" s="65" t="s">
        <v>260</v>
      </c>
      <c r="BM5" s="66" t="s">
        <v>260</v>
      </c>
      <c r="BN5" s="66" t="s">
        <v>260</v>
      </c>
      <c r="BO5" s="66" t="s">
        <v>260</v>
      </c>
      <c r="BP5" s="66" t="s">
        <v>260</v>
      </c>
      <c r="BQ5" s="66" t="s">
        <v>260</v>
      </c>
      <c r="BR5" s="66" t="s">
        <v>260</v>
      </c>
      <c r="BS5" s="66" t="s">
        <v>260</v>
      </c>
      <c r="BT5" s="66" t="s">
        <v>260</v>
      </c>
      <c r="BU5" s="66" t="s">
        <v>260</v>
      </c>
      <c r="BV5" s="66" t="s">
        <v>260</v>
      </c>
      <c r="BW5" s="66" t="s">
        <v>260</v>
      </c>
      <c r="BX5" s="67" t="s">
        <v>260</v>
      </c>
    </row>
    <row r="6" spans="1:76" x14ac:dyDescent="0.25">
      <c r="A6" s="4" t="s">
        <v>235</v>
      </c>
      <c r="B6" s="4">
        <f t="shared" ref="B6:K6" si="1">(PI()*B7^2*B5)*B8*B9</f>
        <v>699384.60224201996</v>
      </c>
      <c r="C6" s="4">
        <f t="shared" si="1"/>
        <v>310837.60099645326</v>
      </c>
      <c r="D6" s="4">
        <f t="shared" si="1"/>
        <v>817431.3724469312</v>
      </c>
      <c r="E6" s="4">
        <f t="shared" si="1"/>
        <v>192336.79351692498</v>
      </c>
      <c r="F6" s="4">
        <f t="shared" si="1"/>
        <v>628146.28868232062</v>
      </c>
      <c r="G6" s="4">
        <f t="shared" si="1"/>
        <v>382349.91485010821</v>
      </c>
      <c r="H6" s="4">
        <f t="shared" si="1"/>
        <v>695939.9781275288</v>
      </c>
      <c r="I6" s="4">
        <f t="shared" si="1"/>
        <v>314295.47399307747</v>
      </c>
      <c r="J6" s="4">
        <f t="shared" si="1"/>
        <v>612959.35739877971</v>
      </c>
      <c r="K6" s="4">
        <f t="shared" si="1"/>
        <v>397595.25885326246</v>
      </c>
      <c r="O6">
        <v>2</v>
      </c>
      <c r="P6" s="23" t="s">
        <v>260</v>
      </c>
      <c r="Q6" s="18"/>
      <c r="R6" s="18"/>
      <c r="S6" s="18"/>
      <c r="T6" s="18"/>
      <c r="U6" s="18"/>
      <c r="V6" s="18"/>
      <c r="W6" s="18"/>
      <c r="X6" s="22" t="s">
        <v>260</v>
      </c>
      <c r="Z6">
        <v>2</v>
      </c>
      <c r="AA6" s="23" t="s">
        <v>260</v>
      </c>
      <c r="AB6" s="18"/>
      <c r="AC6" s="18"/>
      <c r="AD6" s="18"/>
      <c r="AE6" s="18"/>
      <c r="AF6" s="18"/>
      <c r="AG6" s="18"/>
      <c r="AH6" s="18"/>
      <c r="AI6" s="22" t="s">
        <v>260</v>
      </c>
      <c r="AK6">
        <v>2</v>
      </c>
      <c r="AL6" s="23" t="s">
        <v>260</v>
      </c>
      <c r="AM6" s="18"/>
      <c r="AN6" s="18"/>
      <c r="AO6" s="18"/>
      <c r="AP6" s="18"/>
      <c r="AQ6" s="18"/>
      <c r="AR6" s="18"/>
      <c r="AS6" s="18"/>
      <c r="AT6" s="18"/>
      <c r="AU6" s="18"/>
      <c r="AV6" s="22" t="s">
        <v>260</v>
      </c>
      <c r="AX6">
        <v>2</v>
      </c>
      <c r="AY6" s="23" t="s">
        <v>260</v>
      </c>
      <c r="AZ6" s="69"/>
      <c r="BA6" s="69"/>
      <c r="BB6" s="69"/>
      <c r="BC6" s="69"/>
      <c r="BD6" s="69"/>
      <c r="BE6" s="69"/>
      <c r="BF6" s="69"/>
      <c r="BG6" s="69"/>
      <c r="BH6" s="69"/>
      <c r="BI6" s="22" t="s">
        <v>260</v>
      </c>
      <c r="BK6">
        <v>2</v>
      </c>
      <c r="BL6" s="23" t="s">
        <v>260</v>
      </c>
      <c r="BM6" s="18"/>
      <c r="BN6" s="18"/>
      <c r="BO6" s="18"/>
      <c r="BP6" s="18"/>
      <c r="BQ6" s="18"/>
      <c r="BR6" s="18"/>
      <c r="BS6" s="18"/>
      <c r="BT6" s="18"/>
      <c r="BU6" s="18"/>
      <c r="BX6" s="22" t="s">
        <v>260</v>
      </c>
    </row>
    <row r="7" spans="1:76" x14ac:dyDescent="0.25">
      <c r="A7" s="14" t="s">
        <v>233</v>
      </c>
      <c r="B7" s="13">
        <v>0.40576499999999999</v>
      </c>
      <c r="C7" s="13">
        <v>0.40576499999999999</v>
      </c>
      <c r="D7" s="13">
        <v>0.40576499999999999</v>
      </c>
      <c r="E7" s="13">
        <v>0.40576499999999999</v>
      </c>
      <c r="F7" s="13">
        <v>0.40576499999999999</v>
      </c>
      <c r="G7" s="13">
        <v>0.40576499999999999</v>
      </c>
      <c r="H7" s="13">
        <v>0.40576499999999999</v>
      </c>
      <c r="I7" s="13">
        <v>0.40576499999999999</v>
      </c>
      <c r="J7" s="13">
        <v>0.40576499999999999</v>
      </c>
      <c r="K7" s="13">
        <v>0.40576499999999999</v>
      </c>
      <c r="O7">
        <v>3</v>
      </c>
      <c r="P7" s="23" t="s">
        <v>260</v>
      </c>
      <c r="Q7" s="18"/>
      <c r="R7" s="83"/>
      <c r="S7" s="84"/>
      <c r="T7" s="73">
        <v>101</v>
      </c>
      <c r="U7" s="84"/>
      <c r="V7" s="85"/>
      <c r="W7" s="69"/>
      <c r="X7" s="70" t="s">
        <v>260</v>
      </c>
      <c r="Z7">
        <v>3</v>
      </c>
      <c r="AA7" s="23" t="s">
        <v>260</v>
      </c>
      <c r="AB7" s="18"/>
      <c r="AC7" s="83"/>
      <c r="AD7" s="73">
        <v>101</v>
      </c>
      <c r="AE7" s="73">
        <v>102</v>
      </c>
      <c r="AF7" s="73">
        <v>103</v>
      </c>
      <c r="AG7" s="85"/>
      <c r="AH7" s="18"/>
      <c r="AI7" s="22" t="s">
        <v>260</v>
      </c>
      <c r="AK7">
        <v>3</v>
      </c>
      <c r="AL7" s="23" t="s">
        <v>260</v>
      </c>
      <c r="AM7" s="18"/>
      <c r="AN7" s="65"/>
      <c r="AO7" s="66"/>
      <c r="AP7" s="78">
        <v>201</v>
      </c>
      <c r="AQ7" s="73">
        <v>101</v>
      </c>
      <c r="AR7" s="78">
        <v>202</v>
      </c>
      <c r="AS7" s="66"/>
      <c r="AT7" s="67"/>
      <c r="AU7" s="18"/>
      <c r="AV7" s="22" t="s">
        <v>260</v>
      </c>
      <c r="AX7">
        <v>3</v>
      </c>
      <c r="AY7" s="23" t="s">
        <v>260</v>
      </c>
      <c r="AZ7" s="69"/>
      <c r="BA7" s="83"/>
      <c r="BB7" s="73">
        <v>101</v>
      </c>
      <c r="BC7" s="78">
        <v>201</v>
      </c>
      <c r="BD7" s="73">
        <v>102</v>
      </c>
      <c r="BE7" s="78">
        <v>202</v>
      </c>
      <c r="BF7" s="73">
        <v>103</v>
      </c>
      <c r="BG7" s="85"/>
      <c r="BH7" s="69"/>
      <c r="BI7" s="22" t="s">
        <v>260</v>
      </c>
      <c r="BK7">
        <v>3</v>
      </c>
      <c r="BL7" s="23" t="s">
        <v>260</v>
      </c>
      <c r="BM7" s="18"/>
      <c r="BN7" s="83"/>
      <c r="BO7" s="84"/>
      <c r="BP7" s="84"/>
      <c r="BQ7" s="73">
        <v>101</v>
      </c>
      <c r="BR7" s="78">
        <v>201</v>
      </c>
      <c r="BS7" s="73">
        <v>102</v>
      </c>
      <c r="BT7" s="84"/>
      <c r="BU7" s="84"/>
      <c r="BV7" s="85"/>
      <c r="BX7" s="22" t="s">
        <v>260</v>
      </c>
    </row>
    <row r="8" spans="1:76" x14ac:dyDescent="0.25">
      <c r="A8" s="13" t="s">
        <v>231</v>
      </c>
      <c r="B8" s="4">
        <v>9</v>
      </c>
      <c r="C8" s="4">
        <v>4</v>
      </c>
      <c r="D8" s="4">
        <v>17</v>
      </c>
      <c r="E8" s="4">
        <v>4</v>
      </c>
      <c r="F8" s="4">
        <v>23</v>
      </c>
      <c r="G8" s="4">
        <v>14</v>
      </c>
      <c r="H8" s="4">
        <v>31</v>
      </c>
      <c r="I8" s="4">
        <v>14</v>
      </c>
      <c r="J8" s="4">
        <v>37</v>
      </c>
      <c r="K8" s="4">
        <v>24</v>
      </c>
      <c r="O8">
        <v>4</v>
      </c>
      <c r="P8" s="23" t="s">
        <v>260</v>
      </c>
      <c r="Q8" s="18"/>
      <c r="R8" s="71"/>
      <c r="S8" s="90">
        <v>201</v>
      </c>
      <c r="T8" s="74">
        <v>102</v>
      </c>
      <c r="U8" s="90">
        <v>202</v>
      </c>
      <c r="V8" s="70"/>
      <c r="W8" s="69"/>
      <c r="X8" s="70" t="s">
        <v>260</v>
      </c>
      <c r="Z8">
        <v>4</v>
      </c>
      <c r="AA8" s="23" t="s">
        <v>260</v>
      </c>
      <c r="AB8" s="18"/>
      <c r="AC8" s="75">
        <v>104</v>
      </c>
      <c r="AD8" s="79">
        <v>201</v>
      </c>
      <c r="AE8" s="74">
        <v>105</v>
      </c>
      <c r="AF8" s="79">
        <v>202</v>
      </c>
      <c r="AG8" s="76">
        <v>106</v>
      </c>
      <c r="AH8" s="18"/>
      <c r="AI8" s="22" t="s">
        <v>260</v>
      </c>
      <c r="AK8">
        <v>4</v>
      </c>
      <c r="AL8" s="23" t="s">
        <v>260</v>
      </c>
      <c r="AM8" s="18"/>
      <c r="AN8" s="23"/>
      <c r="AO8" s="79">
        <v>203</v>
      </c>
      <c r="AP8" s="74">
        <v>102</v>
      </c>
      <c r="AQ8" s="74">
        <v>103</v>
      </c>
      <c r="AR8" s="74">
        <v>104</v>
      </c>
      <c r="AS8" s="79">
        <v>204</v>
      </c>
      <c r="AT8" s="22"/>
      <c r="AU8" s="18"/>
      <c r="AV8" s="22" t="s">
        <v>260</v>
      </c>
      <c r="AX8">
        <v>4</v>
      </c>
      <c r="AY8" s="23" t="s">
        <v>260</v>
      </c>
      <c r="AZ8" s="69"/>
      <c r="BA8" s="75">
        <v>104</v>
      </c>
      <c r="BB8" s="79">
        <v>203</v>
      </c>
      <c r="BC8" s="74">
        <v>105</v>
      </c>
      <c r="BD8" s="74">
        <v>106</v>
      </c>
      <c r="BE8" s="74">
        <v>107</v>
      </c>
      <c r="BF8" s="79">
        <v>204</v>
      </c>
      <c r="BG8" s="76">
        <v>108</v>
      </c>
      <c r="BH8" s="69"/>
      <c r="BI8" s="22" t="s">
        <v>260</v>
      </c>
      <c r="BK8">
        <v>4</v>
      </c>
      <c r="BL8" s="23" t="s">
        <v>260</v>
      </c>
      <c r="BM8" s="18"/>
      <c r="BN8" s="71"/>
      <c r="BO8" s="79">
        <v>202</v>
      </c>
      <c r="BP8" s="74">
        <v>103</v>
      </c>
      <c r="BQ8" s="79">
        <v>203</v>
      </c>
      <c r="BR8" s="74">
        <v>104</v>
      </c>
      <c r="BS8" s="79">
        <v>204</v>
      </c>
      <c r="BT8" s="40">
        <v>105</v>
      </c>
      <c r="BU8" s="79">
        <v>205</v>
      </c>
      <c r="BV8" s="70"/>
      <c r="BX8" s="22" t="s">
        <v>260</v>
      </c>
    </row>
    <row r="9" spans="1:76" x14ac:dyDescent="0.25">
      <c r="A9" s="13" t="s">
        <v>232</v>
      </c>
      <c r="B9" s="4">
        <v>264</v>
      </c>
      <c r="C9" s="4">
        <v>264</v>
      </c>
      <c r="D9" s="4">
        <v>264</v>
      </c>
      <c r="E9" s="4">
        <v>264</v>
      </c>
      <c r="F9" s="4">
        <v>264</v>
      </c>
      <c r="G9" s="4">
        <v>264</v>
      </c>
      <c r="H9" s="4">
        <v>264</v>
      </c>
      <c r="I9" s="4">
        <v>264</v>
      </c>
      <c r="J9" s="4">
        <v>264</v>
      </c>
      <c r="K9" s="4">
        <v>264</v>
      </c>
      <c r="O9">
        <v>5</v>
      </c>
      <c r="P9" s="23" t="s">
        <v>260</v>
      </c>
      <c r="Q9" s="18"/>
      <c r="R9" s="75">
        <v>103</v>
      </c>
      <c r="S9" s="74">
        <v>104</v>
      </c>
      <c r="T9" s="74">
        <v>105</v>
      </c>
      <c r="U9" s="74">
        <v>106</v>
      </c>
      <c r="V9" s="76">
        <v>107</v>
      </c>
      <c r="W9" s="69"/>
      <c r="X9" s="70" t="s">
        <v>260</v>
      </c>
      <c r="Z9">
        <v>5</v>
      </c>
      <c r="AA9" s="23" t="s">
        <v>260</v>
      </c>
      <c r="AB9" s="18"/>
      <c r="AC9" s="75">
        <v>107</v>
      </c>
      <c r="AD9" s="74">
        <v>108</v>
      </c>
      <c r="AE9" s="74">
        <v>109</v>
      </c>
      <c r="AF9" s="74">
        <v>110</v>
      </c>
      <c r="AG9" s="76">
        <v>111</v>
      </c>
      <c r="AH9" s="18"/>
      <c r="AI9" s="22" t="s">
        <v>260</v>
      </c>
      <c r="AK9">
        <v>5</v>
      </c>
      <c r="AL9" s="23" t="s">
        <v>260</v>
      </c>
      <c r="AM9" s="18"/>
      <c r="AN9" s="75">
        <v>105</v>
      </c>
      <c r="AO9" s="74">
        <v>106</v>
      </c>
      <c r="AP9" s="79">
        <v>205</v>
      </c>
      <c r="AQ9" s="74">
        <v>107</v>
      </c>
      <c r="AR9" s="79">
        <v>206</v>
      </c>
      <c r="AS9" s="74">
        <v>108</v>
      </c>
      <c r="AT9" s="76">
        <v>109</v>
      </c>
      <c r="AU9" s="18"/>
      <c r="AV9" s="22" t="s">
        <v>260</v>
      </c>
      <c r="AX9">
        <v>5</v>
      </c>
      <c r="AY9" s="23" t="s">
        <v>260</v>
      </c>
      <c r="AZ9" s="69"/>
      <c r="BA9" s="75">
        <v>109</v>
      </c>
      <c r="BB9" s="74">
        <v>110</v>
      </c>
      <c r="BC9" s="79">
        <v>205</v>
      </c>
      <c r="BD9" s="74">
        <v>111</v>
      </c>
      <c r="BE9" s="79">
        <v>206</v>
      </c>
      <c r="BF9" s="74">
        <v>112</v>
      </c>
      <c r="BG9" s="76">
        <v>113</v>
      </c>
      <c r="BH9" s="69"/>
      <c r="BI9" s="22" t="s">
        <v>260</v>
      </c>
      <c r="BK9">
        <v>5</v>
      </c>
      <c r="BL9" s="23" t="s">
        <v>260</v>
      </c>
      <c r="BM9" s="18"/>
      <c r="BN9" s="71"/>
      <c r="BO9" s="74">
        <v>106</v>
      </c>
      <c r="BP9" s="79">
        <v>206</v>
      </c>
      <c r="BQ9" s="74">
        <v>107</v>
      </c>
      <c r="BR9" s="74">
        <v>108</v>
      </c>
      <c r="BS9" s="74">
        <v>109</v>
      </c>
      <c r="BT9" s="79">
        <v>207</v>
      </c>
      <c r="BU9" s="74">
        <v>110</v>
      </c>
      <c r="BV9" s="70"/>
      <c r="BX9" s="22" t="s">
        <v>260</v>
      </c>
    </row>
    <row r="10" spans="1:76" x14ac:dyDescent="0.25">
      <c r="A10" s="4" t="s">
        <v>220</v>
      </c>
      <c r="B10">
        <v>10.576976842105262</v>
      </c>
      <c r="C10">
        <v>10.536451027630475</v>
      </c>
      <c r="D10">
        <v>10.576976842105262</v>
      </c>
      <c r="E10">
        <v>10.536451027630475</v>
      </c>
      <c r="F10">
        <v>10.576976842105262</v>
      </c>
      <c r="G10">
        <v>10.536451027630475</v>
      </c>
      <c r="H10">
        <v>10.576976842105262</v>
      </c>
      <c r="I10">
        <v>10.536451027630475</v>
      </c>
      <c r="J10">
        <v>10.576976842105262</v>
      </c>
      <c r="K10">
        <v>10.536451027630475</v>
      </c>
      <c r="O10">
        <v>6</v>
      </c>
      <c r="P10" s="23" t="s">
        <v>260</v>
      </c>
      <c r="Q10" s="18"/>
      <c r="R10" s="71"/>
      <c r="S10" s="90">
        <v>203</v>
      </c>
      <c r="T10" s="74">
        <v>108</v>
      </c>
      <c r="U10" s="90">
        <v>204</v>
      </c>
      <c r="V10" s="70"/>
      <c r="W10" s="69"/>
      <c r="X10" s="70" t="s">
        <v>260</v>
      </c>
      <c r="Z10">
        <v>6</v>
      </c>
      <c r="AA10" s="23" t="s">
        <v>260</v>
      </c>
      <c r="AB10" s="18"/>
      <c r="AC10" s="75">
        <v>112</v>
      </c>
      <c r="AD10" s="79">
        <v>203</v>
      </c>
      <c r="AE10" s="74">
        <v>113</v>
      </c>
      <c r="AF10" s="79">
        <v>204</v>
      </c>
      <c r="AG10" s="76">
        <v>114</v>
      </c>
      <c r="AH10" s="18"/>
      <c r="AI10" s="22" t="s">
        <v>260</v>
      </c>
      <c r="AK10">
        <v>6</v>
      </c>
      <c r="AL10" s="23" t="s">
        <v>260</v>
      </c>
      <c r="AM10" s="18"/>
      <c r="AN10" s="81">
        <v>207</v>
      </c>
      <c r="AO10" s="74">
        <v>110</v>
      </c>
      <c r="AP10" s="74">
        <v>111</v>
      </c>
      <c r="AQ10" s="74">
        <v>112</v>
      </c>
      <c r="AR10" s="74">
        <v>113</v>
      </c>
      <c r="AS10" s="74">
        <v>114</v>
      </c>
      <c r="AT10" s="80">
        <v>208</v>
      </c>
      <c r="AU10" s="18"/>
      <c r="AV10" s="22" t="s">
        <v>260</v>
      </c>
      <c r="AX10">
        <v>6</v>
      </c>
      <c r="AY10" s="23" t="s">
        <v>260</v>
      </c>
      <c r="AZ10" s="69"/>
      <c r="BA10" s="81">
        <v>207</v>
      </c>
      <c r="BB10" s="74">
        <v>114</v>
      </c>
      <c r="BC10" s="74">
        <v>115</v>
      </c>
      <c r="BD10" s="74">
        <v>116</v>
      </c>
      <c r="BE10" s="74">
        <v>117</v>
      </c>
      <c r="BF10" s="74">
        <v>118</v>
      </c>
      <c r="BG10" s="80">
        <v>208</v>
      </c>
      <c r="BH10" s="69"/>
      <c r="BI10" s="22" t="s">
        <v>260</v>
      </c>
      <c r="BK10">
        <v>6</v>
      </c>
      <c r="BL10" s="23" t="s">
        <v>260</v>
      </c>
      <c r="BM10" s="18"/>
      <c r="BN10" s="81">
        <v>208</v>
      </c>
      <c r="BO10" s="74">
        <v>111</v>
      </c>
      <c r="BP10" s="74">
        <v>112</v>
      </c>
      <c r="BQ10" s="79">
        <v>209</v>
      </c>
      <c r="BR10" s="74">
        <v>113</v>
      </c>
      <c r="BS10" s="79">
        <v>210</v>
      </c>
      <c r="BT10" s="74">
        <v>114</v>
      </c>
      <c r="BU10" s="74">
        <v>115</v>
      </c>
      <c r="BV10" s="80">
        <v>211</v>
      </c>
      <c r="BX10" s="22" t="s">
        <v>260</v>
      </c>
    </row>
    <row r="11" spans="1:76" x14ac:dyDescent="0.25">
      <c r="A11" s="4" t="s">
        <v>234</v>
      </c>
      <c r="B11" s="48">
        <f>B10*B6</f>
        <v>7397374.7416388448</v>
      </c>
      <c r="C11" s="48">
        <f>C10*C6</f>
        <v>3275125.1604452715</v>
      </c>
      <c r="D11" s="48">
        <f t="shared" ref="D11:E11" si="2">D10*D6</f>
        <v>8645952.696381513</v>
      </c>
      <c r="E11" s="48">
        <f t="shared" si="2"/>
        <v>2026547.2057025547</v>
      </c>
      <c r="F11" s="48">
        <f>F10*F6</f>
        <v>6643888.7488472722</v>
      </c>
      <c r="G11" s="48">
        <f>G10*G6</f>
        <v>4028611.1532368474</v>
      </c>
      <c r="H11" s="48">
        <f>H10*H6</f>
        <v>7360941.0321501149</v>
      </c>
      <c r="I11" s="48">
        <f t="shared" ref="I11" si="3">I10*I6</f>
        <v>3311558.8699339684</v>
      </c>
      <c r="J11" s="48">
        <f t="shared" ref="J11" si="4">J10*J6</f>
        <v>6483256.9283586154</v>
      </c>
      <c r="K11" s="48">
        <f t="shared" ref="K11" si="5">K10*K6</f>
        <v>4189242.9737254623</v>
      </c>
      <c r="O11">
        <v>7</v>
      </c>
      <c r="P11" s="23" t="s">
        <v>260</v>
      </c>
      <c r="R11" s="68"/>
      <c r="S11" s="53"/>
      <c r="T11" s="77">
        <v>109</v>
      </c>
      <c r="U11" s="53"/>
      <c r="V11" s="54"/>
      <c r="X11" s="70" t="s">
        <v>260</v>
      </c>
      <c r="Z11">
        <v>7</v>
      </c>
      <c r="AA11" s="23" t="s">
        <v>260</v>
      </c>
      <c r="AB11" s="18"/>
      <c r="AC11" s="86"/>
      <c r="AD11" s="77">
        <v>115</v>
      </c>
      <c r="AE11" s="77">
        <v>116</v>
      </c>
      <c r="AF11" s="77">
        <v>117</v>
      </c>
      <c r="AG11" s="87"/>
      <c r="AH11" s="18"/>
      <c r="AI11" s="22" t="s">
        <v>260</v>
      </c>
      <c r="AK11">
        <v>7</v>
      </c>
      <c r="AL11" s="23" t="s">
        <v>260</v>
      </c>
      <c r="AM11" s="18"/>
      <c r="AN11" s="75">
        <v>115</v>
      </c>
      <c r="AO11" s="74">
        <v>116</v>
      </c>
      <c r="AP11" s="79">
        <v>209</v>
      </c>
      <c r="AQ11" s="74">
        <v>117</v>
      </c>
      <c r="AR11" s="79">
        <v>210</v>
      </c>
      <c r="AS11" s="74">
        <v>118</v>
      </c>
      <c r="AT11" s="76">
        <v>119</v>
      </c>
      <c r="AU11" s="18"/>
      <c r="AV11" s="22" t="s">
        <v>260</v>
      </c>
      <c r="AX11">
        <v>7</v>
      </c>
      <c r="AY11" s="23" t="s">
        <v>260</v>
      </c>
      <c r="AZ11" s="69"/>
      <c r="BA11" s="75">
        <v>119</v>
      </c>
      <c r="BB11" s="74">
        <v>120</v>
      </c>
      <c r="BC11" s="79">
        <v>209</v>
      </c>
      <c r="BD11" s="74">
        <v>121</v>
      </c>
      <c r="BE11" s="79">
        <v>210</v>
      </c>
      <c r="BF11" s="74">
        <v>122</v>
      </c>
      <c r="BG11" s="76">
        <v>123</v>
      </c>
      <c r="BH11" s="69"/>
      <c r="BI11" s="22" t="s">
        <v>260</v>
      </c>
      <c r="BK11">
        <v>7</v>
      </c>
      <c r="BL11" s="23" t="s">
        <v>260</v>
      </c>
      <c r="BM11" s="18"/>
      <c r="BN11" s="75">
        <v>116</v>
      </c>
      <c r="BO11" s="79">
        <v>212</v>
      </c>
      <c r="BP11" s="74">
        <v>117</v>
      </c>
      <c r="BQ11" s="74">
        <v>118</v>
      </c>
      <c r="BR11" s="74">
        <v>119</v>
      </c>
      <c r="BS11" s="74">
        <v>120</v>
      </c>
      <c r="BT11" s="74">
        <v>121</v>
      </c>
      <c r="BU11" s="79">
        <v>213</v>
      </c>
      <c r="BV11" s="76">
        <v>122</v>
      </c>
      <c r="BX11" s="22" t="s">
        <v>260</v>
      </c>
    </row>
    <row r="12" spans="1:76" x14ac:dyDescent="0.25">
      <c r="A12" s="13" t="s">
        <v>266</v>
      </c>
      <c r="B12" s="205">
        <f>B11+C11</f>
        <v>10672499.902084116</v>
      </c>
      <c r="C12" s="205"/>
      <c r="D12" s="205">
        <f>D11+E11</f>
        <v>10672499.902084067</v>
      </c>
      <c r="E12" s="205"/>
      <c r="F12" s="206">
        <f>F11+G11</f>
        <v>10672499.90208412</v>
      </c>
      <c r="G12" s="206"/>
      <c r="H12" s="205">
        <f>H11+I11</f>
        <v>10672499.902084082</v>
      </c>
      <c r="I12" s="205"/>
      <c r="J12" s="205">
        <f>J11+K11</f>
        <v>10672499.902084079</v>
      </c>
      <c r="K12" s="205"/>
      <c r="O12">
        <v>8</v>
      </c>
      <c r="P12" s="23" t="s">
        <v>260</v>
      </c>
      <c r="Q12" s="18"/>
      <c r="R12" s="69"/>
      <c r="S12" s="69"/>
      <c r="T12" s="69"/>
      <c r="U12" s="69"/>
      <c r="V12" s="69"/>
      <c r="W12" s="69"/>
      <c r="X12" s="70" t="s">
        <v>260</v>
      </c>
      <c r="Z12">
        <v>8</v>
      </c>
      <c r="AA12" s="23" t="s">
        <v>260</v>
      </c>
      <c r="AB12" s="18"/>
      <c r="AC12" s="18"/>
      <c r="AD12" s="18"/>
      <c r="AE12" s="18"/>
      <c r="AF12" s="18"/>
      <c r="AG12" s="18"/>
      <c r="AH12" s="18"/>
      <c r="AI12" s="22" t="s">
        <v>260</v>
      </c>
      <c r="AK12">
        <v>8</v>
      </c>
      <c r="AL12" s="23" t="s">
        <v>260</v>
      </c>
      <c r="AM12" s="18"/>
      <c r="AN12" s="71"/>
      <c r="AO12" s="79">
        <v>211</v>
      </c>
      <c r="AP12" s="74">
        <v>120</v>
      </c>
      <c r="AQ12" s="74">
        <v>121</v>
      </c>
      <c r="AR12" s="74">
        <v>122</v>
      </c>
      <c r="AS12" s="79">
        <v>212</v>
      </c>
      <c r="AT12" s="22"/>
      <c r="AU12" s="18"/>
      <c r="AV12" s="22" t="s">
        <v>260</v>
      </c>
      <c r="AX12">
        <v>8</v>
      </c>
      <c r="AY12" s="23" t="s">
        <v>260</v>
      </c>
      <c r="AZ12" s="69"/>
      <c r="BA12" s="75">
        <v>124</v>
      </c>
      <c r="BB12" s="79">
        <v>211</v>
      </c>
      <c r="BC12" s="74">
        <v>125</v>
      </c>
      <c r="BD12" s="74">
        <v>126</v>
      </c>
      <c r="BE12" s="74">
        <v>127</v>
      </c>
      <c r="BF12" s="79">
        <v>212</v>
      </c>
      <c r="BG12" s="76">
        <v>128</v>
      </c>
      <c r="BH12" s="69"/>
      <c r="BI12" s="22" t="s">
        <v>260</v>
      </c>
      <c r="BK12">
        <v>8</v>
      </c>
      <c r="BL12" s="23" t="s">
        <v>260</v>
      </c>
      <c r="BM12" s="18"/>
      <c r="BN12" s="81">
        <v>214</v>
      </c>
      <c r="BO12" s="74">
        <v>123</v>
      </c>
      <c r="BP12" s="74">
        <v>124</v>
      </c>
      <c r="BQ12" s="79">
        <v>215</v>
      </c>
      <c r="BR12" s="74">
        <v>125</v>
      </c>
      <c r="BS12" s="79">
        <v>216</v>
      </c>
      <c r="BT12" s="74">
        <v>126</v>
      </c>
      <c r="BU12" s="74">
        <v>127</v>
      </c>
      <c r="BV12" s="80">
        <v>217</v>
      </c>
      <c r="BX12" s="22" t="s">
        <v>260</v>
      </c>
    </row>
    <row r="13" spans="1:76" x14ac:dyDescent="0.25">
      <c r="A13" s="13" t="s">
        <v>265</v>
      </c>
      <c r="B13" s="201">
        <v>10672499.90208412</v>
      </c>
      <c r="C13" s="202"/>
      <c r="D13" s="201">
        <v>10672499.90208412</v>
      </c>
      <c r="E13" s="202"/>
      <c r="F13" s="201">
        <v>10672499.90208412</v>
      </c>
      <c r="G13" s="202"/>
      <c r="H13" s="201">
        <v>10672499.90208412</v>
      </c>
      <c r="I13" s="202"/>
      <c r="J13" s="201">
        <v>10672499.90208412</v>
      </c>
      <c r="K13" s="202"/>
      <c r="O13">
        <v>9</v>
      </c>
      <c r="P13" s="68" t="s">
        <v>260</v>
      </c>
      <c r="Q13" s="53" t="s">
        <v>260</v>
      </c>
      <c r="R13" s="72" t="s">
        <v>260</v>
      </c>
      <c r="S13" s="72" t="s">
        <v>260</v>
      </c>
      <c r="T13" s="72" t="s">
        <v>260</v>
      </c>
      <c r="U13" s="72" t="s">
        <v>260</v>
      </c>
      <c r="V13" s="72" t="s">
        <v>260</v>
      </c>
      <c r="W13" s="72" t="s">
        <v>260</v>
      </c>
      <c r="X13" s="87" t="s">
        <v>260</v>
      </c>
      <c r="Z13">
        <v>9</v>
      </c>
      <c r="AA13" s="68" t="s">
        <v>260</v>
      </c>
      <c r="AB13" s="53" t="s">
        <v>260</v>
      </c>
      <c r="AC13" s="53" t="s">
        <v>260</v>
      </c>
      <c r="AD13" s="53" t="s">
        <v>260</v>
      </c>
      <c r="AE13" s="53" t="s">
        <v>260</v>
      </c>
      <c r="AF13" s="53" t="s">
        <v>260</v>
      </c>
      <c r="AG13" s="53" t="s">
        <v>260</v>
      </c>
      <c r="AH13" s="53" t="s">
        <v>260</v>
      </c>
      <c r="AI13" s="54" t="s">
        <v>260</v>
      </c>
      <c r="AK13">
        <v>9</v>
      </c>
      <c r="AL13" s="23" t="s">
        <v>260</v>
      </c>
      <c r="AM13" s="18"/>
      <c r="AN13" s="68"/>
      <c r="AO13" s="53"/>
      <c r="AP13" s="82">
        <v>213</v>
      </c>
      <c r="AQ13" s="77">
        <v>123</v>
      </c>
      <c r="AR13" s="82">
        <v>214</v>
      </c>
      <c r="AS13" s="53"/>
      <c r="AT13" s="54"/>
      <c r="AU13" s="18"/>
      <c r="AV13" s="22" t="s">
        <v>260</v>
      </c>
      <c r="AX13">
        <v>9</v>
      </c>
      <c r="AY13" s="23" t="s">
        <v>260</v>
      </c>
      <c r="AZ13" s="69"/>
      <c r="BA13" s="86"/>
      <c r="BB13" s="77">
        <v>129</v>
      </c>
      <c r="BC13" s="82">
        <v>213</v>
      </c>
      <c r="BD13" s="77">
        <v>130</v>
      </c>
      <c r="BE13" s="82">
        <v>214</v>
      </c>
      <c r="BF13" s="77">
        <v>131</v>
      </c>
      <c r="BG13" s="87"/>
      <c r="BH13" s="69"/>
      <c r="BI13" s="22" t="s">
        <v>260</v>
      </c>
      <c r="BK13">
        <v>9</v>
      </c>
      <c r="BL13" s="23" t="s">
        <v>260</v>
      </c>
      <c r="BM13" s="18"/>
      <c r="BN13" s="71"/>
      <c r="BO13" s="74">
        <v>128</v>
      </c>
      <c r="BP13" s="79">
        <v>218</v>
      </c>
      <c r="BQ13" s="40">
        <v>129</v>
      </c>
      <c r="BR13" s="74">
        <v>130</v>
      </c>
      <c r="BS13" s="74">
        <v>131</v>
      </c>
      <c r="BT13" s="79">
        <v>219</v>
      </c>
      <c r="BU13" s="74">
        <v>132</v>
      </c>
      <c r="BV13" s="70"/>
      <c r="BX13" s="22" t="s">
        <v>260</v>
      </c>
    </row>
    <row r="14" spans="1:76" x14ac:dyDescent="0.25">
      <c r="A14" s="4" t="s">
        <v>267</v>
      </c>
      <c r="B14" s="164">
        <v>11</v>
      </c>
      <c r="C14" s="164"/>
      <c r="D14" s="164">
        <v>7</v>
      </c>
      <c r="E14" s="164"/>
      <c r="F14" s="178">
        <v>4</v>
      </c>
      <c r="G14" s="179"/>
      <c r="H14" s="164">
        <v>3</v>
      </c>
      <c r="I14" s="164"/>
      <c r="J14" s="164">
        <v>2</v>
      </c>
      <c r="K14" s="164"/>
      <c r="P14" s="18"/>
      <c r="Q14" s="18"/>
      <c r="R14" s="18"/>
      <c r="S14" s="18"/>
      <c r="T14" s="18"/>
      <c r="U14" s="18"/>
      <c r="V14" s="18"/>
      <c r="W14" s="18"/>
      <c r="X14" s="18"/>
      <c r="AK14">
        <v>10</v>
      </c>
      <c r="AL14" s="23" t="s">
        <v>260</v>
      </c>
      <c r="AM14" s="18"/>
      <c r="AN14" s="18"/>
      <c r="AO14" s="18"/>
      <c r="AP14" s="18"/>
      <c r="AQ14" s="18"/>
      <c r="AR14" s="18"/>
      <c r="AS14" s="18"/>
      <c r="AT14" s="18"/>
      <c r="AU14" s="18"/>
      <c r="AV14" s="22" t="s">
        <v>260</v>
      </c>
      <c r="AX14">
        <v>10</v>
      </c>
      <c r="AY14" s="23" t="s">
        <v>260</v>
      </c>
      <c r="AZ14" s="69"/>
      <c r="BA14" s="69"/>
      <c r="BB14" s="69"/>
      <c r="BC14" s="69"/>
      <c r="BD14" s="69"/>
      <c r="BE14" s="69"/>
      <c r="BF14" s="69"/>
      <c r="BG14" s="69"/>
      <c r="BH14" s="69"/>
      <c r="BI14" s="22" t="s">
        <v>260</v>
      </c>
      <c r="BK14">
        <v>10</v>
      </c>
      <c r="BL14" s="23" t="s">
        <v>260</v>
      </c>
      <c r="BM14" s="18"/>
      <c r="BN14" s="71"/>
      <c r="BO14" s="79">
        <v>220</v>
      </c>
      <c r="BP14" s="74">
        <v>133</v>
      </c>
      <c r="BQ14" s="79">
        <v>221</v>
      </c>
      <c r="BR14" s="74">
        <v>134</v>
      </c>
      <c r="BS14" s="79">
        <v>222</v>
      </c>
      <c r="BT14" s="74">
        <v>135</v>
      </c>
      <c r="BU14" s="79">
        <v>223</v>
      </c>
      <c r="BV14" s="70"/>
      <c r="BX14" s="22" t="s">
        <v>260</v>
      </c>
    </row>
    <row r="15" spans="1:76" x14ac:dyDescent="0.25">
      <c r="A15" s="4" t="s">
        <v>268</v>
      </c>
      <c r="B15" s="207">
        <f>B5/B14</f>
        <v>51.734219992228184</v>
      </c>
      <c r="C15" s="207"/>
      <c r="D15" s="207">
        <f>D5/7</f>
        <v>50.303867229139144</v>
      </c>
      <c r="E15" s="207"/>
      <c r="F15" s="207">
        <f>F5/4</f>
        <v>50</v>
      </c>
      <c r="G15" s="207"/>
      <c r="H15" s="207">
        <f>H5/3</f>
        <v>54.800670238811669</v>
      </c>
      <c r="I15" s="207"/>
      <c r="J15" s="207">
        <f>J5/J14</f>
        <v>60.659243969055503</v>
      </c>
      <c r="K15" s="207"/>
      <c r="P15" s="18"/>
      <c r="Q15" s="18"/>
      <c r="R15" s="18"/>
      <c r="S15" s="18"/>
      <c r="T15" s="18"/>
      <c r="U15" s="18"/>
      <c r="V15" s="18"/>
      <c r="W15" s="18"/>
      <c r="X15" s="18"/>
      <c r="AK15">
        <v>11</v>
      </c>
      <c r="AL15" s="68" t="s">
        <v>260</v>
      </c>
      <c r="AM15" s="53" t="s">
        <v>260</v>
      </c>
      <c r="AN15" s="53" t="s">
        <v>260</v>
      </c>
      <c r="AO15" s="53" t="s">
        <v>260</v>
      </c>
      <c r="AP15" s="53" t="s">
        <v>260</v>
      </c>
      <c r="AQ15" s="53" t="s">
        <v>260</v>
      </c>
      <c r="AR15" s="53" t="s">
        <v>260</v>
      </c>
      <c r="AS15" s="53" t="s">
        <v>260</v>
      </c>
      <c r="AT15" s="53" t="s">
        <v>260</v>
      </c>
      <c r="AU15" s="53" t="s">
        <v>260</v>
      </c>
      <c r="AV15" s="54" t="s">
        <v>260</v>
      </c>
      <c r="AX15">
        <v>11</v>
      </c>
      <c r="AY15" s="68" t="s">
        <v>260</v>
      </c>
      <c r="AZ15" s="53" t="s">
        <v>260</v>
      </c>
      <c r="BA15" s="53" t="s">
        <v>260</v>
      </c>
      <c r="BB15" s="53" t="s">
        <v>260</v>
      </c>
      <c r="BC15" s="53" t="s">
        <v>260</v>
      </c>
      <c r="BD15" s="53" t="s">
        <v>260</v>
      </c>
      <c r="BE15" s="53" t="s">
        <v>260</v>
      </c>
      <c r="BF15" s="53" t="s">
        <v>260</v>
      </c>
      <c r="BG15" s="53" t="s">
        <v>260</v>
      </c>
      <c r="BH15" s="53" t="s">
        <v>260</v>
      </c>
      <c r="BI15" s="54" t="s">
        <v>260</v>
      </c>
      <c r="BK15">
        <v>11</v>
      </c>
      <c r="BL15" s="23" t="s">
        <v>260</v>
      </c>
      <c r="BN15" s="86"/>
      <c r="BO15" s="72"/>
      <c r="BP15" s="72"/>
      <c r="BQ15" s="77">
        <v>136</v>
      </c>
      <c r="BR15" s="82">
        <v>224</v>
      </c>
      <c r="BS15" s="77">
        <v>137</v>
      </c>
      <c r="BT15" s="72"/>
      <c r="BU15" s="72"/>
      <c r="BV15" s="87"/>
      <c r="BX15" s="22" t="s">
        <v>260</v>
      </c>
    </row>
    <row r="16" spans="1:76" x14ac:dyDescent="0.25">
      <c r="A16" s="4" t="s">
        <v>269</v>
      </c>
      <c r="B16" s="208">
        <f>B15*21.50364*21.50364</f>
        <v>23922.241316978387</v>
      </c>
      <c r="C16" s="208"/>
      <c r="D16" s="208">
        <f t="shared" ref="D16:J16" si="6">D15*21.50364*21.50364</f>
        <v>23260.836854474397</v>
      </c>
      <c r="E16" s="208"/>
      <c r="F16" s="208">
        <f t="shared" si="6"/>
        <v>23120.326662480002</v>
      </c>
      <c r="G16" s="208"/>
      <c r="H16" s="208">
        <f t="shared" si="6"/>
        <v>25340.187944883433</v>
      </c>
      <c r="I16" s="208"/>
      <c r="J16" s="208">
        <f t="shared" si="6"/>
        <v>28049.23071327266</v>
      </c>
      <c r="K16" s="208"/>
      <c r="BK16">
        <v>12</v>
      </c>
      <c r="BL16" s="23" t="s">
        <v>260</v>
      </c>
      <c r="BX16" s="22" t="s">
        <v>260</v>
      </c>
    </row>
    <row r="17" spans="1:76" x14ac:dyDescent="0.25">
      <c r="A17" s="13" t="s">
        <v>384</v>
      </c>
      <c r="B17" s="4">
        <f>(B6/B8)/B$14</f>
        <v>7064.490931737575</v>
      </c>
      <c r="C17" s="4">
        <f>(C6/C8)/B$14</f>
        <v>7064.4909317375741</v>
      </c>
      <c r="D17" s="4">
        <f>(D6/D8)/D$14</f>
        <v>6869.1711970330352</v>
      </c>
      <c r="E17" s="4">
        <f>(E6/E8)/D$14</f>
        <v>6869.1711970330352</v>
      </c>
      <c r="F17" s="4">
        <f>(F6/F8)/F$14</f>
        <v>6827.6770508947893</v>
      </c>
      <c r="G17" s="4">
        <f>(G6/G8)/F$14</f>
        <v>6827.6770508947893</v>
      </c>
      <c r="H17" s="4">
        <f>(H6/H8)/H$14</f>
        <v>7483.2255712637498</v>
      </c>
      <c r="I17" s="4">
        <f>(I6/I8)/H$14</f>
        <v>7483.2255712637489</v>
      </c>
      <c r="J17" s="4">
        <f>(J6/J8)/J$14</f>
        <v>8283.2345594429698</v>
      </c>
      <c r="K17" s="4">
        <f>(K6/K8)/J$14</f>
        <v>8283.234559442968</v>
      </c>
      <c r="BK17">
        <v>13</v>
      </c>
      <c r="BL17" s="68" t="s">
        <v>260</v>
      </c>
      <c r="BM17" s="53" t="s">
        <v>260</v>
      </c>
      <c r="BN17" s="53" t="s">
        <v>260</v>
      </c>
      <c r="BO17" s="53" t="s">
        <v>260</v>
      </c>
      <c r="BP17" s="53" t="s">
        <v>260</v>
      </c>
      <c r="BQ17" s="53" t="s">
        <v>260</v>
      </c>
      <c r="BR17" s="53" t="s">
        <v>260</v>
      </c>
      <c r="BS17" s="53" t="s">
        <v>260</v>
      </c>
      <c r="BT17" s="53" t="s">
        <v>260</v>
      </c>
      <c r="BU17" s="53" t="s">
        <v>260</v>
      </c>
      <c r="BV17" s="53" t="s">
        <v>260</v>
      </c>
      <c r="BW17" s="53" t="s">
        <v>260</v>
      </c>
      <c r="BX17" s="54" t="s">
        <v>260</v>
      </c>
    </row>
    <row r="18" spans="1:76" x14ac:dyDescent="0.25">
      <c r="A18" s="13" t="s">
        <v>385</v>
      </c>
      <c r="B18" s="4">
        <f>B17/B$16</f>
        <v>0.29531057889311058</v>
      </c>
      <c r="C18" s="4">
        <f>C17/B$16</f>
        <v>0.29531057889311052</v>
      </c>
      <c r="D18" s="4">
        <f>D17/D$16</f>
        <v>0.29531057889311058</v>
      </c>
      <c r="E18" s="4">
        <f>E17/D$16</f>
        <v>0.29531057889311058</v>
      </c>
      <c r="F18" s="4">
        <f>F17/F$16</f>
        <v>0.29531057889311063</v>
      </c>
      <c r="G18" s="4">
        <f>G17/F$16</f>
        <v>0.29531057889311063</v>
      </c>
      <c r="H18" s="4">
        <f>H17/H$16</f>
        <v>0.29531057889311063</v>
      </c>
      <c r="I18" s="4">
        <f>I17/H$16</f>
        <v>0.29531057889311058</v>
      </c>
      <c r="J18" s="4">
        <f>J17/J$16</f>
        <v>0.29531057889311069</v>
      </c>
      <c r="K18" s="4">
        <f>K17/J$16</f>
        <v>0.29531057889311063</v>
      </c>
    </row>
    <row r="19" spans="1:76" x14ac:dyDescent="0.25">
      <c r="G19" s="48"/>
      <c r="I19" s="48"/>
    </row>
  </sheetData>
  <mergeCells count="37">
    <mergeCell ref="J14:K14"/>
    <mergeCell ref="J15:K15"/>
    <mergeCell ref="J16:K16"/>
    <mergeCell ref="F14:G14"/>
    <mergeCell ref="F15:G15"/>
    <mergeCell ref="F16:G16"/>
    <mergeCell ref="H14:I14"/>
    <mergeCell ref="H15:I15"/>
    <mergeCell ref="H16:I16"/>
    <mergeCell ref="B14:C14"/>
    <mergeCell ref="B15:C15"/>
    <mergeCell ref="B16:C16"/>
    <mergeCell ref="D14:E14"/>
    <mergeCell ref="D15:E15"/>
    <mergeCell ref="D16:E16"/>
    <mergeCell ref="B12:C12"/>
    <mergeCell ref="D12:E12"/>
    <mergeCell ref="F12:G12"/>
    <mergeCell ref="H12:I12"/>
    <mergeCell ref="J12:K12"/>
    <mergeCell ref="O3:X3"/>
    <mergeCell ref="Z3:AI3"/>
    <mergeCell ref="AX3:BI3"/>
    <mergeCell ref="BK3:BX3"/>
    <mergeCell ref="AK3:AV3"/>
    <mergeCell ref="O1:BX1"/>
    <mergeCell ref="B1:C1"/>
    <mergeCell ref="A1:A2"/>
    <mergeCell ref="H1:I1"/>
    <mergeCell ref="J1:K1"/>
    <mergeCell ref="F1:G1"/>
    <mergeCell ref="D1:E1"/>
    <mergeCell ref="B13:C13"/>
    <mergeCell ref="D13:E13"/>
    <mergeCell ref="F13:G13"/>
    <mergeCell ref="H13:I13"/>
    <mergeCell ref="J13:K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opLeftCell="B1" zoomScale="80" zoomScaleNormal="80" workbookViewId="0">
      <selection activeCell="T4" sqref="T4:AA6"/>
    </sheetView>
  </sheetViews>
  <sheetFormatPr defaultRowHeight="15" x14ac:dyDescent="0.25"/>
  <cols>
    <col min="1" max="1" width="26" bestFit="1" customWidth="1"/>
    <col min="2" max="2" width="10.85546875" bestFit="1" customWidth="1"/>
    <col min="3" max="3" width="13.5703125" bestFit="1" customWidth="1"/>
    <col min="4" max="4" width="13" bestFit="1" customWidth="1"/>
    <col min="6" max="6" width="9.7109375" customWidth="1"/>
    <col min="7" max="7" width="10.42578125" bestFit="1" customWidth="1"/>
    <col min="8" max="8" width="13.85546875" bestFit="1" customWidth="1"/>
    <col min="9" max="9" width="8" customWidth="1"/>
    <col min="10" max="10" width="12" bestFit="1" customWidth="1"/>
    <col min="11" max="11" width="10.85546875" bestFit="1" customWidth="1"/>
    <col min="12" max="14" width="13.140625" bestFit="1" customWidth="1"/>
    <col min="15" max="15" width="13.28515625" bestFit="1" customWidth="1"/>
    <col min="16" max="19" width="13.140625" bestFit="1" customWidth="1"/>
    <col min="21" max="27" width="13.140625" bestFit="1" customWidth="1"/>
  </cols>
  <sheetData>
    <row r="1" spans="1:27" x14ac:dyDescent="0.25">
      <c r="A1" s="164" t="s">
        <v>34</v>
      </c>
      <c r="B1" s="164"/>
      <c r="C1" s="164"/>
      <c r="D1" s="164"/>
    </row>
    <row r="2" spans="1:27" x14ac:dyDescent="0.25">
      <c r="A2" s="2" t="s">
        <v>35</v>
      </c>
      <c r="B2" s="2" t="s">
        <v>36</v>
      </c>
      <c r="C2" s="2" t="s">
        <v>37</v>
      </c>
      <c r="D2" s="2" t="s">
        <v>38</v>
      </c>
    </row>
    <row r="3" spans="1:27" x14ac:dyDescent="0.25">
      <c r="A3" s="4" t="s">
        <v>39</v>
      </c>
      <c r="B3" s="12">
        <v>6.0221408570000002E+23</v>
      </c>
      <c r="C3" s="4" t="s">
        <v>40</v>
      </c>
      <c r="D3" s="4" t="s">
        <v>41</v>
      </c>
      <c r="F3" s="173" t="s">
        <v>27</v>
      </c>
      <c r="G3" s="173"/>
      <c r="H3" s="173"/>
      <c r="I3" s="173"/>
      <c r="J3" s="28" t="s">
        <v>58</v>
      </c>
      <c r="K3" s="28"/>
      <c r="L3" s="173" t="s">
        <v>115</v>
      </c>
      <c r="M3" s="173"/>
      <c r="N3" s="173"/>
      <c r="O3" s="173"/>
      <c r="P3" s="173"/>
      <c r="Q3" s="173"/>
      <c r="R3" s="173"/>
      <c r="S3" s="173"/>
    </row>
    <row r="4" spans="1:27" ht="15" customHeight="1" x14ac:dyDescent="0.25">
      <c r="A4" s="4" t="s">
        <v>44</v>
      </c>
      <c r="B4" s="4">
        <v>772.03899999999999</v>
      </c>
      <c r="C4" s="4" t="s">
        <v>45</v>
      </c>
      <c r="D4" s="4"/>
      <c r="F4" s="172" t="s">
        <v>119</v>
      </c>
      <c r="G4" s="172" t="s">
        <v>120</v>
      </c>
      <c r="H4" s="172" t="s">
        <v>117</v>
      </c>
      <c r="I4" s="172" t="s">
        <v>118</v>
      </c>
      <c r="J4" s="172" t="s">
        <v>116</v>
      </c>
      <c r="K4" s="218" t="s">
        <v>73</v>
      </c>
      <c r="L4" s="28" t="s">
        <v>62</v>
      </c>
      <c r="M4" s="28" t="s">
        <v>64</v>
      </c>
      <c r="N4" s="33" t="s">
        <v>53</v>
      </c>
      <c r="O4" s="33" t="s">
        <v>54</v>
      </c>
      <c r="P4" s="33" t="s">
        <v>55</v>
      </c>
      <c r="Q4" s="33" t="s">
        <v>56</v>
      </c>
      <c r="R4" s="33" t="s">
        <v>57</v>
      </c>
      <c r="S4" s="28" t="s">
        <v>66</v>
      </c>
      <c r="T4" s="172" t="s">
        <v>386</v>
      </c>
      <c r="U4" s="152" t="s">
        <v>62</v>
      </c>
      <c r="V4" s="152" t="s">
        <v>64</v>
      </c>
      <c r="W4" s="33" t="s">
        <v>53</v>
      </c>
      <c r="X4" s="33" t="s">
        <v>54</v>
      </c>
      <c r="Y4" s="33" t="s">
        <v>55</v>
      </c>
      <c r="Z4" s="33" t="s">
        <v>56</v>
      </c>
      <c r="AA4" s="33" t="s">
        <v>57</v>
      </c>
    </row>
    <row r="5" spans="1:27" x14ac:dyDescent="0.25">
      <c r="A5" s="13" t="s">
        <v>46</v>
      </c>
      <c r="B5" s="4">
        <v>0.75320399999999998</v>
      </c>
      <c r="C5" s="4" t="s">
        <v>42</v>
      </c>
      <c r="D5" s="4"/>
      <c r="F5" s="172"/>
      <c r="G5" s="172"/>
      <c r="H5" s="172"/>
      <c r="I5" s="172"/>
      <c r="J5" s="172"/>
      <c r="K5" s="219"/>
      <c r="L5" s="28" t="s">
        <v>63</v>
      </c>
      <c r="M5" s="28" t="s">
        <v>65</v>
      </c>
      <c r="N5" s="28" t="s">
        <v>121</v>
      </c>
      <c r="O5" s="28" t="s">
        <v>122</v>
      </c>
      <c r="P5" s="28" t="s">
        <v>123</v>
      </c>
      <c r="Q5" s="28" t="s">
        <v>124</v>
      </c>
      <c r="R5" s="28" t="s">
        <v>125</v>
      </c>
      <c r="S5" s="28" t="s">
        <v>67</v>
      </c>
      <c r="T5" s="172"/>
      <c r="U5" s="152" t="s">
        <v>63</v>
      </c>
      <c r="V5" s="152" t="s">
        <v>65</v>
      </c>
      <c r="W5" s="152" t="s">
        <v>121</v>
      </c>
      <c r="X5" s="152" t="s">
        <v>122</v>
      </c>
      <c r="Y5" s="152" t="s">
        <v>123</v>
      </c>
      <c r="Z5" s="152" t="s">
        <v>124</v>
      </c>
      <c r="AA5" s="152" t="s">
        <v>125</v>
      </c>
    </row>
    <row r="6" spans="1:27" x14ac:dyDescent="0.25">
      <c r="A6" s="4" t="s">
        <v>47</v>
      </c>
      <c r="B6" s="4">
        <v>557.03899999999999</v>
      </c>
      <c r="C6" s="4" t="s">
        <v>45</v>
      </c>
      <c r="D6" s="4"/>
      <c r="F6" s="4">
        <v>12</v>
      </c>
      <c r="G6" s="4">
        <f t="shared" ref="G6" si="0">100-F6</f>
        <v>88</v>
      </c>
      <c r="H6" s="4">
        <v>7.1999999999999998E-3</v>
      </c>
      <c r="I6" s="4">
        <f t="shared" ref="I6" si="1">1-H6</f>
        <v>0.99280000000000002</v>
      </c>
      <c r="J6" s="4">
        <f>'Fraksi Volume'!I4</f>
        <v>270.23439648232056</v>
      </c>
      <c r="K6" s="100">
        <f>'Fraksi Volume'!S4</f>
        <v>10.576976842105262</v>
      </c>
      <c r="L6" s="19">
        <f>G6/100*H6*K6*$B$3/J6*1E-24</f>
        <v>1.4934373361529722E-4</v>
      </c>
      <c r="M6" s="19">
        <f t="shared" ref="M6" si="2">G6/100*I6*K6*$B$3/J6*1E-24</f>
        <v>2.0592841490731539E-2</v>
      </c>
      <c r="N6" s="19">
        <f>F6/100*$B$16*K6*$B$3/J6*1E-24</f>
        <v>1.3011007095272106E-4</v>
      </c>
      <c r="O6" s="19">
        <f>F6/100*$B$17*K6*$B$3/J6*1E-24</f>
        <v>1.4283823006766116E-3</v>
      </c>
      <c r="P6" s="19">
        <f>F6/100*$B$18*K6*$B$3/J6*1E-24</f>
        <v>6.7883515279680562E-4</v>
      </c>
      <c r="Q6" s="19">
        <f>F6/100*$B$19*K6*$B$3/J6*1E-24</f>
        <v>3.5355997541500293E-4</v>
      </c>
      <c r="R6" s="19">
        <f>F6/100*$B$20*K6*$B$3/J6*1E-24</f>
        <v>2.3759230347888196E-4</v>
      </c>
      <c r="S6" s="27">
        <f>4*$B$3*K6/J6*1E-24</f>
        <v>9.4282660110667438E-2</v>
      </c>
      <c r="T6" s="172"/>
      <c r="U6" s="27">
        <f>L6*'Variasi HD'!$B$18</f>
        <v>4.4102784427991921E-5</v>
      </c>
      <c r="V6" s="27">
        <f>M6*'Variasi HD'!$B$18</f>
        <v>6.081283941681997E-3</v>
      </c>
      <c r="W6" s="27">
        <f>N6*'Variasi HD'!$B$18</f>
        <v>3.842288037287175E-5</v>
      </c>
      <c r="X6" s="27">
        <f>O6*'Variasi HD'!$B$18</f>
        <v>4.2181640409348333E-4</v>
      </c>
      <c r="Y6" s="27">
        <f>P6*'Variasi HD'!$B$18</f>
        <v>2.0046720194541784E-4</v>
      </c>
      <c r="Z6" s="27">
        <f>Q6*'Variasi HD'!$B$18</f>
        <v>1.0441000101323846E-4</v>
      </c>
      <c r="AA6" s="27">
        <f>R6*'Variasi HD'!$B$18</f>
        <v>7.0163520680896238E-5</v>
      </c>
    </row>
    <row r="7" spans="1:27" x14ac:dyDescent="0.25">
      <c r="A7" s="13" t="s">
        <v>48</v>
      </c>
      <c r="B7" s="4">
        <v>9.0273999999999997E-3</v>
      </c>
      <c r="C7" s="4" t="s">
        <v>42</v>
      </c>
      <c r="D7" s="4" t="s">
        <v>41</v>
      </c>
      <c r="Q7" s="18"/>
      <c r="R7" s="18"/>
      <c r="S7" s="66"/>
      <c r="T7" s="157"/>
      <c r="U7" s="158"/>
      <c r="V7" s="158"/>
      <c r="W7" s="158"/>
      <c r="X7" s="158"/>
      <c r="Y7" s="158"/>
      <c r="Z7" s="158"/>
      <c r="AA7" s="158"/>
    </row>
    <row r="8" spans="1:27" x14ac:dyDescent="0.25">
      <c r="A8" s="13" t="s">
        <v>49</v>
      </c>
      <c r="B8" s="106">
        <v>739.20935368907362</v>
      </c>
      <c r="C8" s="13" t="s">
        <v>45</v>
      </c>
      <c r="D8" s="13"/>
      <c r="F8" s="210" t="s">
        <v>68</v>
      </c>
      <c r="G8" s="217"/>
      <c r="H8" s="20" t="s">
        <v>69</v>
      </c>
      <c r="J8" s="210" t="s">
        <v>30</v>
      </c>
      <c r="K8" s="211"/>
      <c r="L8" s="20" t="s">
        <v>79</v>
      </c>
      <c r="N8" s="210" t="s">
        <v>80</v>
      </c>
      <c r="O8" s="217"/>
      <c r="P8" s="20" t="s">
        <v>81</v>
      </c>
      <c r="R8" s="18"/>
      <c r="S8" s="18"/>
      <c r="T8" s="156"/>
      <c r="U8" s="140"/>
      <c r="V8" s="140"/>
      <c r="W8" s="140"/>
      <c r="X8" s="140"/>
      <c r="Y8" s="140"/>
      <c r="Z8" s="140"/>
      <c r="AA8" s="140"/>
    </row>
    <row r="9" spans="1:27" x14ac:dyDescent="0.25">
      <c r="A9" s="4" t="s">
        <v>50</v>
      </c>
      <c r="B9" s="4">
        <v>1850</v>
      </c>
      <c r="C9" s="4" t="s">
        <v>51</v>
      </c>
      <c r="D9" s="4"/>
      <c r="F9" s="16" t="s">
        <v>70</v>
      </c>
      <c r="G9" s="21"/>
      <c r="H9" s="22"/>
      <c r="J9" s="16" t="s">
        <v>83</v>
      </c>
      <c r="K9" s="21"/>
      <c r="L9" s="26"/>
      <c r="M9" s="21"/>
      <c r="N9" s="16" t="s">
        <v>83</v>
      </c>
      <c r="S9" s="18"/>
      <c r="T9" s="156"/>
      <c r="U9" s="140"/>
      <c r="V9" s="140"/>
      <c r="W9" s="140"/>
      <c r="X9" s="140"/>
      <c r="Y9" s="140"/>
      <c r="Z9" s="140"/>
      <c r="AA9" s="140"/>
    </row>
    <row r="10" spans="1:27" x14ac:dyDescent="0.25">
      <c r="A10" s="13" t="s">
        <v>52</v>
      </c>
      <c r="B10" s="106">
        <v>645.57216968162379</v>
      </c>
      <c r="C10" s="13" t="s">
        <v>45</v>
      </c>
      <c r="D10" s="13"/>
      <c r="F10" s="4">
        <v>4.0026018980937002</v>
      </c>
      <c r="G10" s="18"/>
      <c r="H10" s="22"/>
      <c r="J10" s="4">
        <f>D32</f>
        <v>91.524026957999979</v>
      </c>
      <c r="K10" s="18"/>
      <c r="L10" s="22"/>
      <c r="N10" s="4">
        <f>D32</f>
        <v>91.524026957999979</v>
      </c>
      <c r="O10" s="18"/>
      <c r="P10" s="22"/>
      <c r="S10" s="18"/>
      <c r="T10" s="156"/>
      <c r="U10" s="140"/>
      <c r="V10" s="140"/>
      <c r="W10" s="140"/>
      <c r="X10" s="140"/>
      <c r="Y10" s="140"/>
      <c r="Z10" s="140"/>
      <c r="AA10" s="140"/>
    </row>
    <row r="11" spans="1:27" x14ac:dyDescent="0.25">
      <c r="F11" s="214"/>
      <c r="G11" s="215"/>
      <c r="H11" s="216"/>
      <c r="J11" s="44"/>
      <c r="K11" s="45"/>
      <c r="L11" s="46"/>
      <c r="N11" s="164"/>
      <c r="O11" s="209"/>
      <c r="P11" s="209"/>
      <c r="S11" s="18"/>
      <c r="T11" s="156"/>
      <c r="U11" s="140"/>
      <c r="V11" s="140"/>
      <c r="W11" s="140"/>
      <c r="X11" s="140"/>
      <c r="Y11" s="140"/>
      <c r="Z11" s="140"/>
      <c r="AA11" s="140"/>
    </row>
    <row r="12" spans="1:27" x14ac:dyDescent="0.25">
      <c r="A12" s="164" t="s">
        <v>113</v>
      </c>
      <c r="B12" s="164"/>
      <c r="C12" s="164"/>
      <c r="F12" s="16" t="s">
        <v>59</v>
      </c>
      <c r="G12" s="16" t="s">
        <v>60</v>
      </c>
      <c r="H12" s="16" t="s">
        <v>61</v>
      </c>
      <c r="J12" s="16" t="s">
        <v>59</v>
      </c>
      <c r="K12" s="16" t="s">
        <v>60</v>
      </c>
      <c r="L12" s="16" t="s">
        <v>61</v>
      </c>
      <c r="N12" s="16" t="s">
        <v>59</v>
      </c>
      <c r="O12" s="16" t="s">
        <v>60</v>
      </c>
      <c r="P12" s="16" t="s">
        <v>61</v>
      </c>
      <c r="S12" s="18"/>
      <c r="T12" s="156"/>
      <c r="U12" s="140"/>
      <c r="V12" s="140"/>
      <c r="W12" s="140"/>
      <c r="X12" s="140"/>
      <c r="Y12" s="140"/>
      <c r="Z12" s="140"/>
      <c r="AA12" s="140"/>
    </row>
    <row r="13" spans="1:27" x14ac:dyDescent="0.25">
      <c r="A13" s="13" t="s">
        <v>2</v>
      </c>
      <c r="B13" s="173" t="s">
        <v>114</v>
      </c>
      <c r="C13" s="173"/>
      <c r="F13" s="4" t="s">
        <v>74</v>
      </c>
      <c r="G13" s="4" t="s">
        <v>75</v>
      </c>
      <c r="H13" s="19">
        <f>B3*B7/F10*1E-24</f>
        <v>1.3582233696129912E-3</v>
      </c>
      <c r="J13" s="4" t="s">
        <v>82</v>
      </c>
      <c r="K13" s="4" t="s">
        <v>88</v>
      </c>
      <c r="L13" s="27">
        <f>$B$3*$B$24*B27*1E-24/$J$10</f>
        <v>4.2324966675679684E-2</v>
      </c>
      <c r="N13" s="4" t="s">
        <v>82</v>
      </c>
      <c r="O13" s="4" t="s">
        <v>88</v>
      </c>
      <c r="P13" s="19">
        <f>L13</f>
        <v>4.2324966675679684E-2</v>
      </c>
      <c r="S13" s="18"/>
      <c r="T13" s="156"/>
      <c r="U13" s="140"/>
      <c r="V13" s="140"/>
      <c r="W13" s="140"/>
      <c r="X13" s="140"/>
      <c r="Y13" s="140"/>
      <c r="Z13" s="140"/>
      <c r="AA13" s="140"/>
    </row>
    <row r="14" spans="1:27" x14ac:dyDescent="0.25">
      <c r="A14" s="13" t="s">
        <v>73</v>
      </c>
      <c r="B14" s="28"/>
      <c r="C14" s="28" t="s">
        <v>42</v>
      </c>
      <c r="J14" s="4" t="s">
        <v>84</v>
      </c>
      <c r="K14" s="4" t="s">
        <v>89</v>
      </c>
      <c r="L14" s="27">
        <f>$B$3*$B$24*B28*1E-24/$J$10</f>
        <v>6.4655779957348823E-4</v>
      </c>
      <c r="N14" s="4" t="s">
        <v>84</v>
      </c>
      <c r="O14" s="4" t="s">
        <v>89</v>
      </c>
      <c r="P14" s="19">
        <f>L14</f>
        <v>6.4655779957348823E-4</v>
      </c>
      <c r="S14" s="18"/>
      <c r="T14" s="156"/>
      <c r="U14" s="140"/>
      <c r="V14" s="140"/>
      <c r="W14" s="140"/>
      <c r="X14" s="140"/>
      <c r="Y14" s="140"/>
      <c r="Z14" s="140"/>
      <c r="AA14" s="140"/>
    </row>
    <row r="15" spans="1:27" x14ac:dyDescent="0.25">
      <c r="A15" s="2" t="s">
        <v>76</v>
      </c>
      <c r="B15" s="28" t="s">
        <v>77</v>
      </c>
      <c r="C15" s="28" t="s">
        <v>78</v>
      </c>
      <c r="J15" s="4" t="s">
        <v>85</v>
      </c>
      <c r="K15" s="4" t="s">
        <v>90</v>
      </c>
      <c r="L15" s="27">
        <f>$B$3*$B$24*B29*1E-24/$J$10</f>
        <v>8.6207706609798434E-5</v>
      </c>
      <c r="N15" s="4" t="s">
        <v>85</v>
      </c>
      <c r="O15" s="4" t="s">
        <v>90</v>
      </c>
      <c r="P15" s="19">
        <f>L15</f>
        <v>8.6207706609798434E-5</v>
      </c>
      <c r="S15" s="18"/>
      <c r="T15" s="156"/>
      <c r="U15" s="140"/>
      <c r="V15" s="140"/>
      <c r="W15" s="140"/>
      <c r="X15" s="140"/>
      <c r="Y15" s="140"/>
      <c r="Z15" s="140"/>
      <c r="AA15" s="140"/>
    </row>
    <row r="16" spans="1:27" x14ac:dyDescent="0.25">
      <c r="A16" s="13" t="s">
        <v>53</v>
      </c>
      <c r="B16" s="4">
        <f>4.6/100</f>
        <v>4.5999999999999999E-2</v>
      </c>
      <c r="C16" s="4">
        <v>238.04955989999999</v>
      </c>
      <c r="D16">
        <f>B16*C16</f>
        <v>10.950279755399999</v>
      </c>
      <c r="J16" s="4" t="s">
        <v>86</v>
      </c>
      <c r="K16" s="4" t="s">
        <v>92</v>
      </c>
      <c r="L16" s="27">
        <f>$B$3*$B$24*B30*1E-24/$J$10</f>
        <v>4.3103853304899217E-5</v>
      </c>
      <c r="N16" s="4" t="s">
        <v>86</v>
      </c>
      <c r="O16" s="4" t="s">
        <v>92</v>
      </c>
      <c r="P16" s="19">
        <f>L16</f>
        <v>4.3103853304899217E-5</v>
      </c>
    </row>
    <row r="17" spans="1:16" x14ac:dyDescent="0.25">
      <c r="A17" s="13" t="s">
        <v>54</v>
      </c>
      <c r="B17" s="4">
        <f>50.5/100</f>
        <v>0.505</v>
      </c>
      <c r="C17" s="4">
        <v>239.05216340000001</v>
      </c>
      <c r="D17">
        <f>B17*C17</f>
        <v>120.72134251700001</v>
      </c>
      <c r="J17" s="4" t="s">
        <v>87</v>
      </c>
      <c r="K17" s="4" t="s">
        <v>94</v>
      </c>
      <c r="L17" s="27">
        <f>$B$3*$B$24*B31*1E-24/$J$10</f>
        <v>3.0172697313429449E-6</v>
      </c>
      <c r="N17" s="4" t="s">
        <v>87</v>
      </c>
      <c r="O17" s="4" t="s">
        <v>94</v>
      </c>
      <c r="P17" s="19">
        <f>L17</f>
        <v>3.0172697313429449E-6</v>
      </c>
    </row>
    <row r="18" spans="1:16" x14ac:dyDescent="0.25">
      <c r="A18" s="13" t="s">
        <v>55</v>
      </c>
      <c r="B18" s="4">
        <f>24/100</f>
        <v>0.24</v>
      </c>
      <c r="C18" s="4">
        <v>240.05381349999999</v>
      </c>
      <c r="D18">
        <f>B18*C18</f>
        <v>57.612915239999992</v>
      </c>
    </row>
    <row r="19" spans="1:16" x14ac:dyDescent="0.25">
      <c r="A19" s="13" t="s">
        <v>56</v>
      </c>
      <c r="B19" s="4">
        <f>12.5/100</f>
        <v>0.125</v>
      </c>
      <c r="C19" s="43">
        <v>241.05685149999999</v>
      </c>
      <c r="D19">
        <f>B19*C19</f>
        <v>30.132106437499999</v>
      </c>
      <c r="F19" s="210" t="s">
        <v>31</v>
      </c>
      <c r="G19" s="211"/>
      <c r="H19" s="20" t="s">
        <v>96</v>
      </c>
      <c r="J19" s="210" t="s">
        <v>91</v>
      </c>
      <c r="K19" s="211"/>
      <c r="L19" s="16" t="s">
        <v>105</v>
      </c>
    </row>
    <row r="20" spans="1:16" x14ac:dyDescent="0.25">
      <c r="A20" s="13" t="s">
        <v>57</v>
      </c>
      <c r="B20" s="4">
        <f>8.4/100</f>
        <v>8.4000000000000005E-2</v>
      </c>
      <c r="C20" s="43">
        <v>242.05874259999999</v>
      </c>
      <c r="D20">
        <f>B20*C20</f>
        <v>20.332934378400001</v>
      </c>
      <c r="F20" s="16" t="s">
        <v>98</v>
      </c>
      <c r="G20" s="21"/>
      <c r="H20" s="26"/>
      <c r="J20" s="16" t="s">
        <v>107</v>
      </c>
      <c r="K20" s="18"/>
      <c r="L20" s="22"/>
    </row>
    <row r="21" spans="1:16" x14ac:dyDescent="0.25">
      <c r="D21">
        <f>SUM(D16:D20)</f>
        <v>239.7495783283</v>
      </c>
      <c r="F21" s="4">
        <f>(2*1.00790548)+15.99940493</f>
        <v>18.01521589</v>
      </c>
      <c r="G21" s="18"/>
      <c r="H21" s="22"/>
      <c r="J21" s="4">
        <f>D47</f>
        <v>55.032952715149506</v>
      </c>
      <c r="K21" s="18"/>
      <c r="L21" s="22"/>
    </row>
    <row r="22" spans="1:16" x14ac:dyDescent="0.25">
      <c r="A22" s="164" t="s">
        <v>71</v>
      </c>
      <c r="B22" s="164"/>
      <c r="C22" s="164"/>
      <c r="F22" s="214"/>
      <c r="G22" s="215"/>
      <c r="H22" s="216"/>
      <c r="J22" s="23"/>
      <c r="K22" s="18"/>
      <c r="L22" s="22"/>
    </row>
    <row r="23" spans="1:16" x14ac:dyDescent="0.25">
      <c r="A23" s="13" t="s">
        <v>2</v>
      </c>
      <c r="B23" s="212" t="s">
        <v>72</v>
      </c>
      <c r="C23" s="213"/>
      <c r="F23" s="16" t="s">
        <v>59</v>
      </c>
      <c r="G23" s="16" t="s">
        <v>60</v>
      </c>
      <c r="H23" s="16" t="s">
        <v>61</v>
      </c>
      <c r="J23" s="16" t="s">
        <v>59</v>
      </c>
      <c r="K23" s="16" t="s">
        <v>60</v>
      </c>
      <c r="L23" s="16" t="s">
        <v>61</v>
      </c>
    </row>
    <row r="24" spans="1:16" x14ac:dyDescent="0.25">
      <c r="A24" s="4" t="s">
        <v>73</v>
      </c>
      <c r="B24" s="4">
        <v>6.5508899999999999</v>
      </c>
      <c r="C24" s="4" t="s">
        <v>42</v>
      </c>
      <c r="F24" s="4" t="s">
        <v>101</v>
      </c>
      <c r="G24" s="4" t="s">
        <v>102</v>
      </c>
      <c r="H24" s="19">
        <f>2*$B$3/$F$21*$B$5*1E-24</f>
        <v>5.0356327781491024E-2</v>
      </c>
      <c r="J24" s="4" t="s">
        <v>85</v>
      </c>
      <c r="K24" s="4" t="s">
        <v>90</v>
      </c>
      <c r="L24" s="31">
        <f t="shared" ref="L24:L31" si="3">B39*$B$3*$B$36*1E-24/$J$21</f>
        <v>5.8561438956644285E-2</v>
      </c>
    </row>
    <row r="25" spans="1:16" x14ac:dyDescent="0.25">
      <c r="A25" s="23"/>
      <c r="B25" s="18"/>
      <c r="C25" s="22"/>
      <c r="F25" s="4" t="s">
        <v>66</v>
      </c>
      <c r="G25" s="4" t="s">
        <v>67</v>
      </c>
      <c r="H25" s="19">
        <f>1*$B$3/$F$21*$B$5*1E-24</f>
        <v>2.5178163890745512E-2</v>
      </c>
      <c r="J25" s="4" t="s">
        <v>99</v>
      </c>
      <c r="K25" s="4" t="s">
        <v>108</v>
      </c>
      <c r="L25" s="31">
        <f t="shared" si="3"/>
        <v>2.626269779055727E-5</v>
      </c>
    </row>
    <row r="26" spans="1:16" x14ac:dyDescent="0.25">
      <c r="A26" s="2" t="s">
        <v>76</v>
      </c>
      <c r="B26" s="16" t="s">
        <v>77</v>
      </c>
      <c r="C26" s="16" t="s">
        <v>78</v>
      </c>
      <c r="J26" s="4" t="s">
        <v>86</v>
      </c>
      <c r="K26" s="4" t="s">
        <v>92</v>
      </c>
      <c r="L26" s="31">
        <f t="shared" si="3"/>
        <v>1.7508465193704852E-2</v>
      </c>
    </row>
    <row r="27" spans="1:16" x14ac:dyDescent="0.25">
      <c r="A27" s="24" t="s">
        <v>82</v>
      </c>
      <c r="B27" s="25">
        <v>0.98192999999999997</v>
      </c>
      <c r="C27" s="25">
        <v>91.224000000000004</v>
      </c>
      <c r="D27">
        <f>B27*C27</f>
        <v>89.575582319999995</v>
      </c>
      <c r="J27" s="4" t="s">
        <v>100</v>
      </c>
      <c r="K27" s="4" t="s">
        <v>109</v>
      </c>
      <c r="L27" s="31">
        <f t="shared" si="3"/>
        <v>1.7508465193704851E-3</v>
      </c>
    </row>
    <row r="28" spans="1:16" x14ac:dyDescent="0.25">
      <c r="A28" s="1" t="s">
        <v>84</v>
      </c>
      <c r="B28" s="25">
        <v>1.4999999999999999E-2</v>
      </c>
      <c r="C28" s="25">
        <v>118.71</v>
      </c>
      <c r="D28">
        <f>B28*C28</f>
        <v>1.7806499999999998</v>
      </c>
      <c r="J28" s="4" t="s">
        <v>87</v>
      </c>
      <c r="K28" s="4" t="s">
        <v>94</v>
      </c>
      <c r="L28" s="31">
        <f t="shared" si="3"/>
        <v>8.7542325968524258E-3</v>
      </c>
    </row>
    <row r="29" spans="1:16" x14ac:dyDescent="0.25">
      <c r="A29" s="1" t="s">
        <v>85</v>
      </c>
      <c r="B29" s="25">
        <v>2E-3</v>
      </c>
      <c r="C29" s="25">
        <v>55.844999999999999</v>
      </c>
      <c r="D29">
        <f>B29*C29</f>
        <v>0.11169</v>
      </c>
      <c r="J29" s="4" t="s">
        <v>103</v>
      </c>
      <c r="K29" s="4" t="s">
        <v>110</v>
      </c>
      <c r="L29" s="31">
        <f t="shared" si="3"/>
        <v>3.9394046685835918E-5</v>
      </c>
    </row>
    <row r="30" spans="1:16" x14ac:dyDescent="0.25">
      <c r="A30" s="1" t="s">
        <v>86</v>
      </c>
      <c r="B30" s="25">
        <v>1E-3</v>
      </c>
      <c r="C30" s="25">
        <v>51.996099999999998</v>
      </c>
      <c r="D30">
        <f>B30*C30</f>
        <v>5.1996099999999996E-2</v>
      </c>
      <c r="J30" s="4" t="s">
        <v>104</v>
      </c>
      <c r="K30" s="4" t="s">
        <v>111</v>
      </c>
      <c r="L30" s="31">
        <f t="shared" si="3"/>
        <v>2.626269779055727E-5</v>
      </c>
    </row>
    <row r="31" spans="1:16" x14ac:dyDescent="0.25">
      <c r="A31" s="1" t="s">
        <v>87</v>
      </c>
      <c r="B31" s="25">
        <v>6.9999999999999994E-5</v>
      </c>
      <c r="C31" s="25">
        <v>58.693399999999997</v>
      </c>
      <c r="D31">
        <f>B31*C31</f>
        <v>4.1085379999999993E-3</v>
      </c>
      <c r="J31" s="4" t="s">
        <v>106</v>
      </c>
      <c r="K31" s="4" t="s">
        <v>112</v>
      </c>
      <c r="L31" s="31">
        <f t="shared" si="3"/>
        <v>8.7542325968524256E-4</v>
      </c>
    </row>
    <row r="32" spans="1:16" x14ac:dyDescent="0.25">
      <c r="D32">
        <f>SUM(D27:D31)</f>
        <v>91.524026957999979</v>
      </c>
    </row>
    <row r="34" spans="1:4" x14ac:dyDescent="0.25">
      <c r="A34" s="173" t="s">
        <v>91</v>
      </c>
      <c r="B34" s="173"/>
      <c r="C34" s="173"/>
    </row>
    <row r="35" spans="1:4" x14ac:dyDescent="0.25">
      <c r="A35" s="29" t="s">
        <v>2</v>
      </c>
      <c r="B35" s="173" t="s">
        <v>93</v>
      </c>
      <c r="C35" s="173"/>
    </row>
    <row r="36" spans="1:4" x14ac:dyDescent="0.25">
      <c r="A36" s="4" t="s">
        <v>73</v>
      </c>
      <c r="B36" s="4">
        <v>8</v>
      </c>
      <c r="C36" s="4" t="s">
        <v>95</v>
      </c>
    </row>
    <row r="37" spans="1:4" x14ac:dyDescent="0.25">
      <c r="A37" s="23"/>
      <c r="B37" s="18"/>
      <c r="C37" s="22"/>
    </row>
    <row r="38" spans="1:4" x14ac:dyDescent="0.25">
      <c r="A38" s="16" t="s">
        <v>97</v>
      </c>
      <c r="B38" s="16" t="s">
        <v>77</v>
      </c>
      <c r="C38" s="16" t="s">
        <v>78</v>
      </c>
    </row>
    <row r="39" spans="1:4" x14ac:dyDescent="0.25">
      <c r="A39" s="4" t="s">
        <v>85</v>
      </c>
      <c r="B39" s="4">
        <f>1-(SUM(B40:B46))</f>
        <v>0.66894999999999993</v>
      </c>
      <c r="C39" s="4">
        <v>55.845150199999999</v>
      </c>
      <c r="D39">
        <f t="shared" ref="D39:D46" si="4">C39*B39</f>
        <v>37.357613226289999</v>
      </c>
    </row>
    <row r="40" spans="1:4" x14ac:dyDescent="0.25">
      <c r="A40" s="4" t="s">
        <v>99</v>
      </c>
      <c r="B40" s="4">
        <f>0.03/100</f>
        <v>2.9999999999999997E-4</v>
      </c>
      <c r="C40" s="4">
        <v>12.0107359</v>
      </c>
      <c r="D40">
        <f t="shared" si="4"/>
        <v>3.6032207699999998E-3</v>
      </c>
    </row>
    <row r="41" spans="1:4" x14ac:dyDescent="0.25">
      <c r="A41" s="4" t="s">
        <v>86</v>
      </c>
      <c r="B41" s="4">
        <f>20/100</f>
        <v>0.2</v>
      </c>
      <c r="C41" s="4">
        <v>51.996137500000003</v>
      </c>
      <c r="D41">
        <f t="shared" si="4"/>
        <v>10.399227500000002</v>
      </c>
    </row>
    <row r="42" spans="1:4" x14ac:dyDescent="0.25">
      <c r="A42" s="4" t="s">
        <v>100</v>
      </c>
      <c r="B42" s="4">
        <f>2/100</f>
        <v>0.02</v>
      </c>
      <c r="C42" s="30">
        <v>54.938049599999999</v>
      </c>
      <c r="D42">
        <f t="shared" si="4"/>
        <v>1.0987609920000001</v>
      </c>
    </row>
    <row r="43" spans="1:4" x14ac:dyDescent="0.25">
      <c r="A43" s="4" t="s">
        <v>87</v>
      </c>
      <c r="B43" s="4">
        <f>10/100</f>
        <v>0.1</v>
      </c>
      <c r="C43" s="4">
        <v>58.693356299999998</v>
      </c>
      <c r="D43">
        <f t="shared" si="4"/>
        <v>5.8693356300000001</v>
      </c>
    </row>
    <row r="44" spans="1:4" x14ac:dyDescent="0.25">
      <c r="A44" s="4" t="s">
        <v>103</v>
      </c>
      <c r="B44" s="4">
        <f>0.045/100</f>
        <v>4.4999999999999999E-4</v>
      </c>
      <c r="C44" s="30">
        <v>30.973761509999999</v>
      </c>
      <c r="D44">
        <f t="shared" si="4"/>
        <v>1.39381926795E-2</v>
      </c>
    </row>
    <row r="45" spans="1:4" x14ac:dyDescent="0.25">
      <c r="A45" s="4" t="s">
        <v>104</v>
      </c>
      <c r="B45" s="4">
        <f>0.03/100</f>
        <v>2.9999999999999997E-4</v>
      </c>
      <c r="C45" s="4">
        <v>32.066084699999998</v>
      </c>
      <c r="D45">
        <f t="shared" si="4"/>
        <v>9.6198254099999977E-3</v>
      </c>
    </row>
    <row r="46" spans="1:4" x14ac:dyDescent="0.25">
      <c r="A46" s="4" t="s">
        <v>106</v>
      </c>
      <c r="B46" s="4">
        <f>1/100</f>
        <v>0.01</v>
      </c>
      <c r="C46" s="4">
        <v>28.0854128</v>
      </c>
      <c r="D46">
        <f t="shared" si="4"/>
        <v>0.28085412800000004</v>
      </c>
    </row>
    <row r="47" spans="1:4" x14ac:dyDescent="0.25">
      <c r="D47">
        <f>SUM(D39:D46)</f>
        <v>55.032952715149506</v>
      </c>
    </row>
  </sheetData>
  <mergeCells count="24">
    <mergeCell ref="A1:D1"/>
    <mergeCell ref="F8:G8"/>
    <mergeCell ref="L3:S3"/>
    <mergeCell ref="F3:I3"/>
    <mergeCell ref="F4:F5"/>
    <mergeCell ref="G4:G5"/>
    <mergeCell ref="H4:H5"/>
    <mergeCell ref="I4:I5"/>
    <mergeCell ref="J4:J5"/>
    <mergeCell ref="K4:K5"/>
    <mergeCell ref="J8:K8"/>
    <mergeCell ref="T4:T6"/>
    <mergeCell ref="N11:P11"/>
    <mergeCell ref="A34:C34"/>
    <mergeCell ref="B35:C35"/>
    <mergeCell ref="F19:G19"/>
    <mergeCell ref="A22:C22"/>
    <mergeCell ref="B23:C23"/>
    <mergeCell ref="F22:H22"/>
    <mergeCell ref="F11:H11"/>
    <mergeCell ref="J19:K19"/>
    <mergeCell ref="A12:C12"/>
    <mergeCell ref="B13:C13"/>
    <mergeCell ref="N8:O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zoomScale="80" zoomScaleNormal="80" workbookViewId="0">
      <selection activeCell="AA4" sqref="AA4:AO6"/>
    </sheetView>
  </sheetViews>
  <sheetFormatPr defaultRowHeight="15" x14ac:dyDescent="0.25"/>
  <cols>
    <col min="1" max="1" width="26" bestFit="1" customWidth="1"/>
    <col min="2" max="2" width="13" bestFit="1" customWidth="1"/>
    <col min="3" max="3" width="13.5703125" bestFit="1" customWidth="1"/>
    <col min="4" max="4" width="13" bestFit="1" customWidth="1"/>
    <col min="6" max="6" width="9.28515625" bestFit="1" customWidth="1"/>
    <col min="7" max="7" width="11" bestFit="1" customWidth="1"/>
    <col min="8" max="8" width="14" bestFit="1" customWidth="1"/>
    <col min="9" max="9" width="9.28515625" bestFit="1" customWidth="1"/>
    <col min="10" max="10" width="13" bestFit="1" customWidth="1"/>
    <col min="11" max="11" width="15.7109375" bestFit="1" customWidth="1"/>
    <col min="12" max="41" width="13.140625" bestFit="1" customWidth="1"/>
  </cols>
  <sheetData>
    <row r="1" spans="1:41" x14ac:dyDescent="0.25">
      <c r="A1" s="164" t="s">
        <v>34</v>
      </c>
      <c r="B1" s="164"/>
      <c r="C1" s="164"/>
      <c r="D1" s="164"/>
    </row>
    <row r="2" spans="1:41" x14ac:dyDescent="0.25">
      <c r="A2" s="2" t="s">
        <v>35</v>
      </c>
      <c r="B2" s="2" t="s">
        <v>36</v>
      </c>
      <c r="C2" s="2" t="s">
        <v>37</v>
      </c>
      <c r="D2" s="2" t="s">
        <v>38</v>
      </c>
    </row>
    <row r="3" spans="1:41" x14ac:dyDescent="0.25">
      <c r="A3" s="4" t="s">
        <v>39</v>
      </c>
      <c r="B3" s="12">
        <v>6.0221408570000002E+23</v>
      </c>
      <c r="C3" s="4" t="s">
        <v>40</v>
      </c>
      <c r="D3" s="4" t="s">
        <v>41</v>
      </c>
      <c r="F3" s="173" t="s">
        <v>27</v>
      </c>
      <c r="G3" s="173"/>
      <c r="H3" s="173"/>
      <c r="I3" s="173"/>
      <c r="J3" s="222" t="s">
        <v>58</v>
      </c>
      <c r="K3" s="223"/>
      <c r="L3" s="173" t="s">
        <v>115</v>
      </c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</row>
    <row r="4" spans="1:41" x14ac:dyDescent="0.25">
      <c r="A4" s="4" t="s">
        <v>44</v>
      </c>
      <c r="B4" s="4">
        <v>772.03899999999999</v>
      </c>
      <c r="C4" s="4" t="s">
        <v>45</v>
      </c>
      <c r="D4" s="4"/>
      <c r="F4" s="172" t="s">
        <v>119</v>
      </c>
      <c r="G4" s="172" t="s">
        <v>120</v>
      </c>
      <c r="H4" s="172" t="s">
        <v>117</v>
      </c>
      <c r="I4" s="172" t="s">
        <v>118</v>
      </c>
      <c r="J4" s="172" t="s">
        <v>146</v>
      </c>
      <c r="K4" s="218" t="s">
        <v>73</v>
      </c>
      <c r="L4" s="2" t="s">
        <v>62</v>
      </c>
      <c r="M4" s="2" t="s">
        <v>64</v>
      </c>
      <c r="N4" s="3" t="s">
        <v>53</v>
      </c>
      <c r="O4" s="3" t="s">
        <v>54</v>
      </c>
      <c r="P4" s="3" t="s">
        <v>55</v>
      </c>
      <c r="Q4" s="3" t="s">
        <v>56</v>
      </c>
      <c r="R4" s="3" t="s">
        <v>57</v>
      </c>
      <c r="S4" s="3" t="s">
        <v>131</v>
      </c>
      <c r="T4" s="3" t="s">
        <v>132</v>
      </c>
      <c r="U4" s="3" t="s">
        <v>133</v>
      </c>
      <c r="V4" s="3" t="s">
        <v>134</v>
      </c>
      <c r="W4" s="3" t="s">
        <v>135</v>
      </c>
      <c r="X4" s="3" t="s">
        <v>136</v>
      </c>
      <c r="Y4" s="3" t="s">
        <v>137</v>
      </c>
      <c r="Z4" s="2" t="s">
        <v>66</v>
      </c>
      <c r="AA4" s="220" t="s">
        <v>386</v>
      </c>
      <c r="AB4" s="153" t="s">
        <v>62</v>
      </c>
      <c r="AC4" s="153" t="s">
        <v>64</v>
      </c>
      <c r="AD4" s="3" t="s">
        <v>53</v>
      </c>
      <c r="AE4" s="3" t="s">
        <v>54</v>
      </c>
      <c r="AF4" s="3" t="s">
        <v>55</v>
      </c>
      <c r="AG4" s="3" t="s">
        <v>56</v>
      </c>
      <c r="AH4" s="3" t="s">
        <v>57</v>
      </c>
      <c r="AI4" s="159" t="s">
        <v>131</v>
      </c>
      <c r="AJ4" s="3" t="s">
        <v>132</v>
      </c>
      <c r="AK4" s="3" t="s">
        <v>133</v>
      </c>
      <c r="AL4" s="3" t="s">
        <v>134</v>
      </c>
      <c r="AM4" s="3" t="s">
        <v>135</v>
      </c>
      <c r="AN4" s="3" t="s">
        <v>136</v>
      </c>
      <c r="AO4" s="3" t="s">
        <v>137</v>
      </c>
    </row>
    <row r="5" spans="1:41" x14ac:dyDescent="0.25">
      <c r="A5" s="13" t="s">
        <v>46</v>
      </c>
      <c r="B5" s="4">
        <v>0.75320399999999998</v>
      </c>
      <c r="C5" s="4" t="s">
        <v>42</v>
      </c>
      <c r="D5" s="4"/>
      <c r="F5" s="172"/>
      <c r="G5" s="172"/>
      <c r="H5" s="172"/>
      <c r="I5" s="172"/>
      <c r="J5" s="172"/>
      <c r="K5" s="219"/>
      <c r="L5" s="2" t="s">
        <v>63</v>
      </c>
      <c r="M5" s="2" t="s">
        <v>65</v>
      </c>
      <c r="N5" s="2" t="s">
        <v>121</v>
      </c>
      <c r="O5" s="2" t="s">
        <v>122</v>
      </c>
      <c r="P5" s="2" t="s">
        <v>123</v>
      </c>
      <c r="Q5" s="2" t="s">
        <v>124</v>
      </c>
      <c r="R5" s="2" t="s">
        <v>125</v>
      </c>
      <c r="S5" s="3" t="s">
        <v>139</v>
      </c>
      <c r="T5" s="2" t="s">
        <v>140</v>
      </c>
      <c r="U5" s="2" t="s">
        <v>141</v>
      </c>
      <c r="V5" s="2" t="s">
        <v>142</v>
      </c>
      <c r="W5" s="2" t="s">
        <v>143</v>
      </c>
      <c r="X5" s="2" t="s">
        <v>144</v>
      </c>
      <c r="Y5" s="2" t="s">
        <v>145</v>
      </c>
      <c r="Z5" s="2" t="s">
        <v>67</v>
      </c>
      <c r="AA5" s="220"/>
      <c r="AB5" s="153" t="s">
        <v>63</v>
      </c>
      <c r="AC5" s="153" t="s">
        <v>65</v>
      </c>
      <c r="AD5" s="153" t="s">
        <v>121</v>
      </c>
      <c r="AE5" s="153" t="s">
        <v>122</v>
      </c>
      <c r="AF5" s="153" t="s">
        <v>123</v>
      </c>
      <c r="AG5" s="153" t="s">
        <v>124</v>
      </c>
      <c r="AH5" s="153" t="s">
        <v>125</v>
      </c>
      <c r="AI5" s="159" t="s">
        <v>139</v>
      </c>
      <c r="AJ5" s="153" t="s">
        <v>140</v>
      </c>
      <c r="AK5" s="153" t="s">
        <v>141</v>
      </c>
      <c r="AL5" s="153" t="s">
        <v>142</v>
      </c>
      <c r="AM5" s="153" t="s">
        <v>143</v>
      </c>
      <c r="AN5" s="153" t="s">
        <v>144</v>
      </c>
      <c r="AO5" s="153" t="s">
        <v>145</v>
      </c>
    </row>
    <row r="6" spans="1:41" x14ac:dyDescent="0.25">
      <c r="A6" s="4" t="s">
        <v>47</v>
      </c>
      <c r="B6" s="4">
        <v>557.03899999999999</v>
      </c>
      <c r="C6" s="4" t="s">
        <v>45</v>
      </c>
      <c r="D6" s="4"/>
      <c r="F6" s="4">
        <v>12</v>
      </c>
      <c r="G6" s="4">
        <f t="shared" ref="G6" si="0">100-F6</f>
        <v>88</v>
      </c>
      <c r="H6" s="4">
        <v>7.1999999999999998E-3</v>
      </c>
      <c r="I6" s="4">
        <f t="shared" ref="I6" si="1">1-H6</f>
        <v>0.99280000000000002</v>
      </c>
      <c r="J6" s="4">
        <f>'Fraksi Volume'!I14</f>
        <v>270.96331379065765</v>
      </c>
      <c r="K6" s="4">
        <f>'Fraksi Volume'!S14</f>
        <v>10.536451027630475</v>
      </c>
      <c r="L6" s="39">
        <f>$B$24*G6/100*H6*K6*$B$3/J6*1E-24</f>
        <v>1.4719917827056699E-4</v>
      </c>
      <c r="M6" s="39">
        <f>$B$24*G6/100*I6*K6*$B$3/J6*1E-24</f>
        <v>2.0297131137085964E-2</v>
      </c>
      <c r="N6" s="39">
        <f>$B$24*F6/100*$B$16*K6*$B$3/J6*1E-24</f>
        <v>1.2824170834178184E-4</v>
      </c>
      <c r="O6" s="39">
        <f>$B$24*F6/100*$B$17*K6*$B$3/J6*1E-24</f>
        <v>1.4078709285347789E-3</v>
      </c>
      <c r="P6" s="39">
        <f>$B$24*F6/100*$B$18*K6*$B$3/J6*1E-24</f>
        <v>6.6908717395712275E-4</v>
      </c>
      <c r="Q6" s="39">
        <f>$B$24*F6/100*$B$19*K6*$B$3/J6*1E-24</f>
        <v>3.4848290310266812E-4</v>
      </c>
      <c r="R6" s="39">
        <f>$B$24*F6/100*$B$20*K6*$B$3/J6*1E-24</f>
        <v>2.3418051088499296E-4</v>
      </c>
      <c r="S6" s="94">
        <f>2*$B$25*$B$31*K6*$B$3/J6*1E-24</f>
        <v>7.3998318301544278E-7</v>
      </c>
      <c r="T6" s="39">
        <f>2*$B$25*$B$32*K6*$B$3/J6*1E-24</f>
        <v>8.0658166948683271E-6</v>
      </c>
      <c r="U6" s="39">
        <f>2*$B$25*$B$33*K6*$B$3/J6*1E-24</f>
        <v>5.4758755543142773E-5</v>
      </c>
      <c r="V6" s="39">
        <f>2*$B$25*$B$34*K6*$B$3/J6*1E-24</f>
        <v>7.5737278781630576E-5</v>
      </c>
      <c r="W6" s="39">
        <f>2*$B$25*$B$35*K6*$B$3/J6*1E-24</f>
        <v>5.7903684070958398E-5</v>
      </c>
      <c r="X6" s="39">
        <f>2*$B$25*$B$36*K6*$B$3/J6*1E-24</f>
        <v>9.1905911330517989E-5</v>
      </c>
      <c r="Y6" s="39">
        <f>2*$B$25*$B$37*K6*$B$3/J6*1E-24</f>
        <v>8.0880161903587892E-5</v>
      </c>
      <c r="Z6" s="39">
        <f>7*((2*$B$24)+(3*$B$25))*$B$3*K6/J6*1E-24</f>
        <v>0.32913562127332124</v>
      </c>
      <c r="AA6" s="220"/>
      <c r="AB6" s="39">
        <f>L6*'Variasi HD'!$B$18</f>
        <v>4.3469474547671321E-5</v>
      </c>
      <c r="AC6" s="39">
        <f>M6*'Variasi HD'!$B$18</f>
        <v>5.9939575459622358E-3</v>
      </c>
      <c r="AD6" s="39">
        <f>N6*'Variasi HD'!$B$18</f>
        <v>3.7871133128653043E-5</v>
      </c>
      <c r="AE6" s="39">
        <f>O6*'Variasi HD'!$B$18</f>
        <v>4.1575917891238667E-4</v>
      </c>
      <c r="AF6" s="39">
        <f>P6*'Variasi HD'!$B$18</f>
        <v>1.9758852067123329E-4</v>
      </c>
      <c r="AG6" s="39">
        <f>Q6*'Variasi HD'!$B$18</f>
        <v>1.0291068784960069E-4</v>
      </c>
      <c r="AH6" s="39">
        <f>R6*'Variasi HD'!$B$18</f>
        <v>6.9155982234931653E-5</v>
      </c>
      <c r="AI6" s="39">
        <f>S6*'Variasi HD'!$B$18</f>
        <v>2.1852486214745698E-7</v>
      </c>
      <c r="AJ6" s="39">
        <f>T6*'Variasi HD'!$B$18</f>
        <v>2.3819209974072817E-6</v>
      </c>
      <c r="AK6" s="39">
        <f>U6*'Variasi HD'!$B$18</f>
        <v>1.6170839798911821E-5</v>
      </c>
      <c r="AL6" s="39">
        <f>V6*'Variasi HD'!$B$18</f>
        <v>2.2366019640792226E-5</v>
      </c>
      <c r="AM6" s="39">
        <f>W6*'Variasi HD'!$B$18</f>
        <v>1.7099570463038512E-5</v>
      </c>
      <c r="AN6" s="39">
        <f>X6*'Variasi HD'!$B$18</f>
        <v>2.7140787878714159E-5</v>
      </c>
      <c r="AO6" s="39">
        <f>Y6*'Variasi HD'!$B$18</f>
        <v>2.3884767432717049E-5</v>
      </c>
    </row>
    <row r="7" spans="1:41" x14ac:dyDescent="0.25">
      <c r="A7" s="13" t="s">
        <v>48</v>
      </c>
      <c r="B7" s="4">
        <v>9.0273999999999997E-3</v>
      </c>
      <c r="C7" s="4" t="s">
        <v>42</v>
      </c>
      <c r="D7" s="4" t="s">
        <v>41</v>
      </c>
    </row>
    <row r="8" spans="1:41" x14ac:dyDescent="0.25">
      <c r="A8" s="13" t="s">
        <v>49</v>
      </c>
      <c r="B8" s="106">
        <v>739.20935368907362</v>
      </c>
      <c r="C8" s="13" t="s">
        <v>45</v>
      </c>
      <c r="D8" s="13"/>
      <c r="F8" s="210" t="s">
        <v>68</v>
      </c>
      <c r="G8" s="217"/>
      <c r="H8" s="20" t="s">
        <v>69</v>
      </c>
      <c r="J8" s="210" t="s">
        <v>30</v>
      </c>
      <c r="K8" s="211"/>
      <c r="L8" s="20" t="s">
        <v>79</v>
      </c>
      <c r="M8" s="17"/>
      <c r="N8" s="210" t="s">
        <v>80</v>
      </c>
      <c r="O8" s="217"/>
      <c r="P8" s="20" t="s">
        <v>81</v>
      </c>
      <c r="R8" s="173" t="s">
        <v>374</v>
      </c>
      <c r="S8" s="173"/>
      <c r="T8" s="173"/>
      <c r="U8" s="173"/>
      <c r="V8" s="173"/>
    </row>
    <row r="9" spans="1:41" x14ac:dyDescent="0.25">
      <c r="A9" s="4" t="s">
        <v>50</v>
      </c>
      <c r="B9" s="4">
        <v>1850</v>
      </c>
      <c r="C9" s="4" t="s">
        <v>51</v>
      </c>
      <c r="D9" s="4"/>
      <c r="F9" s="28" t="s">
        <v>70</v>
      </c>
      <c r="G9" s="21"/>
      <c r="H9" s="22"/>
      <c r="J9" s="28" t="s">
        <v>83</v>
      </c>
      <c r="K9" s="21"/>
      <c r="L9" s="26"/>
      <c r="M9" s="21"/>
      <c r="N9" s="28" t="s">
        <v>83</v>
      </c>
      <c r="O9" s="21"/>
      <c r="P9" s="26"/>
      <c r="R9" s="4">
        <v>1000</v>
      </c>
      <c r="S9" s="4">
        <v>2000</v>
      </c>
      <c r="T9" s="129">
        <v>3000</v>
      </c>
      <c r="U9" s="129">
        <v>4000</v>
      </c>
      <c r="V9" s="129">
        <v>5000</v>
      </c>
    </row>
    <row r="10" spans="1:41" x14ac:dyDescent="0.25">
      <c r="A10" s="13" t="s">
        <v>52</v>
      </c>
      <c r="B10" s="106">
        <v>645.57216968162379</v>
      </c>
      <c r="C10" s="13" t="s">
        <v>45</v>
      </c>
      <c r="D10" s="13"/>
      <c r="F10" s="4">
        <v>4.0026018980937002</v>
      </c>
      <c r="G10" s="18"/>
      <c r="H10" s="22"/>
      <c r="J10" s="4">
        <f>D49</f>
        <v>91.524026957999979</v>
      </c>
      <c r="K10" s="18"/>
      <c r="L10" s="22"/>
      <c r="N10" s="4">
        <f>D32</f>
        <v>0</v>
      </c>
      <c r="O10" s="18"/>
      <c r="P10" s="22"/>
      <c r="R10" s="4">
        <v>6000</v>
      </c>
      <c r="S10" s="4">
        <v>8000</v>
      </c>
      <c r="T10" s="4">
        <v>10000</v>
      </c>
      <c r="U10" s="4">
        <v>12000</v>
      </c>
      <c r="V10" s="4">
        <v>14000</v>
      </c>
    </row>
    <row r="11" spans="1:41" x14ac:dyDescent="0.25">
      <c r="A11" s="4" t="s">
        <v>147</v>
      </c>
      <c r="B11" s="4">
        <v>7.41</v>
      </c>
      <c r="C11" s="4" t="s">
        <v>42</v>
      </c>
      <c r="D11" s="4"/>
      <c r="F11" s="214"/>
      <c r="G11" s="215"/>
      <c r="H11" s="216"/>
      <c r="J11" s="44"/>
      <c r="K11" s="45"/>
      <c r="L11" s="46"/>
      <c r="N11" s="164"/>
      <c r="O11" s="209"/>
      <c r="P11" s="209"/>
      <c r="R11" s="4">
        <v>16000</v>
      </c>
      <c r="S11" s="4">
        <v>20000</v>
      </c>
      <c r="T11" s="4">
        <v>24000</v>
      </c>
      <c r="U11" s="4">
        <v>28000</v>
      </c>
      <c r="V11" s="4">
        <v>32000</v>
      </c>
    </row>
    <row r="12" spans="1:41" x14ac:dyDescent="0.25">
      <c r="F12" s="28" t="s">
        <v>59</v>
      </c>
      <c r="G12" s="28" t="s">
        <v>60</v>
      </c>
      <c r="H12" s="28" t="s">
        <v>61</v>
      </c>
      <c r="J12" s="28" t="s">
        <v>59</v>
      </c>
      <c r="K12" s="28" t="s">
        <v>60</v>
      </c>
      <c r="L12" s="28" t="s">
        <v>61</v>
      </c>
      <c r="N12" s="28" t="s">
        <v>59</v>
      </c>
      <c r="O12" s="28" t="s">
        <v>60</v>
      </c>
      <c r="P12" s="28" t="s">
        <v>61</v>
      </c>
      <c r="R12" s="4">
        <v>40000</v>
      </c>
      <c r="S12" s="4">
        <v>48000</v>
      </c>
      <c r="T12" s="4">
        <v>56000</v>
      </c>
      <c r="U12" s="4">
        <v>64000</v>
      </c>
      <c r="V12" s="4">
        <v>72000</v>
      </c>
    </row>
    <row r="13" spans="1:41" x14ac:dyDescent="0.25">
      <c r="A13" s="164" t="s">
        <v>113</v>
      </c>
      <c r="B13" s="164"/>
      <c r="C13" s="164"/>
      <c r="F13" s="4" t="s">
        <v>74</v>
      </c>
      <c r="G13" s="4" t="s">
        <v>75</v>
      </c>
      <c r="H13" s="19">
        <f>B3*B7/F10*1E-24</f>
        <v>1.3582233696129912E-3</v>
      </c>
      <c r="J13" s="4" t="s">
        <v>82</v>
      </c>
      <c r="K13" s="4" t="s">
        <v>88</v>
      </c>
      <c r="L13" s="27">
        <f>$B$3*$B$41*B44*1E-24/$J$10</f>
        <v>4.2324966675679684E-2</v>
      </c>
      <c r="N13" s="4" t="s">
        <v>82</v>
      </c>
      <c r="O13" s="4" t="s">
        <v>88</v>
      </c>
      <c r="P13" s="19">
        <f>L13</f>
        <v>4.2324966675679684E-2</v>
      </c>
      <c r="R13" s="4">
        <v>80000</v>
      </c>
      <c r="S13" s="4">
        <v>104000</v>
      </c>
      <c r="T13" s="4">
        <v>128000</v>
      </c>
      <c r="U13" s="4">
        <v>152000</v>
      </c>
      <c r="V13" s="4">
        <v>176000</v>
      </c>
    </row>
    <row r="14" spans="1:41" x14ac:dyDescent="0.25">
      <c r="A14" s="13" t="s">
        <v>2</v>
      </c>
      <c r="B14" s="173" t="s">
        <v>114</v>
      </c>
      <c r="C14" s="173"/>
      <c r="J14" s="4" t="s">
        <v>84</v>
      </c>
      <c r="K14" s="4" t="s">
        <v>89</v>
      </c>
      <c r="L14" s="27">
        <f>$B$3*$B$41*B45*1E-24/$J$10</f>
        <v>6.4655779957348823E-4</v>
      </c>
      <c r="N14" s="4" t="s">
        <v>84</v>
      </c>
      <c r="O14" s="4" t="s">
        <v>89</v>
      </c>
      <c r="P14" s="19">
        <f>L14</f>
        <v>6.4655779957348823E-4</v>
      </c>
    </row>
    <row r="15" spans="1:41" x14ac:dyDescent="0.25">
      <c r="A15" s="2" t="s">
        <v>76</v>
      </c>
      <c r="B15" s="28" t="s">
        <v>77</v>
      </c>
      <c r="C15" s="28" t="s">
        <v>78</v>
      </c>
      <c r="J15" s="4" t="s">
        <v>85</v>
      </c>
      <c r="K15" s="4" t="s">
        <v>90</v>
      </c>
      <c r="L15" s="27">
        <f>$B$3*$B$41*B46*1E-24/$J$10</f>
        <v>8.6207706609798434E-5</v>
      </c>
      <c r="N15" s="4" t="s">
        <v>85</v>
      </c>
      <c r="O15" s="4" t="s">
        <v>90</v>
      </c>
      <c r="P15" s="19">
        <f>L15</f>
        <v>8.6207706609798434E-5</v>
      </c>
    </row>
    <row r="16" spans="1:41" x14ac:dyDescent="0.25">
      <c r="A16" s="13" t="s">
        <v>53</v>
      </c>
      <c r="B16" s="4">
        <f>4.6/100</f>
        <v>4.5999999999999999E-2</v>
      </c>
      <c r="C16" s="4">
        <v>238.04955989999999</v>
      </c>
      <c r="D16">
        <f>B16*C16</f>
        <v>10.950279755399999</v>
      </c>
      <c r="J16" s="4" t="s">
        <v>86</v>
      </c>
      <c r="K16" s="4" t="s">
        <v>92</v>
      </c>
      <c r="L16" s="27">
        <f>$B$3*$B$41*B47*1E-24/$J$10</f>
        <v>4.3103853304899217E-5</v>
      </c>
      <c r="N16" s="4" t="s">
        <v>86</v>
      </c>
      <c r="O16" s="4" t="s">
        <v>92</v>
      </c>
      <c r="P16" s="19">
        <f>L16</f>
        <v>4.3103853304899217E-5</v>
      </c>
    </row>
    <row r="17" spans="1:16" x14ac:dyDescent="0.25">
      <c r="A17" s="13" t="s">
        <v>54</v>
      </c>
      <c r="B17" s="4">
        <f>50.5/100</f>
        <v>0.505</v>
      </c>
      <c r="C17" s="4">
        <v>239.05216340000001</v>
      </c>
      <c r="D17">
        <f>B17*C17</f>
        <v>120.72134251700001</v>
      </c>
      <c r="J17" s="4" t="s">
        <v>87</v>
      </c>
      <c r="K17" s="4" t="s">
        <v>94</v>
      </c>
      <c r="L17" s="27">
        <f>$B$3*$B$41*B48*1E-24/$J$10</f>
        <v>3.0172697313429449E-6</v>
      </c>
      <c r="N17" s="4" t="s">
        <v>87</v>
      </c>
      <c r="O17" s="4" t="s">
        <v>94</v>
      </c>
      <c r="P17" s="19">
        <f>L17</f>
        <v>3.0172697313429449E-6</v>
      </c>
    </row>
    <row r="18" spans="1:16" ht="15" customHeight="1" x14ac:dyDescent="0.25">
      <c r="A18" s="13" t="s">
        <v>55</v>
      </c>
      <c r="B18" s="4">
        <f>24/100</f>
        <v>0.24</v>
      </c>
      <c r="C18" s="4">
        <v>240.05381349999999</v>
      </c>
      <c r="D18">
        <f>B18*C18</f>
        <v>57.612915239999992</v>
      </c>
    </row>
    <row r="19" spans="1:16" x14ac:dyDescent="0.25">
      <c r="A19" s="13" t="s">
        <v>56</v>
      </c>
      <c r="B19" s="4">
        <f>12.5/100</f>
        <v>0.125</v>
      </c>
      <c r="C19" s="43">
        <v>241.05685149999999</v>
      </c>
      <c r="D19">
        <f>B19*C19</f>
        <v>30.132106437499999</v>
      </c>
      <c r="F19" s="210" t="s">
        <v>31</v>
      </c>
      <c r="G19" s="211"/>
      <c r="H19" s="20" t="s">
        <v>96</v>
      </c>
      <c r="J19" s="210" t="s">
        <v>91</v>
      </c>
      <c r="K19" s="211"/>
      <c r="L19" s="28" t="s">
        <v>105</v>
      </c>
      <c r="N19" s="210" t="s">
        <v>212</v>
      </c>
      <c r="O19" s="217"/>
      <c r="P19" s="105" t="s">
        <v>213</v>
      </c>
    </row>
    <row r="20" spans="1:16" x14ac:dyDescent="0.25">
      <c r="A20" s="13" t="s">
        <v>57</v>
      </c>
      <c r="B20" s="4">
        <f>8.4/100</f>
        <v>8.4000000000000005E-2</v>
      </c>
      <c r="C20" s="43">
        <v>242.05874259999999</v>
      </c>
      <c r="D20">
        <f>B20*C20</f>
        <v>20.332934378400001</v>
      </c>
      <c r="F20" s="28" t="s">
        <v>98</v>
      </c>
      <c r="G20" s="21"/>
      <c r="H20" s="26"/>
      <c r="J20" s="28" t="s">
        <v>107</v>
      </c>
      <c r="K20" s="18"/>
      <c r="L20" s="22"/>
      <c r="N20" s="105" t="s">
        <v>214</v>
      </c>
      <c r="O20" s="21"/>
      <c r="P20" s="22"/>
    </row>
    <row r="21" spans="1:16" x14ac:dyDescent="0.25">
      <c r="D21">
        <f>SUM(D16:D20)</f>
        <v>239.7495783283</v>
      </c>
      <c r="F21" s="4">
        <f>(2*1.00790548)+15.99940493</f>
        <v>18.01521589</v>
      </c>
      <c r="G21" s="18"/>
      <c r="H21" s="22"/>
      <c r="J21" s="4">
        <f>D64</f>
        <v>55.032952715149506</v>
      </c>
      <c r="K21" s="18"/>
      <c r="L21" s="22"/>
      <c r="N21" s="4">
        <f>D82</f>
        <v>55.235364606774297</v>
      </c>
      <c r="O21" s="18"/>
      <c r="P21" s="22"/>
    </row>
    <row r="22" spans="1:16" x14ac:dyDescent="0.25">
      <c r="F22" s="214"/>
      <c r="G22" s="215"/>
      <c r="H22" s="216"/>
      <c r="J22" s="23"/>
      <c r="K22" s="18"/>
      <c r="L22" s="22"/>
      <c r="N22" s="214"/>
      <c r="O22" s="215"/>
      <c r="P22" s="216"/>
    </row>
    <row r="23" spans="1:16" x14ac:dyDescent="0.25">
      <c r="A23" s="178" t="s">
        <v>126</v>
      </c>
      <c r="B23" s="179"/>
      <c r="F23" s="28" t="s">
        <v>59</v>
      </c>
      <c r="G23" s="28" t="s">
        <v>60</v>
      </c>
      <c r="H23" s="28" t="s">
        <v>61</v>
      </c>
      <c r="J23" s="28" t="s">
        <v>59</v>
      </c>
      <c r="K23" s="28" t="s">
        <v>60</v>
      </c>
      <c r="L23" s="28" t="s">
        <v>61</v>
      </c>
      <c r="N23" s="105" t="s">
        <v>59</v>
      </c>
      <c r="O23" s="105" t="s">
        <v>60</v>
      </c>
      <c r="P23" s="105" t="s">
        <v>61</v>
      </c>
    </row>
    <row r="24" spans="1:16" x14ac:dyDescent="0.25">
      <c r="A24" s="4" t="s">
        <v>113</v>
      </c>
      <c r="B24" s="34">
        <v>0.99209999999999998</v>
      </c>
      <c r="F24" s="4" t="s">
        <v>101</v>
      </c>
      <c r="G24" s="4" t="s">
        <v>102</v>
      </c>
      <c r="H24" s="19">
        <f>2*$B$3/$F$21*$B$5*1E-24</f>
        <v>5.0356327781491024E-2</v>
      </c>
      <c r="J24" s="4" t="s">
        <v>85</v>
      </c>
      <c r="K24" s="4" t="s">
        <v>90</v>
      </c>
      <c r="L24" s="19">
        <f t="shared" ref="L24:L31" si="2">B56*$B$3*$B$53*1E-24/$J$21</f>
        <v>5.8561438956644285E-2</v>
      </c>
      <c r="N24" s="4" t="s">
        <v>99</v>
      </c>
      <c r="O24" s="4" t="s">
        <v>108</v>
      </c>
      <c r="P24" s="19">
        <f>B74*$B$3*$B$71/$N$21*1E-24</f>
        <v>1.2211013374957949E-5</v>
      </c>
    </row>
    <row r="25" spans="1:16" x14ac:dyDescent="0.25">
      <c r="A25" s="4" t="s">
        <v>127</v>
      </c>
      <c r="B25" s="4">
        <v>7.9000000000000008E-3</v>
      </c>
      <c r="F25" s="4" t="s">
        <v>66</v>
      </c>
      <c r="G25" s="4" t="s">
        <v>67</v>
      </c>
      <c r="H25" s="19">
        <f>1*$B$3/$F$21*$B$5*1E-24</f>
        <v>2.5178163890745512E-2</v>
      </c>
      <c r="J25" s="4" t="s">
        <v>99</v>
      </c>
      <c r="K25" s="4" t="s">
        <v>108</v>
      </c>
      <c r="L25" s="19">
        <f t="shared" si="2"/>
        <v>2.626269779055727E-5</v>
      </c>
      <c r="N25" s="13" t="s">
        <v>106</v>
      </c>
      <c r="O25" s="4" t="s">
        <v>112</v>
      </c>
      <c r="P25" s="19">
        <f t="shared" ref="P25:P31" si="3">B75*$B$3*$B$71/$N$21*1E-24</f>
        <v>4.3610762053421259E-4</v>
      </c>
    </row>
    <row r="26" spans="1:16" x14ac:dyDescent="0.25">
      <c r="J26" s="4" t="s">
        <v>86</v>
      </c>
      <c r="K26" s="4" t="s">
        <v>92</v>
      </c>
      <c r="L26" s="19">
        <f t="shared" si="2"/>
        <v>1.7508465193704852E-2</v>
      </c>
      <c r="N26" s="13" t="s">
        <v>103</v>
      </c>
      <c r="O26" s="4" t="s">
        <v>371</v>
      </c>
      <c r="P26" s="19">
        <f t="shared" si="3"/>
        <v>2.0060950544573778E-5</v>
      </c>
    </row>
    <row r="27" spans="1:16" x14ac:dyDescent="0.25">
      <c r="A27" s="4" t="s">
        <v>128</v>
      </c>
      <c r="B27" s="4">
        <v>157.25209770539999</v>
      </c>
      <c r="C27">
        <f>2*B27</f>
        <v>314.50419541079998</v>
      </c>
      <c r="J27" s="4" t="s">
        <v>100</v>
      </c>
      <c r="K27" s="4" t="s">
        <v>109</v>
      </c>
      <c r="L27" s="19">
        <f t="shared" si="2"/>
        <v>1.7508465193704851E-3</v>
      </c>
      <c r="N27" s="13" t="s">
        <v>104</v>
      </c>
      <c r="O27" s="4" t="s">
        <v>111</v>
      </c>
      <c r="P27" s="19">
        <f t="shared" si="3"/>
        <v>1.3083228616026375E-5</v>
      </c>
    </row>
    <row r="28" spans="1:16" x14ac:dyDescent="0.25">
      <c r="A28" s="4" t="s">
        <v>129</v>
      </c>
      <c r="B28" s="35">
        <v>15.999404928358299</v>
      </c>
      <c r="C28">
        <f>B28*3</f>
        <v>47.998214785074893</v>
      </c>
      <c r="J28" s="4" t="s">
        <v>87</v>
      </c>
      <c r="K28" s="4" t="s">
        <v>94</v>
      </c>
      <c r="L28" s="19">
        <f t="shared" si="2"/>
        <v>8.7542325968524258E-3</v>
      </c>
      <c r="N28" s="13" t="s">
        <v>86</v>
      </c>
      <c r="O28" s="4" t="s">
        <v>92</v>
      </c>
      <c r="P28" s="19">
        <f t="shared" si="3"/>
        <v>1.6572089580300077E-2</v>
      </c>
    </row>
    <row r="29" spans="1:16" x14ac:dyDescent="0.25">
      <c r="B29" s="18"/>
      <c r="C29">
        <f>SUM(C27:C28)</f>
        <v>362.50241019587486</v>
      </c>
      <c r="J29" s="4" t="s">
        <v>103</v>
      </c>
      <c r="K29" s="4" t="s">
        <v>110</v>
      </c>
      <c r="L29" s="19">
        <f t="shared" si="2"/>
        <v>3.9394046685835918E-5</v>
      </c>
      <c r="N29" s="13" t="s">
        <v>100</v>
      </c>
      <c r="O29" s="4" t="s">
        <v>109</v>
      </c>
      <c r="P29" s="19">
        <f t="shared" si="3"/>
        <v>8.7221524106842517E-4</v>
      </c>
    </row>
    <row r="30" spans="1:16" x14ac:dyDescent="0.25">
      <c r="A30" s="28" t="s">
        <v>130</v>
      </c>
      <c r="B30" s="36" t="s">
        <v>77</v>
      </c>
      <c r="J30" s="4" t="s">
        <v>104</v>
      </c>
      <c r="K30" s="4" t="s">
        <v>111</v>
      </c>
      <c r="L30" s="19">
        <f t="shared" si="2"/>
        <v>2.626269779055727E-5</v>
      </c>
      <c r="N30" s="13" t="s">
        <v>85</v>
      </c>
      <c r="O30" s="4" t="s">
        <v>90</v>
      </c>
      <c r="P30" s="19">
        <f t="shared" si="3"/>
        <v>6.0573604061719979E-2</v>
      </c>
    </row>
    <row r="31" spans="1:16" x14ac:dyDescent="0.25">
      <c r="A31" s="37" t="s">
        <v>131</v>
      </c>
      <c r="B31" s="38">
        <v>2E-3</v>
      </c>
      <c r="J31" s="4" t="s">
        <v>106</v>
      </c>
      <c r="K31" s="4" t="s">
        <v>112</v>
      </c>
      <c r="L31" s="19">
        <f t="shared" si="2"/>
        <v>8.7542325968524256E-4</v>
      </c>
      <c r="N31" s="13" t="s">
        <v>87</v>
      </c>
      <c r="O31" s="4" t="s">
        <v>94</v>
      </c>
      <c r="P31" s="19">
        <f t="shared" si="3"/>
        <v>8.7221524106842509E-3</v>
      </c>
    </row>
    <row r="32" spans="1:16" x14ac:dyDescent="0.25">
      <c r="A32" s="37" t="s">
        <v>132</v>
      </c>
      <c r="B32" s="38">
        <v>2.18E-2</v>
      </c>
    </row>
    <row r="33" spans="1:4" x14ac:dyDescent="0.25">
      <c r="A33" s="37" t="s">
        <v>133</v>
      </c>
      <c r="B33" s="38">
        <v>0.14800000000000002</v>
      </c>
    </row>
    <row r="34" spans="1:4" x14ac:dyDescent="0.25">
      <c r="A34" s="37" t="s">
        <v>134</v>
      </c>
      <c r="B34" s="38">
        <v>0.20469999999999999</v>
      </c>
    </row>
    <row r="35" spans="1:4" x14ac:dyDescent="0.25">
      <c r="A35" s="37" t="s">
        <v>135</v>
      </c>
      <c r="B35" s="38">
        <v>0.1565</v>
      </c>
    </row>
    <row r="36" spans="1:4" x14ac:dyDescent="0.25">
      <c r="A36" s="37" t="s">
        <v>136</v>
      </c>
      <c r="B36" s="38">
        <v>0.24840000000000001</v>
      </c>
    </row>
    <row r="37" spans="1:4" x14ac:dyDescent="0.25">
      <c r="A37" s="37" t="s">
        <v>137</v>
      </c>
      <c r="B37" s="38">
        <v>0.21859999999999999</v>
      </c>
    </row>
    <row r="39" spans="1:4" x14ac:dyDescent="0.25">
      <c r="A39" s="178" t="s">
        <v>71</v>
      </c>
      <c r="B39" s="221"/>
      <c r="C39" s="179"/>
    </row>
    <row r="40" spans="1:4" x14ac:dyDescent="0.25">
      <c r="A40" s="13" t="s">
        <v>2</v>
      </c>
      <c r="B40" s="212" t="s">
        <v>72</v>
      </c>
      <c r="C40" s="213"/>
    </row>
    <row r="41" spans="1:4" x14ac:dyDescent="0.25">
      <c r="A41" s="4" t="s">
        <v>73</v>
      </c>
      <c r="B41" s="4">
        <v>6.5508899999999999</v>
      </c>
      <c r="C41" s="4" t="s">
        <v>42</v>
      </c>
    </row>
    <row r="42" spans="1:4" x14ac:dyDescent="0.25">
      <c r="A42" s="23"/>
      <c r="B42" s="18"/>
      <c r="C42" s="22"/>
    </row>
    <row r="43" spans="1:4" x14ac:dyDescent="0.25">
      <c r="A43" s="2" t="s">
        <v>76</v>
      </c>
      <c r="B43" s="28" t="s">
        <v>77</v>
      </c>
      <c r="C43" s="28" t="s">
        <v>78</v>
      </c>
    </row>
    <row r="44" spans="1:4" x14ac:dyDescent="0.25">
      <c r="A44" s="2" t="s">
        <v>82</v>
      </c>
      <c r="B44" s="25">
        <v>0.98192999999999997</v>
      </c>
      <c r="C44" s="25">
        <v>91.224000000000004</v>
      </c>
      <c r="D44">
        <f>B44*C44</f>
        <v>89.575582319999995</v>
      </c>
    </row>
    <row r="45" spans="1:4" x14ac:dyDescent="0.25">
      <c r="A45" s="15" t="s">
        <v>84</v>
      </c>
      <c r="B45" s="25">
        <v>1.4999999999999999E-2</v>
      </c>
      <c r="C45" s="25">
        <v>118.71</v>
      </c>
      <c r="D45">
        <f>B45*C45</f>
        <v>1.7806499999999998</v>
      </c>
    </row>
    <row r="46" spans="1:4" x14ac:dyDescent="0.25">
      <c r="A46" s="15" t="s">
        <v>85</v>
      </c>
      <c r="B46" s="25">
        <v>2E-3</v>
      </c>
      <c r="C46" s="25">
        <v>55.844999999999999</v>
      </c>
      <c r="D46">
        <f>B46*C46</f>
        <v>0.11169</v>
      </c>
    </row>
    <row r="47" spans="1:4" x14ac:dyDescent="0.25">
      <c r="A47" s="15" t="s">
        <v>86</v>
      </c>
      <c r="B47" s="25">
        <v>1E-3</v>
      </c>
      <c r="C47" s="25">
        <v>51.996099999999998</v>
      </c>
      <c r="D47">
        <f>B47*C47</f>
        <v>5.1996099999999996E-2</v>
      </c>
    </row>
    <row r="48" spans="1:4" x14ac:dyDescent="0.25">
      <c r="A48" s="15" t="s">
        <v>87</v>
      </c>
      <c r="B48" s="25">
        <v>6.9999999999999994E-5</v>
      </c>
      <c r="C48" s="25">
        <v>58.693399999999997</v>
      </c>
      <c r="D48">
        <f>B48*C48</f>
        <v>4.1085379999999993E-3</v>
      </c>
    </row>
    <row r="49" spans="1:4" x14ac:dyDescent="0.25">
      <c r="D49">
        <f>SUM(D44:D48)</f>
        <v>91.524026957999979</v>
      </c>
    </row>
    <row r="51" spans="1:4" x14ac:dyDescent="0.25">
      <c r="A51" s="173" t="s">
        <v>91</v>
      </c>
      <c r="B51" s="173"/>
      <c r="C51" s="173"/>
    </row>
    <row r="52" spans="1:4" x14ac:dyDescent="0.25">
      <c r="A52" s="29" t="s">
        <v>2</v>
      </c>
      <c r="B52" s="173" t="s">
        <v>93</v>
      </c>
      <c r="C52" s="173"/>
    </row>
    <row r="53" spans="1:4" x14ac:dyDescent="0.25">
      <c r="A53" s="4" t="s">
        <v>73</v>
      </c>
      <c r="B53" s="4">
        <v>8</v>
      </c>
      <c r="C53" s="4" t="s">
        <v>95</v>
      </c>
    </row>
    <row r="54" spans="1:4" x14ac:dyDescent="0.25">
      <c r="A54" s="23"/>
      <c r="B54" s="18"/>
      <c r="C54" s="22"/>
    </row>
    <row r="55" spans="1:4" x14ac:dyDescent="0.25">
      <c r="A55" s="28" t="s">
        <v>97</v>
      </c>
      <c r="B55" s="28" t="s">
        <v>77</v>
      </c>
      <c r="C55" s="28" t="s">
        <v>78</v>
      </c>
    </row>
    <row r="56" spans="1:4" x14ac:dyDescent="0.25">
      <c r="A56" s="4" t="s">
        <v>85</v>
      </c>
      <c r="B56" s="4">
        <f>1-(SUM(B57:B63))</f>
        <v>0.66894999999999993</v>
      </c>
      <c r="C56" s="4">
        <v>55.845150199999999</v>
      </c>
      <c r="D56">
        <f t="shared" ref="D56:D63" si="4">C56*B56</f>
        <v>37.357613226289999</v>
      </c>
    </row>
    <row r="57" spans="1:4" x14ac:dyDescent="0.25">
      <c r="A57" s="4" t="s">
        <v>99</v>
      </c>
      <c r="B57" s="4">
        <f>0.03/100</f>
        <v>2.9999999999999997E-4</v>
      </c>
      <c r="C57" s="4">
        <v>12.0107359</v>
      </c>
      <c r="D57">
        <f t="shared" si="4"/>
        <v>3.6032207699999998E-3</v>
      </c>
    </row>
    <row r="58" spans="1:4" x14ac:dyDescent="0.25">
      <c r="A58" s="4" t="s">
        <v>86</v>
      </c>
      <c r="B58" s="4">
        <f>20/100</f>
        <v>0.2</v>
      </c>
      <c r="C58" s="4">
        <v>51.996137500000003</v>
      </c>
      <c r="D58">
        <f t="shared" si="4"/>
        <v>10.399227500000002</v>
      </c>
    </row>
    <row r="59" spans="1:4" x14ac:dyDescent="0.25">
      <c r="A59" s="4" t="s">
        <v>100</v>
      </c>
      <c r="B59" s="4">
        <f>2/100</f>
        <v>0.02</v>
      </c>
      <c r="C59" s="30">
        <v>54.938049599999999</v>
      </c>
      <c r="D59">
        <f t="shared" si="4"/>
        <v>1.0987609920000001</v>
      </c>
    </row>
    <row r="60" spans="1:4" x14ac:dyDescent="0.25">
      <c r="A60" s="4" t="s">
        <v>87</v>
      </c>
      <c r="B60" s="4">
        <f>10/100</f>
        <v>0.1</v>
      </c>
      <c r="C60" s="4">
        <v>58.693356299999998</v>
      </c>
      <c r="D60">
        <f t="shared" si="4"/>
        <v>5.8693356300000001</v>
      </c>
    </row>
    <row r="61" spans="1:4" x14ac:dyDescent="0.25">
      <c r="A61" s="4" t="s">
        <v>103</v>
      </c>
      <c r="B61" s="4">
        <f>0.045/100</f>
        <v>4.4999999999999999E-4</v>
      </c>
      <c r="C61" s="30">
        <v>30.973761509999999</v>
      </c>
      <c r="D61">
        <f t="shared" si="4"/>
        <v>1.39381926795E-2</v>
      </c>
    </row>
    <row r="62" spans="1:4" x14ac:dyDescent="0.25">
      <c r="A62" s="4" t="s">
        <v>104</v>
      </c>
      <c r="B62" s="4">
        <f>0.03/100</f>
        <v>2.9999999999999997E-4</v>
      </c>
      <c r="C62" s="4">
        <v>32.066084699999998</v>
      </c>
      <c r="D62">
        <f t="shared" si="4"/>
        <v>9.6198254099999977E-3</v>
      </c>
    </row>
    <row r="63" spans="1:4" x14ac:dyDescent="0.25">
      <c r="A63" s="4" t="s">
        <v>106</v>
      </c>
      <c r="B63" s="4">
        <f>1/100</f>
        <v>0.01</v>
      </c>
      <c r="C63" s="4">
        <v>28.0854128</v>
      </c>
      <c r="D63">
        <f t="shared" si="4"/>
        <v>0.28085412800000004</v>
      </c>
    </row>
    <row r="64" spans="1:4" x14ac:dyDescent="0.25">
      <c r="D64">
        <f>SUM(D56:D63)</f>
        <v>55.032952715149506</v>
      </c>
    </row>
    <row r="66" spans="1:4" x14ac:dyDescent="0.25">
      <c r="A66" s="173" t="s">
        <v>138</v>
      </c>
      <c r="B66" s="173"/>
      <c r="C66" s="173"/>
    </row>
    <row r="67" spans="1:4" x14ac:dyDescent="0.25">
      <c r="A67" s="113" t="s">
        <v>255</v>
      </c>
      <c r="B67" s="130">
        <f>200+25+15</f>
        <v>240</v>
      </c>
      <c r="C67" s="130" t="s">
        <v>154</v>
      </c>
    </row>
    <row r="68" spans="1:4" x14ac:dyDescent="0.25">
      <c r="A68" s="113" t="s">
        <v>368</v>
      </c>
      <c r="B68" s="130">
        <v>12.5</v>
      </c>
      <c r="C68" s="130" t="s">
        <v>154</v>
      </c>
    </row>
    <row r="69" spans="1:4" x14ac:dyDescent="0.25">
      <c r="A69" s="113" t="s">
        <v>369</v>
      </c>
      <c r="B69" s="130">
        <v>14</v>
      </c>
      <c r="C69" s="130" t="s">
        <v>154</v>
      </c>
    </row>
    <row r="70" spans="1:4" x14ac:dyDescent="0.25">
      <c r="A70" s="29" t="s">
        <v>2</v>
      </c>
      <c r="B70" s="212" t="s">
        <v>370</v>
      </c>
      <c r="C70" s="213"/>
    </row>
    <row r="71" spans="1:4" x14ac:dyDescent="0.25">
      <c r="A71" s="4" t="s">
        <v>73</v>
      </c>
      <c r="B71" s="4">
        <v>8</v>
      </c>
      <c r="C71" s="4" t="s">
        <v>95</v>
      </c>
    </row>
    <row r="73" spans="1:4" x14ac:dyDescent="0.25">
      <c r="A73" s="105" t="s">
        <v>97</v>
      </c>
      <c r="B73" s="105" t="s">
        <v>77</v>
      </c>
      <c r="C73" s="105" t="s">
        <v>78</v>
      </c>
    </row>
    <row r="74" spans="1:4" x14ac:dyDescent="0.25">
      <c r="A74" s="4" t="s">
        <v>99</v>
      </c>
      <c r="B74" s="4">
        <v>1.3999999999999999E-4</v>
      </c>
      <c r="C74" s="4">
        <v>12.0107359</v>
      </c>
      <c r="D74">
        <f>B74*C74</f>
        <v>1.6815030259999999E-3</v>
      </c>
    </row>
    <row r="75" spans="1:4" x14ac:dyDescent="0.25">
      <c r="A75" s="13" t="s">
        <v>106</v>
      </c>
      <c r="B75" s="4">
        <v>5.0000000000000001E-3</v>
      </c>
      <c r="C75" s="4">
        <v>28.0854128</v>
      </c>
      <c r="D75">
        <f t="shared" ref="D75:D81" si="5">B75*C75</f>
        <v>0.14042706400000002</v>
      </c>
    </row>
    <row r="76" spans="1:4" x14ac:dyDescent="0.25">
      <c r="A76" s="13" t="s">
        <v>103</v>
      </c>
      <c r="B76" s="4">
        <v>2.3000000000000001E-4</v>
      </c>
      <c r="C76" s="30">
        <v>30.973761509999999</v>
      </c>
      <c r="D76">
        <f t="shared" si="5"/>
        <v>7.1239651472999998E-3</v>
      </c>
    </row>
    <row r="77" spans="1:4" x14ac:dyDescent="0.25">
      <c r="A77" s="13" t="s">
        <v>104</v>
      </c>
      <c r="B77" s="4">
        <v>1.4999999999999999E-4</v>
      </c>
      <c r="C77" s="4">
        <v>32.066084699999998</v>
      </c>
      <c r="D77">
        <f t="shared" si="5"/>
        <v>4.8099127049999989E-3</v>
      </c>
    </row>
    <row r="78" spans="1:4" x14ac:dyDescent="0.25">
      <c r="A78" s="13" t="s">
        <v>86</v>
      </c>
      <c r="B78" s="4">
        <v>0.19</v>
      </c>
      <c r="C78" s="4">
        <v>51.996137500000003</v>
      </c>
      <c r="D78">
        <f t="shared" si="5"/>
        <v>9.8792661250000009</v>
      </c>
    </row>
    <row r="79" spans="1:4" x14ac:dyDescent="0.25">
      <c r="A79" s="13" t="s">
        <v>100</v>
      </c>
      <c r="B79" s="4">
        <v>0.01</v>
      </c>
      <c r="C79" s="30">
        <v>54.938049599999999</v>
      </c>
      <c r="D79">
        <f t="shared" si="5"/>
        <v>0.54938049600000005</v>
      </c>
    </row>
    <row r="80" spans="1:4" x14ac:dyDescent="0.25">
      <c r="A80" s="13" t="s">
        <v>85</v>
      </c>
      <c r="B80" s="4">
        <v>0.69447999999999999</v>
      </c>
      <c r="C80" s="4">
        <v>55.845150199999999</v>
      </c>
      <c r="D80">
        <f t="shared" si="5"/>
        <v>38.783339910895997</v>
      </c>
    </row>
    <row r="81" spans="1:4" x14ac:dyDescent="0.25">
      <c r="A81" s="13" t="s">
        <v>87</v>
      </c>
      <c r="B81" s="4">
        <v>0.1</v>
      </c>
      <c r="C81" s="4">
        <v>58.693356299999998</v>
      </c>
      <c r="D81">
        <f t="shared" si="5"/>
        <v>5.8693356300000001</v>
      </c>
    </row>
    <row r="82" spans="1:4" x14ac:dyDescent="0.25">
      <c r="D82">
        <f>SUM(D74:D81)</f>
        <v>55.235364606774297</v>
      </c>
    </row>
  </sheetData>
  <mergeCells count="31">
    <mergeCell ref="F3:I3"/>
    <mergeCell ref="F8:G8"/>
    <mergeCell ref="N8:O8"/>
    <mergeCell ref="J4:J5"/>
    <mergeCell ref="F22:H22"/>
    <mergeCell ref="F11:H11"/>
    <mergeCell ref="N11:P11"/>
    <mergeCell ref="F19:G19"/>
    <mergeCell ref="N19:O19"/>
    <mergeCell ref="N22:P22"/>
    <mergeCell ref="F4:F5"/>
    <mergeCell ref="G4:G5"/>
    <mergeCell ref="H4:H5"/>
    <mergeCell ref="I4:I5"/>
    <mergeCell ref="K4:K5"/>
    <mergeCell ref="AA4:AA6"/>
    <mergeCell ref="R8:V8"/>
    <mergeCell ref="B70:C70"/>
    <mergeCell ref="A1:D1"/>
    <mergeCell ref="A13:C13"/>
    <mergeCell ref="B14:C14"/>
    <mergeCell ref="A23:B23"/>
    <mergeCell ref="A39:C39"/>
    <mergeCell ref="L3:Z3"/>
    <mergeCell ref="B40:C40"/>
    <mergeCell ref="A51:C51"/>
    <mergeCell ref="B52:C52"/>
    <mergeCell ref="A66:C66"/>
    <mergeCell ref="J8:K8"/>
    <mergeCell ref="J19:K19"/>
    <mergeCell ref="J3:K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73"/>
  <sheetViews>
    <sheetView tabSelected="1" topLeftCell="M1" zoomScale="99" zoomScaleNormal="100" workbookViewId="0">
      <selection activeCell="X8" sqref="X8:AB8"/>
    </sheetView>
  </sheetViews>
  <sheetFormatPr defaultRowHeight="15" x14ac:dyDescent="0.25"/>
  <cols>
    <col min="6" max="6" width="8" bestFit="1" customWidth="1"/>
    <col min="7" max="8" width="12" bestFit="1" customWidth="1"/>
    <col min="9" max="13" width="16.7109375" bestFit="1" customWidth="1"/>
    <col min="14" max="14" width="12" bestFit="1" customWidth="1"/>
    <col min="22" max="22" width="12" bestFit="1" customWidth="1"/>
    <col min="23" max="28" width="16.7109375" bestFit="1" customWidth="1"/>
    <col min="29" max="29" width="12" bestFit="1" customWidth="1"/>
    <col min="31" max="31" width="10.28515625" bestFit="1" customWidth="1"/>
    <col min="32" max="32" width="10.85546875" bestFit="1" customWidth="1"/>
    <col min="34" max="34" width="11.5703125" bestFit="1" customWidth="1"/>
    <col min="35" max="35" width="10.5703125" bestFit="1" customWidth="1"/>
    <col min="36" max="36" width="12.7109375" bestFit="1" customWidth="1"/>
    <col min="37" max="40" width="10.5703125" bestFit="1" customWidth="1"/>
    <col min="43" max="43" width="3" bestFit="1" customWidth="1"/>
    <col min="44" max="44" width="10.85546875" bestFit="1" customWidth="1"/>
    <col min="45" max="45" width="12.5703125" bestFit="1" customWidth="1"/>
    <col min="46" max="46" width="3" bestFit="1" customWidth="1"/>
    <col min="47" max="47" width="10.85546875" bestFit="1" customWidth="1"/>
    <col min="48" max="48" width="12.5703125" bestFit="1" customWidth="1"/>
    <col min="49" max="49" width="3" bestFit="1" customWidth="1"/>
    <col min="50" max="50" width="10.85546875" bestFit="1" customWidth="1"/>
    <col min="51" max="51" width="12.5703125" bestFit="1" customWidth="1"/>
    <col min="52" max="52" width="3" bestFit="1" customWidth="1"/>
    <col min="53" max="53" width="10.85546875" bestFit="1" customWidth="1"/>
    <col min="54" max="54" width="12.5703125" bestFit="1" customWidth="1"/>
    <col min="55" max="55" width="3" bestFit="1" customWidth="1"/>
    <col min="57" max="58" width="12.5703125" bestFit="1" customWidth="1"/>
    <col min="59" max="59" width="7.5703125" bestFit="1" customWidth="1"/>
    <col min="60" max="65" width="12.5703125" bestFit="1" customWidth="1"/>
  </cols>
  <sheetData>
    <row r="1" spans="1:65" x14ac:dyDescent="0.25">
      <c r="G1" s="51" t="s">
        <v>256</v>
      </c>
      <c r="H1" s="13">
        <v>0</v>
      </c>
      <c r="I1" s="13">
        <v>12</v>
      </c>
      <c r="J1" s="13">
        <v>12</v>
      </c>
      <c r="K1" s="11">
        <v>12</v>
      </c>
      <c r="L1" s="13">
        <v>12</v>
      </c>
      <c r="M1" s="13">
        <v>12</v>
      </c>
      <c r="V1" s="51" t="s">
        <v>256</v>
      </c>
      <c r="W1" s="13">
        <v>0</v>
      </c>
      <c r="X1" s="13">
        <v>12</v>
      </c>
      <c r="Y1" s="13">
        <v>12</v>
      </c>
      <c r="Z1" s="11">
        <v>12</v>
      </c>
      <c r="AA1" s="13">
        <v>12</v>
      </c>
      <c r="AB1" s="13">
        <v>12</v>
      </c>
    </row>
    <row r="2" spans="1:65" x14ac:dyDescent="0.25">
      <c r="G2" s="50" t="s">
        <v>152</v>
      </c>
      <c r="H2" s="91">
        <v>165</v>
      </c>
      <c r="I2" s="91">
        <v>115</v>
      </c>
      <c r="J2" s="91">
        <v>140</v>
      </c>
      <c r="K2" s="142">
        <v>165</v>
      </c>
      <c r="L2" s="91">
        <v>190</v>
      </c>
      <c r="M2" s="91">
        <v>215</v>
      </c>
      <c r="V2" s="89" t="s">
        <v>152</v>
      </c>
      <c r="W2" s="91">
        <v>165</v>
      </c>
      <c r="X2" s="91">
        <v>115</v>
      </c>
      <c r="Y2" s="91">
        <v>140</v>
      </c>
      <c r="Z2" s="142">
        <v>165</v>
      </c>
      <c r="AA2" s="91">
        <v>190</v>
      </c>
      <c r="AB2" s="91">
        <v>215</v>
      </c>
    </row>
    <row r="3" spans="1:65" x14ac:dyDescent="0.25">
      <c r="A3" s="52"/>
      <c r="B3" s="52"/>
      <c r="C3" s="52"/>
      <c r="D3" s="52"/>
      <c r="E3" s="52"/>
      <c r="F3" s="52"/>
      <c r="G3" s="50" t="s">
        <v>255</v>
      </c>
      <c r="H3" s="92">
        <v>200</v>
      </c>
      <c r="I3" s="63">
        <v>569.07674497406003</v>
      </c>
      <c r="J3" s="63">
        <v>352.127721121467</v>
      </c>
      <c r="K3" s="143">
        <v>200</v>
      </c>
      <c r="L3" s="63">
        <v>164.40213655589301</v>
      </c>
      <c r="M3" s="63">
        <v>121.318487753078</v>
      </c>
      <c r="V3" s="89" t="s">
        <v>255</v>
      </c>
      <c r="W3" s="92">
        <v>200</v>
      </c>
      <c r="X3" s="63">
        <v>569.07674497406003</v>
      </c>
      <c r="Y3" s="63">
        <v>352.127721121467</v>
      </c>
      <c r="Z3" s="143">
        <v>200</v>
      </c>
      <c r="AA3" s="63">
        <v>164.40213655589301</v>
      </c>
      <c r="AB3" s="63">
        <v>121.318487753078</v>
      </c>
    </row>
    <row r="4" spans="1:65" x14ac:dyDescent="0.25">
      <c r="A4" s="52"/>
      <c r="B4" s="52"/>
      <c r="C4" s="52"/>
      <c r="D4" s="52"/>
      <c r="E4" s="52"/>
      <c r="F4" s="52"/>
      <c r="G4" s="89" t="s">
        <v>223</v>
      </c>
      <c r="H4" s="93">
        <f>H3/H2</f>
        <v>1.2121212121212122</v>
      </c>
      <c r="I4" s="93">
        <f t="shared" ref="I4:M4" si="0">I3/I2</f>
        <v>4.9484934345570437</v>
      </c>
      <c r="J4" s="93">
        <f>J3/J2</f>
        <v>2.5151980080104788</v>
      </c>
      <c r="K4" s="144">
        <f>K3/K2</f>
        <v>1.2121212121212122</v>
      </c>
      <c r="L4" s="93">
        <f t="shared" si="0"/>
        <v>0.86527440292575264</v>
      </c>
      <c r="M4" s="93">
        <f t="shared" si="0"/>
        <v>0.56427203606082788</v>
      </c>
      <c r="V4" s="89" t="s">
        <v>223</v>
      </c>
      <c r="W4" s="93">
        <f>W3/W2</f>
        <v>1.2121212121212122</v>
      </c>
      <c r="X4" s="93">
        <f t="shared" ref="X4" si="1">X3/X2</f>
        <v>4.9484934345570437</v>
      </c>
      <c r="Y4" s="93">
        <f>Y3/Y2</f>
        <v>2.5151980080104788</v>
      </c>
      <c r="Z4" s="144">
        <f>Z3/Z2</f>
        <v>1.2121212121212122</v>
      </c>
      <c r="AA4" s="93">
        <f t="shared" ref="AA4:AB4" si="2">AA3/AA2</f>
        <v>0.86527440292575264</v>
      </c>
      <c r="AB4" s="93">
        <f t="shared" si="2"/>
        <v>0.56427203606082788</v>
      </c>
    </row>
    <row r="5" spans="1:65" x14ac:dyDescent="0.25">
      <c r="G5" s="50" t="s">
        <v>225</v>
      </c>
      <c r="H5" s="4">
        <v>23</v>
      </c>
      <c r="I5" s="4">
        <v>9</v>
      </c>
      <c r="J5" s="4">
        <v>17</v>
      </c>
      <c r="K5" s="11">
        <v>23</v>
      </c>
      <c r="L5" s="4">
        <v>31</v>
      </c>
      <c r="M5" s="4">
        <v>37</v>
      </c>
      <c r="V5" s="89" t="s">
        <v>225</v>
      </c>
      <c r="W5" s="4">
        <v>23</v>
      </c>
      <c r="X5" s="4">
        <v>9</v>
      </c>
      <c r="Y5" s="4">
        <v>17</v>
      </c>
      <c r="Z5" s="11">
        <v>23</v>
      </c>
      <c r="AA5" s="4">
        <v>31</v>
      </c>
      <c r="AB5" s="4">
        <v>37</v>
      </c>
    </row>
    <row r="6" spans="1:65" x14ac:dyDescent="0.25">
      <c r="A6" s="53"/>
      <c r="B6" s="53"/>
      <c r="C6" s="53"/>
      <c r="D6" s="53"/>
      <c r="E6" s="53"/>
      <c r="F6" s="53"/>
      <c r="G6" s="50" t="s">
        <v>224</v>
      </c>
      <c r="H6">
        <v>14</v>
      </c>
      <c r="I6" s="4">
        <v>4</v>
      </c>
      <c r="J6" s="4">
        <v>4</v>
      </c>
      <c r="K6" s="11">
        <v>14</v>
      </c>
      <c r="L6" s="4">
        <v>14</v>
      </c>
      <c r="M6" s="4">
        <v>24</v>
      </c>
      <c r="N6" s="18"/>
      <c r="P6" s="53"/>
      <c r="Q6" s="53"/>
      <c r="R6" s="53"/>
      <c r="S6" s="53"/>
      <c r="T6" s="53"/>
      <c r="U6" s="54"/>
      <c r="V6" s="89" t="s">
        <v>224</v>
      </c>
      <c r="W6">
        <v>14</v>
      </c>
      <c r="X6" s="4">
        <v>4</v>
      </c>
      <c r="Y6" s="4">
        <v>4</v>
      </c>
      <c r="Z6" s="11">
        <v>14</v>
      </c>
      <c r="AA6" s="4">
        <v>14</v>
      </c>
      <c r="AB6" s="4">
        <v>24</v>
      </c>
      <c r="AF6" s="203" t="s">
        <v>236</v>
      </c>
      <c r="AG6" s="203"/>
      <c r="AH6" s="203"/>
      <c r="AI6" s="203"/>
      <c r="AJ6" s="203"/>
      <c r="AK6" s="203"/>
      <c r="AL6" s="203"/>
      <c r="AM6" s="203"/>
      <c r="AN6" s="203"/>
      <c r="AQ6" s="226" t="s">
        <v>381</v>
      </c>
      <c r="AR6" s="226"/>
      <c r="AS6" s="226"/>
      <c r="AT6" s="226"/>
      <c r="AU6" s="226"/>
      <c r="AV6" s="226"/>
      <c r="AW6" s="226"/>
      <c r="AX6" s="226"/>
      <c r="AY6" s="226"/>
      <c r="AZ6" s="226"/>
      <c r="BA6" s="226"/>
      <c r="BB6" s="226"/>
      <c r="BC6" s="226"/>
      <c r="BD6" s="226"/>
      <c r="BE6" s="226"/>
      <c r="BF6" s="226"/>
      <c r="BG6" s="226"/>
      <c r="BH6" s="226"/>
      <c r="BI6" s="226"/>
      <c r="BJ6" s="226"/>
      <c r="BK6" s="226"/>
      <c r="BL6" s="226"/>
      <c r="BM6" s="226"/>
    </row>
    <row r="7" spans="1:65" ht="15" customHeight="1" x14ac:dyDescent="0.25">
      <c r="A7" s="225" t="s">
        <v>237</v>
      </c>
      <c r="B7" s="55"/>
      <c r="C7" s="225" t="s">
        <v>238</v>
      </c>
      <c r="D7" s="219" t="s">
        <v>239</v>
      </c>
      <c r="E7" s="225" t="s">
        <v>240</v>
      </c>
      <c r="F7" s="225" t="s">
        <v>241</v>
      </c>
      <c r="G7" s="230"/>
      <c r="H7" s="173" t="s">
        <v>243</v>
      </c>
      <c r="I7" s="173"/>
      <c r="J7" s="173"/>
      <c r="K7" s="173"/>
      <c r="L7" s="173"/>
      <c r="M7" s="173"/>
      <c r="P7" s="224" t="s">
        <v>237</v>
      </c>
      <c r="Q7" s="55"/>
      <c r="R7" s="224" t="s">
        <v>238</v>
      </c>
      <c r="S7" s="218" t="s">
        <v>239</v>
      </c>
      <c r="T7" s="224" t="s">
        <v>240</v>
      </c>
      <c r="U7" s="224" t="s">
        <v>241</v>
      </c>
      <c r="V7" s="231"/>
      <c r="W7" s="203" t="s">
        <v>244</v>
      </c>
      <c r="X7" s="203"/>
      <c r="Y7" s="203"/>
      <c r="Z7" s="203"/>
      <c r="AA7" s="203"/>
      <c r="AB7" s="203"/>
      <c r="AC7" s="56"/>
      <c r="AD7" s="56"/>
      <c r="AF7" s="203" t="s">
        <v>237</v>
      </c>
      <c r="AG7" s="203" t="s">
        <v>242</v>
      </c>
      <c r="AH7" s="203" t="s">
        <v>245</v>
      </c>
      <c r="AI7" s="203"/>
      <c r="AJ7" s="203"/>
      <c r="AK7" s="203"/>
      <c r="AL7" s="203"/>
      <c r="AM7" s="203"/>
      <c r="AN7" s="203"/>
      <c r="AQ7" s="226" t="s">
        <v>270</v>
      </c>
      <c r="AR7" s="226"/>
      <c r="AS7" s="226"/>
      <c r="AT7" s="226"/>
      <c r="AU7" s="226"/>
      <c r="AV7" s="226"/>
      <c r="AW7" s="226"/>
      <c r="AX7" s="226"/>
      <c r="AY7" s="226"/>
      <c r="AZ7" s="226"/>
      <c r="BA7" s="226"/>
      <c r="BB7" s="226"/>
      <c r="BC7" s="226"/>
      <c r="BD7" s="226"/>
      <c r="BE7" s="226"/>
      <c r="BH7" s="203" t="s">
        <v>271</v>
      </c>
      <c r="BI7" s="203"/>
      <c r="BJ7" s="203"/>
      <c r="BK7" s="203"/>
      <c r="BL7" s="203"/>
      <c r="BM7" s="203"/>
    </row>
    <row r="8" spans="1:65" x14ac:dyDescent="0.25">
      <c r="A8" s="203"/>
      <c r="B8" s="50"/>
      <c r="C8" s="203"/>
      <c r="D8" s="172"/>
      <c r="E8" s="203"/>
      <c r="F8" s="203"/>
      <c r="G8" s="230" t="s">
        <v>242</v>
      </c>
      <c r="H8" s="50" t="s">
        <v>246</v>
      </c>
      <c r="I8" s="50" t="s">
        <v>392</v>
      </c>
      <c r="J8" s="50" t="s">
        <v>393</v>
      </c>
      <c r="K8" s="145" t="s">
        <v>394</v>
      </c>
      <c r="L8" s="50" t="s">
        <v>395</v>
      </c>
      <c r="M8" s="50" t="s">
        <v>396</v>
      </c>
      <c r="N8" s="57" t="s">
        <v>247</v>
      </c>
      <c r="P8" s="225"/>
      <c r="Q8" s="50"/>
      <c r="R8" s="225"/>
      <c r="S8" s="219"/>
      <c r="T8" s="225"/>
      <c r="U8" s="225"/>
      <c r="V8" s="231" t="s">
        <v>242</v>
      </c>
      <c r="W8" s="50" t="s">
        <v>246</v>
      </c>
      <c r="X8" s="162" t="s">
        <v>392</v>
      </c>
      <c r="Y8" s="162" t="s">
        <v>393</v>
      </c>
      <c r="Z8" s="145" t="s">
        <v>394</v>
      </c>
      <c r="AA8" s="162" t="s">
        <v>395</v>
      </c>
      <c r="AB8" s="162" t="s">
        <v>396</v>
      </c>
      <c r="AC8" s="57" t="s">
        <v>247</v>
      </c>
      <c r="AD8" s="56"/>
      <c r="AF8" s="203"/>
      <c r="AG8" s="203"/>
      <c r="AH8" s="139" t="s">
        <v>62</v>
      </c>
      <c r="AI8" s="139" t="s">
        <v>248</v>
      </c>
      <c r="AJ8" s="139" t="s">
        <v>64</v>
      </c>
      <c r="AK8" s="139" t="s">
        <v>54</v>
      </c>
      <c r="AL8" s="139" t="s">
        <v>55</v>
      </c>
      <c r="AM8" s="139" t="s">
        <v>56</v>
      </c>
      <c r="AN8" s="139" t="s">
        <v>57</v>
      </c>
      <c r="AR8" s="154" t="s">
        <v>375</v>
      </c>
      <c r="AS8" s="19">
        <v>131.11959999999999</v>
      </c>
      <c r="AU8" s="154" t="s">
        <v>375</v>
      </c>
      <c r="AV8" s="19">
        <v>103.6721</v>
      </c>
      <c r="AX8" s="150" t="s">
        <v>375</v>
      </c>
      <c r="AY8" s="19">
        <v>79.897580000000005</v>
      </c>
      <c r="AZ8" s="140"/>
      <c r="BA8" s="150" t="s">
        <v>375</v>
      </c>
      <c r="BB8" s="19">
        <v>66.338999999999999</v>
      </c>
      <c r="BD8" s="150" t="s">
        <v>375</v>
      </c>
      <c r="BE8" s="19">
        <v>58.737050000000004</v>
      </c>
      <c r="BH8" s="162" t="s">
        <v>272</v>
      </c>
      <c r="BI8" s="162" t="s">
        <v>387</v>
      </c>
      <c r="BJ8" s="162" t="s">
        <v>388</v>
      </c>
      <c r="BK8" s="162" t="s">
        <v>389</v>
      </c>
      <c r="BL8" s="162" t="s">
        <v>390</v>
      </c>
      <c r="BM8" s="162" t="s">
        <v>391</v>
      </c>
    </row>
    <row r="9" spans="1:65" x14ac:dyDescent="0.25">
      <c r="A9" s="4" t="s">
        <v>249</v>
      </c>
      <c r="B9" s="4">
        <v>1</v>
      </c>
      <c r="C9" s="4">
        <v>1</v>
      </c>
      <c r="D9" s="4">
        <v>0</v>
      </c>
      <c r="E9" s="4">
        <f>D9</f>
        <v>0</v>
      </c>
      <c r="F9" s="4">
        <f>E9</f>
        <v>0</v>
      </c>
      <c r="G9" s="4">
        <f>F9/365.25</f>
        <v>0</v>
      </c>
      <c r="H9" s="4">
        <v>1.1035820999999999</v>
      </c>
      <c r="I9" s="62">
        <v>1.0972325000000001</v>
      </c>
      <c r="J9" s="62">
        <v>1.0651698999999999</v>
      </c>
      <c r="K9" s="146">
        <v>1.0745932</v>
      </c>
      <c r="L9" s="62">
        <v>1.1578549</v>
      </c>
      <c r="M9" s="62">
        <v>1.1557086000000001</v>
      </c>
      <c r="N9" t="s">
        <v>250</v>
      </c>
      <c r="P9" s="4" t="s">
        <v>249</v>
      </c>
      <c r="Q9" s="4">
        <v>1</v>
      </c>
      <c r="R9" s="4">
        <v>1</v>
      </c>
      <c r="S9" s="4">
        <v>0</v>
      </c>
      <c r="T9" s="4">
        <f>S9</f>
        <v>0</v>
      </c>
      <c r="U9" s="4">
        <f>T9</f>
        <v>0</v>
      </c>
      <c r="V9" s="4">
        <f>U9/365.25</f>
        <v>0</v>
      </c>
      <c r="W9" s="12">
        <v>0.45779999999999998</v>
      </c>
      <c r="X9" s="62">
        <v>0.53731499999999999</v>
      </c>
      <c r="Y9" s="59">
        <v>0.59265299999999999</v>
      </c>
      <c r="Z9" s="116">
        <v>0.622004</v>
      </c>
      <c r="AA9" s="59">
        <v>0.568523</v>
      </c>
      <c r="AB9" s="59">
        <v>0.567388</v>
      </c>
      <c r="AC9" t="s">
        <v>250</v>
      </c>
      <c r="AE9" s="149">
        <f>AH9/(AH9+AJ9)</f>
        <v>4.1862521150138353E-2</v>
      </c>
      <c r="AF9" s="188" t="s">
        <v>246</v>
      </c>
      <c r="AG9" s="4">
        <v>0</v>
      </c>
      <c r="AH9" s="160">
        <v>390170</v>
      </c>
      <c r="AI9" s="161">
        <v>0</v>
      </c>
      <c r="AJ9" s="161">
        <v>8930100</v>
      </c>
      <c r="AK9" s="160">
        <v>0</v>
      </c>
      <c r="AL9" s="161">
        <v>0</v>
      </c>
      <c r="AM9" s="161">
        <v>0</v>
      </c>
      <c r="AN9" s="161">
        <v>0</v>
      </c>
      <c r="AR9" s="154" t="s">
        <v>272</v>
      </c>
      <c r="AS9" s="154" t="s">
        <v>380</v>
      </c>
      <c r="AT9" s="155"/>
      <c r="AU9" s="154" t="s">
        <v>272</v>
      </c>
      <c r="AV9" s="154" t="s">
        <v>251</v>
      </c>
      <c r="AW9" s="151"/>
      <c r="AX9" s="150" t="s">
        <v>272</v>
      </c>
      <c r="AY9" s="150" t="s">
        <v>253</v>
      </c>
      <c r="AZ9" s="21"/>
      <c r="BA9" s="150" t="s">
        <v>272</v>
      </c>
      <c r="BB9" s="150" t="s">
        <v>254</v>
      </c>
      <c r="BC9" s="151"/>
      <c r="BD9" s="150" t="s">
        <v>272</v>
      </c>
      <c r="BE9" s="150" t="s">
        <v>383</v>
      </c>
      <c r="BG9" s="98" t="s">
        <v>273</v>
      </c>
      <c r="BH9" s="117">
        <v>0</v>
      </c>
      <c r="BI9" s="19">
        <f>$AS$8*AS10</f>
        <v>0</v>
      </c>
      <c r="BJ9" s="19">
        <f>$AV$8*AV10</f>
        <v>0</v>
      </c>
      <c r="BK9" s="19">
        <f>$AY$8*AY10</f>
        <v>0</v>
      </c>
      <c r="BL9" s="19">
        <f>$BB$8*BB10</f>
        <v>0</v>
      </c>
      <c r="BM9" s="19">
        <f>$BE$8*BE10</f>
        <v>0</v>
      </c>
    </row>
    <row r="10" spans="1:65" x14ac:dyDescent="0.25">
      <c r="A10" s="4"/>
      <c r="B10" s="4">
        <v>2</v>
      </c>
      <c r="C10" s="4">
        <v>2</v>
      </c>
      <c r="D10" s="4">
        <v>24</v>
      </c>
      <c r="E10" s="4">
        <f>E9+D10</f>
        <v>24</v>
      </c>
      <c r="F10" s="4">
        <f>E10/24</f>
        <v>1</v>
      </c>
      <c r="G10" s="4">
        <f>F10/365.25</f>
        <v>2.7378507871321013E-3</v>
      </c>
      <c r="H10" s="4">
        <v>1.0720516</v>
      </c>
      <c r="I10" s="62">
        <v>1.0891244</v>
      </c>
      <c r="J10" s="62">
        <v>1.0569284000000001</v>
      </c>
      <c r="K10" s="114">
        <v>1.0656914</v>
      </c>
      <c r="L10" s="62">
        <v>1.1491612</v>
      </c>
      <c r="M10" s="62">
        <v>1.1475297</v>
      </c>
      <c r="P10" s="4"/>
      <c r="Q10" s="4">
        <v>2</v>
      </c>
      <c r="R10" s="4">
        <v>2</v>
      </c>
      <c r="S10" s="4">
        <v>24</v>
      </c>
      <c r="T10" s="4">
        <f>T9+S10</f>
        <v>24</v>
      </c>
      <c r="U10" s="4">
        <f>T10/24</f>
        <v>1</v>
      </c>
      <c r="V10" s="4">
        <f>U10/365.25</f>
        <v>2.7378507871321013E-3</v>
      </c>
      <c r="W10" s="12">
        <v>0.46750000000000003</v>
      </c>
      <c r="X10" s="62">
        <v>0.54032999999999998</v>
      </c>
      <c r="Y10" s="59">
        <v>0.59571200000000002</v>
      </c>
      <c r="Z10" s="59">
        <v>0.62578400000000001</v>
      </c>
      <c r="AA10" s="59">
        <v>0.57155100000000003</v>
      </c>
      <c r="AB10" s="59">
        <v>0.57031699999999996</v>
      </c>
      <c r="AF10" s="189"/>
      <c r="AG10" s="4">
        <v>1</v>
      </c>
      <c r="AH10" s="161">
        <v>334300</v>
      </c>
      <c r="AI10" s="161">
        <v>10651</v>
      </c>
      <c r="AJ10" s="161">
        <v>8895500</v>
      </c>
      <c r="AK10" s="161">
        <v>21006</v>
      </c>
      <c r="AL10" s="161">
        <v>2309</v>
      </c>
      <c r="AM10" s="161">
        <v>865.22</v>
      </c>
      <c r="AN10" s="161">
        <v>72.168999999999997</v>
      </c>
      <c r="AQ10" s="95">
        <v>1</v>
      </c>
      <c r="AR10" s="118">
        <v>0</v>
      </c>
      <c r="AS10" s="119">
        <v>0</v>
      </c>
      <c r="AT10" s="95">
        <v>1</v>
      </c>
      <c r="AU10" s="118">
        <v>0</v>
      </c>
      <c r="AV10" s="120">
        <v>0</v>
      </c>
      <c r="AW10" s="95">
        <v>1</v>
      </c>
      <c r="AX10" s="118">
        <v>0</v>
      </c>
      <c r="AY10" s="122">
        <v>0</v>
      </c>
      <c r="AZ10" s="95">
        <v>1</v>
      </c>
      <c r="BA10" s="118">
        <v>0</v>
      </c>
      <c r="BB10" s="122">
        <v>0</v>
      </c>
      <c r="BC10" s="95">
        <v>1</v>
      </c>
      <c r="BD10" s="118">
        <v>0</v>
      </c>
      <c r="BE10" s="120">
        <v>0</v>
      </c>
      <c r="BH10" s="119">
        <f>14.7624/2</f>
        <v>7.3811999999999998</v>
      </c>
      <c r="BI10" s="19">
        <f t="shared" ref="BI10:BI47" si="3">$AS$8*AS11</f>
        <v>0</v>
      </c>
      <c r="BJ10" s="19">
        <f t="shared" ref="BJ10:BJ47" si="4">$AV$8*AV11</f>
        <v>0</v>
      </c>
      <c r="BK10" s="19">
        <f t="shared" ref="BK10:BK47" si="5">$AY$8*AY11</f>
        <v>0</v>
      </c>
      <c r="BL10" s="19">
        <f t="shared" ref="BL10:BL47" si="6">$BB$8*BB11</f>
        <v>0</v>
      </c>
      <c r="BM10" s="19">
        <f t="shared" ref="BM10:BM47" si="7">$BE$8*BE11</f>
        <v>0</v>
      </c>
    </row>
    <row r="11" spans="1:65" x14ac:dyDescent="0.25">
      <c r="A11" s="4"/>
      <c r="B11" s="4">
        <v>3</v>
      </c>
      <c r="C11" s="4">
        <v>3</v>
      </c>
      <c r="D11" s="4">
        <v>96</v>
      </c>
      <c r="E11" s="4">
        <f t="shared" ref="E11:E73" si="8">E10+D11</f>
        <v>120</v>
      </c>
      <c r="F11" s="4">
        <f t="shared" ref="F11:F73" si="9">E11/24</f>
        <v>5</v>
      </c>
      <c r="G11" s="4">
        <f t="shared" ref="G11:G73" si="10">F11/365.25</f>
        <v>1.3689253935660506E-2</v>
      </c>
      <c r="H11" s="4">
        <v>1.0714644</v>
      </c>
      <c r="I11" s="62">
        <v>1.0890249000000001</v>
      </c>
      <c r="J11" s="62">
        <v>1.0569109999999999</v>
      </c>
      <c r="K11" s="114">
        <v>1.0656106000000001</v>
      </c>
      <c r="L11" s="62">
        <v>1.1490127000000001</v>
      </c>
      <c r="M11" s="62">
        <v>1.1473854999999999</v>
      </c>
      <c r="P11" s="4"/>
      <c r="Q11" s="4">
        <v>3</v>
      </c>
      <c r="R11" s="4">
        <v>3</v>
      </c>
      <c r="S11" s="4">
        <v>96</v>
      </c>
      <c r="T11" s="4">
        <f t="shared" ref="T11:T73" si="11">T10+S11</f>
        <v>120</v>
      </c>
      <c r="U11" s="4">
        <f t="shared" ref="U11:U20" si="12">T11/24</f>
        <v>5</v>
      </c>
      <c r="V11" s="4">
        <f t="shared" ref="V11:V73" si="13">U11/365.25</f>
        <v>1.3689253935660506E-2</v>
      </c>
      <c r="W11" s="12">
        <v>0.46768999999999999</v>
      </c>
      <c r="X11" s="62">
        <v>0.54039800000000004</v>
      </c>
      <c r="Y11" s="59">
        <v>0.59576200000000001</v>
      </c>
      <c r="Z11" s="59">
        <v>0.62583999999999995</v>
      </c>
      <c r="AA11" s="59">
        <v>0.57162100000000005</v>
      </c>
      <c r="AB11" s="59">
        <v>0.57038699999999998</v>
      </c>
      <c r="AF11" s="189"/>
      <c r="AG11" s="4">
        <v>3</v>
      </c>
      <c r="AH11" s="161">
        <v>242380</v>
      </c>
      <c r="AI11" s="161">
        <v>27145</v>
      </c>
      <c r="AJ11" s="161">
        <v>8819700</v>
      </c>
      <c r="AK11" s="161">
        <v>43225</v>
      </c>
      <c r="AL11" s="161">
        <v>9752.7000000000007</v>
      </c>
      <c r="AM11" s="161">
        <v>5417.8</v>
      </c>
      <c r="AN11" s="161">
        <v>1097.9000000000001</v>
      </c>
      <c r="AQ11" s="96">
        <v>2</v>
      </c>
      <c r="AR11" s="118">
        <f>14.7624/2</f>
        <v>7.3811999999999998</v>
      </c>
      <c r="AS11" s="121">
        <v>0</v>
      </c>
      <c r="AT11" s="97"/>
      <c r="AU11" s="119">
        <f>14.7624/2</f>
        <v>7.3811999999999998</v>
      </c>
      <c r="AV11" s="12">
        <v>0</v>
      </c>
      <c r="AW11" s="97">
        <v>2</v>
      </c>
      <c r="AX11" s="119">
        <f>14.7624/2</f>
        <v>7.3811999999999998</v>
      </c>
      <c r="AY11" s="122">
        <v>0</v>
      </c>
      <c r="AZ11" s="97">
        <v>2</v>
      </c>
      <c r="BA11" s="119">
        <f>14.7624/2</f>
        <v>7.3811999999999998</v>
      </c>
      <c r="BB11" s="122">
        <v>0</v>
      </c>
      <c r="BC11" s="97">
        <v>2</v>
      </c>
      <c r="BD11" s="119">
        <f>14.7624/2</f>
        <v>7.3811999999999998</v>
      </c>
      <c r="BE11" s="121">
        <v>0</v>
      </c>
      <c r="BH11" s="119">
        <f>2*BH10</f>
        <v>14.7624</v>
      </c>
      <c r="BI11" s="19">
        <f t="shared" si="3"/>
        <v>0</v>
      </c>
      <c r="BJ11" s="19">
        <f t="shared" si="4"/>
        <v>0</v>
      </c>
      <c r="BK11" s="19">
        <f t="shared" si="5"/>
        <v>0</v>
      </c>
      <c r="BL11" s="19">
        <f t="shared" si="6"/>
        <v>0</v>
      </c>
      <c r="BM11" s="19">
        <f t="shared" si="7"/>
        <v>0</v>
      </c>
    </row>
    <row r="12" spans="1:65" x14ac:dyDescent="0.25">
      <c r="A12" s="4"/>
      <c r="B12" s="4">
        <v>4</v>
      </c>
      <c r="C12" s="4">
        <v>4</v>
      </c>
      <c r="D12" s="4">
        <v>120</v>
      </c>
      <c r="E12" s="4">
        <f t="shared" si="8"/>
        <v>240</v>
      </c>
      <c r="F12" s="4">
        <f t="shared" si="9"/>
        <v>10</v>
      </c>
      <c r="G12" s="4">
        <f t="shared" si="10"/>
        <v>2.7378507871321012E-2</v>
      </c>
      <c r="H12" s="4">
        <v>1.0695281999999999</v>
      </c>
      <c r="I12" s="62">
        <v>1.0883054999999999</v>
      </c>
      <c r="J12" s="62">
        <v>1.056173</v>
      </c>
      <c r="K12" s="114">
        <v>1.0648196000000001</v>
      </c>
      <c r="L12" s="62">
        <v>1.1481367</v>
      </c>
      <c r="M12" s="62">
        <v>1.1465783000000001</v>
      </c>
      <c r="P12" s="4"/>
      <c r="Q12" s="4">
        <v>4</v>
      </c>
      <c r="R12" s="4">
        <v>4</v>
      </c>
      <c r="S12" s="4">
        <v>120</v>
      </c>
      <c r="T12" s="4">
        <f t="shared" si="11"/>
        <v>240</v>
      </c>
      <c r="U12" s="4">
        <f t="shared" si="12"/>
        <v>10</v>
      </c>
      <c r="V12" s="4">
        <f t="shared" si="13"/>
        <v>2.7378507871321012E-2</v>
      </c>
      <c r="W12" s="12">
        <v>0.46812199999999998</v>
      </c>
      <c r="X12" s="62">
        <v>0.54064699999999999</v>
      </c>
      <c r="Y12" s="59">
        <v>0.59597100000000003</v>
      </c>
      <c r="Z12" s="59">
        <v>0.62611899999999998</v>
      </c>
      <c r="AA12" s="59">
        <v>0.57188600000000001</v>
      </c>
      <c r="AB12" s="59">
        <v>0.57064199999999998</v>
      </c>
      <c r="AF12" s="190"/>
      <c r="AG12" s="4">
        <v>5</v>
      </c>
      <c r="AH12" s="161">
        <v>167840</v>
      </c>
      <c r="AI12" s="161">
        <v>39480</v>
      </c>
      <c r="AJ12" s="161">
        <v>8740200</v>
      </c>
      <c r="AK12" s="161">
        <v>54287</v>
      </c>
      <c r="AL12" s="161">
        <v>16925</v>
      </c>
      <c r="AM12" s="161">
        <v>10355</v>
      </c>
      <c r="AN12" s="161">
        <v>3044.1</v>
      </c>
      <c r="AQ12" s="95">
        <v>3</v>
      </c>
      <c r="AR12" s="118">
        <f>2*AR11</f>
        <v>14.7624</v>
      </c>
      <c r="AS12" s="121">
        <v>0</v>
      </c>
      <c r="AT12" s="95"/>
      <c r="AU12" s="119">
        <f>2*AU11</f>
        <v>14.7624</v>
      </c>
      <c r="AV12" s="12">
        <v>0</v>
      </c>
      <c r="AW12" s="95">
        <v>3</v>
      </c>
      <c r="AX12" s="119">
        <f>2*AX11</f>
        <v>14.7624</v>
      </c>
      <c r="AY12" s="122">
        <v>0</v>
      </c>
      <c r="AZ12" s="95">
        <v>3</v>
      </c>
      <c r="BA12" s="119">
        <f>2*BA11</f>
        <v>14.7624</v>
      </c>
      <c r="BB12" s="122">
        <v>0</v>
      </c>
      <c r="BC12" s="95">
        <v>3</v>
      </c>
      <c r="BD12" s="119">
        <f>2*BD11</f>
        <v>14.7624</v>
      </c>
      <c r="BE12" s="121">
        <v>0</v>
      </c>
      <c r="BH12" s="119">
        <f>BH11+5.2376</f>
        <v>20</v>
      </c>
      <c r="BI12" s="19">
        <f t="shared" si="3"/>
        <v>0</v>
      </c>
      <c r="BJ12" s="19">
        <f t="shared" si="4"/>
        <v>0</v>
      </c>
      <c r="BK12" s="19">
        <f t="shared" si="5"/>
        <v>0</v>
      </c>
      <c r="BL12" s="19">
        <f t="shared" si="6"/>
        <v>0</v>
      </c>
      <c r="BM12" s="19">
        <f t="shared" si="7"/>
        <v>0</v>
      </c>
    </row>
    <row r="13" spans="1:65" x14ac:dyDescent="0.25">
      <c r="A13" s="4"/>
      <c r="B13" s="4">
        <v>5</v>
      </c>
      <c r="C13" s="4">
        <v>5</v>
      </c>
      <c r="D13" s="4">
        <v>240</v>
      </c>
      <c r="E13" s="4">
        <f t="shared" si="8"/>
        <v>480</v>
      </c>
      <c r="F13" s="4">
        <f t="shared" si="9"/>
        <v>20</v>
      </c>
      <c r="G13" s="4">
        <f t="shared" si="10"/>
        <v>5.4757015742642023E-2</v>
      </c>
      <c r="H13" s="4">
        <v>1.0671405</v>
      </c>
      <c r="I13" s="62">
        <v>1.0872067000000001</v>
      </c>
      <c r="J13" s="62">
        <v>1.0553128000000001</v>
      </c>
      <c r="K13" s="114">
        <v>1.0638406</v>
      </c>
      <c r="L13" s="62">
        <v>1.1470545999999999</v>
      </c>
      <c r="M13" s="62">
        <v>1.1455685</v>
      </c>
      <c r="P13" s="4"/>
      <c r="Q13" s="4">
        <v>5</v>
      </c>
      <c r="R13" s="4">
        <v>5</v>
      </c>
      <c r="S13" s="4">
        <v>240</v>
      </c>
      <c r="T13" s="4">
        <f t="shared" si="11"/>
        <v>480</v>
      </c>
      <c r="U13" s="4">
        <f t="shared" si="12"/>
        <v>20</v>
      </c>
      <c r="V13" s="4">
        <f t="shared" si="13"/>
        <v>5.4757015742642023E-2</v>
      </c>
      <c r="W13" s="12">
        <v>0.46866799999999997</v>
      </c>
      <c r="X13" s="62">
        <v>0.54095899999999997</v>
      </c>
      <c r="Y13" s="59">
        <v>0.59622799999999998</v>
      </c>
      <c r="Z13" s="59">
        <v>0.62646999999999997</v>
      </c>
      <c r="AA13" s="59">
        <v>0.572214</v>
      </c>
      <c r="AB13" s="59">
        <v>0.57096400000000003</v>
      </c>
      <c r="AE13" s="149">
        <f>AH13/(AH13+AJ13)</f>
        <v>7.1096942095305871E-3</v>
      </c>
      <c r="AF13" s="188" t="s">
        <v>226</v>
      </c>
      <c r="AG13" s="4">
        <v>0</v>
      </c>
      <c r="AH13" s="161">
        <v>58621</v>
      </c>
      <c r="AI13" s="161">
        <v>0</v>
      </c>
      <c r="AJ13" s="161">
        <v>8186600</v>
      </c>
      <c r="AK13" s="161">
        <v>570230</v>
      </c>
      <c r="AL13" s="161">
        <v>272140</v>
      </c>
      <c r="AM13" s="161">
        <v>142330</v>
      </c>
      <c r="AN13" s="161">
        <v>96044</v>
      </c>
      <c r="AQ13" s="96">
        <v>4</v>
      </c>
      <c r="AR13" s="118">
        <f>AR12+5.2376</f>
        <v>20</v>
      </c>
      <c r="AS13" s="121">
        <v>0</v>
      </c>
      <c r="AT13" s="97"/>
      <c r="AU13" s="119">
        <f>AU12+5.2376</f>
        <v>20</v>
      </c>
      <c r="AV13" s="12">
        <v>0</v>
      </c>
      <c r="AW13" s="97">
        <v>4</v>
      </c>
      <c r="AX13" s="119">
        <f>AX12+5.2376</f>
        <v>20</v>
      </c>
      <c r="AY13" s="122">
        <v>0</v>
      </c>
      <c r="AZ13" s="97">
        <v>4</v>
      </c>
      <c r="BA13" s="119">
        <f>BA12+5.2376</f>
        <v>20</v>
      </c>
      <c r="BB13" s="122">
        <v>0</v>
      </c>
      <c r="BC13" s="97">
        <v>4</v>
      </c>
      <c r="BD13" s="119">
        <f>BD12+5.2376</f>
        <v>20</v>
      </c>
      <c r="BE13" s="121">
        <v>0</v>
      </c>
      <c r="BH13" s="123">
        <f>BH12+6.25</f>
        <v>26.25</v>
      </c>
      <c r="BI13" s="19">
        <f t="shared" si="3"/>
        <v>33.781850423400002</v>
      </c>
      <c r="BJ13" s="19">
        <f t="shared" si="4"/>
        <v>31.260237945790003</v>
      </c>
      <c r="BK13" s="19">
        <f t="shared" si="5"/>
        <v>30.408395746876</v>
      </c>
      <c r="BL13" s="19">
        <f t="shared" si="6"/>
        <v>28.671662728800001</v>
      </c>
      <c r="BM13" s="19">
        <f t="shared" si="7"/>
        <v>28.114765046635</v>
      </c>
    </row>
    <row r="14" spans="1:65" x14ac:dyDescent="0.25">
      <c r="A14" s="4"/>
      <c r="B14" s="4">
        <v>6</v>
      </c>
      <c r="C14" s="4">
        <v>6</v>
      </c>
      <c r="D14" s="4">
        <v>240</v>
      </c>
      <c r="E14" s="4">
        <f t="shared" si="8"/>
        <v>720</v>
      </c>
      <c r="F14" s="4">
        <f t="shared" si="9"/>
        <v>30</v>
      </c>
      <c r="G14" s="4">
        <f t="shared" si="10"/>
        <v>8.2135523613963035E-2</v>
      </c>
      <c r="H14" s="4">
        <v>1.0629377</v>
      </c>
      <c r="I14" s="62">
        <v>1.0855448000000001</v>
      </c>
      <c r="J14" s="62">
        <v>1.0535201999999999</v>
      </c>
      <c r="K14" s="114">
        <v>1.0618764999999999</v>
      </c>
      <c r="L14" s="62">
        <v>1.1448365</v>
      </c>
      <c r="M14" s="62">
        <v>1.1435261999999999</v>
      </c>
      <c r="P14" s="4"/>
      <c r="Q14" s="4">
        <v>6</v>
      </c>
      <c r="R14" s="4">
        <v>6</v>
      </c>
      <c r="S14" s="4">
        <v>240</v>
      </c>
      <c r="T14" s="4">
        <f t="shared" si="11"/>
        <v>720</v>
      </c>
      <c r="U14" s="4">
        <f t="shared" si="12"/>
        <v>30</v>
      </c>
      <c r="V14" s="4">
        <f t="shared" si="13"/>
        <v>8.2135523613963035E-2</v>
      </c>
      <c r="W14" s="12">
        <v>0.46968700000000002</v>
      </c>
      <c r="X14" s="62">
        <v>0.54155600000000004</v>
      </c>
      <c r="Y14" s="59">
        <v>0.59674899999999997</v>
      </c>
      <c r="Z14" s="59">
        <v>0.62717800000000001</v>
      </c>
      <c r="AA14" s="59">
        <v>0.57289500000000004</v>
      </c>
      <c r="AB14" s="59">
        <v>0.57161600000000001</v>
      </c>
      <c r="AF14" s="189"/>
      <c r="AG14" s="4">
        <v>1</v>
      </c>
      <c r="AH14" s="161">
        <v>55818</v>
      </c>
      <c r="AI14" s="161">
        <v>825.9</v>
      </c>
      <c r="AJ14" s="161">
        <v>8188400</v>
      </c>
      <c r="AK14" s="161">
        <v>542670</v>
      </c>
      <c r="AL14" s="161">
        <v>272090</v>
      </c>
      <c r="AM14" s="161">
        <v>143830</v>
      </c>
      <c r="AN14" s="161">
        <v>96633</v>
      </c>
      <c r="AQ14" s="95">
        <v>5</v>
      </c>
      <c r="AR14" s="124">
        <f>AR13+6.25</f>
        <v>26.25</v>
      </c>
      <c r="AS14" s="121">
        <v>0.25764150000000002</v>
      </c>
      <c r="AT14" s="95"/>
      <c r="AU14" s="123">
        <f>AU13+6.25</f>
        <v>26.25</v>
      </c>
      <c r="AV14" s="12">
        <v>0.30152990000000002</v>
      </c>
      <c r="AW14" s="95">
        <v>5</v>
      </c>
      <c r="AX14" s="123">
        <f>AX13+6.25</f>
        <v>26.25</v>
      </c>
      <c r="AY14" s="122">
        <v>0.38059219999999999</v>
      </c>
      <c r="AZ14" s="95">
        <v>5</v>
      </c>
      <c r="BA14" s="123">
        <f>BA13+6.25</f>
        <v>26.25</v>
      </c>
      <c r="BB14" s="122">
        <v>0.43219920000000001</v>
      </c>
      <c r="BC14" s="95">
        <v>5</v>
      </c>
      <c r="BD14" s="123">
        <f>BD13+6.25</f>
        <v>26.25</v>
      </c>
      <c r="BE14" s="121">
        <v>0.47865469999999999</v>
      </c>
      <c r="BH14" s="88">
        <f t="shared" ref="BH14:BH44" si="14">BH13+6.25</f>
        <v>32.5</v>
      </c>
      <c r="BI14" s="19">
        <f t="shared" si="3"/>
        <v>44.795215001479995</v>
      </c>
      <c r="BJ14" s="19">
        <f t="shared" si="4"/>
        <v>41.144107881170001</v>
      </c>
      <c r="BK14" s="19">
        <f t="shared" si="5"/>
        <v>41.137761867496003</v>
      </c>
      <c r="BL14" s="19">
        <f t="shared" si="6"/>
        <v>38.908274605199999</v>
      </c>
      <c r="BM14" s="19">
        <f t="shared" si="7"/>
        <v>38.239681514485</v>
      </c>
    </row>
    <row r="15" spans="1:65" x14ac:dyDescent="0.25">
      <c r="A15" s="4"/>
      <c r="B15" s="4">
        <v>7</v>
      </c>
      <c r="C15" s="4">
        <v>7</v>
      </c>
      <c r="D15" s="4">
        <v>720</v>
      </c>
      <c r="E15" s="4">
        <f t="shared" si="8"/>
        <v>1440</v>
      </c>
      <c r="F15" s="4">
        <f t="shared" si="9"/>
        <v>60</v>
      </c>
      <c r="G15" s="4">
        <f t="shared" si="10"/>
        <v>0.16427104722792607</v>
      </c>
      <c r="H15" s="4">
        <v>1.0602526999999999</v>
      </c>
      <c r="I15" s="62">
        <v>1.0833404</v>
      </c>
      <c r="J15" s="62">
        <v>1.0519212</v>
      </c>
      <c r="K15" s="114">
        <v>1.0602205</v>
      </c>
      <c r="L15" s="62">
        <v>1.1426799999999999</v>
      </c>
      <c r="M15" s="62">
        <v>1.1414598</v>
      </c>
      <c r="P15" s="4"/>
      <c r="Q15" s="4">
        <v>7</v>
      </c>
      <c r="R15" s="4">
        <v>7</v>
      </c>
      <c r="S15" s="4">
        <v>720</v>
      </c>
      <c r="T15" s="4">
        <f t="shared" si="11"/>
        <v>1440</v>
      </c>
      <c r="U15" s="4">
        <f t="shared" si="12"/>
        <v>60</v>
      </c>
      <c r="V15" s="4">
        <f t="shared" si="13"/>
        <v>0.16427104722792607</v>
      </c>
      <c r="W15" s="12">
        <v>0.47053800000000001</v>
      </c>
      <c r="X15" s="62">
        <v>0.54220800000000002</v>
      </c>
      <c r="Y15" s="59">
        <v>0.59727699999999995</v>
      </c>
      <c r="Z15" s="59">
        <v>0.62783299999999997</v>
      </c>
      <c r="AA15" s="59">
        <v>0.573577</v>
      </c>
      <c r="AB15" s="59">
        <v>0.57227899999999998</v>
      </c>
      <c r="AF15" s="189"/>
      <c r="AG15" s="4">
        <v>3</v>
      </c>
      <c r="AH15" s="161">
        <v>49774</v>
      </c>
      <c r="AI15" s="161">
        <v>2408</v>
      </c>
      <c r="AJ15" s="161">
        <v>8128900</v>
      </c>
      <c r="AK15" s="161">
        <v>486220</v>
      </c>
      <c r="AL15" s="161">
        <v>268070</v>
      </c>
      <c r="AM15" s="161">
        <v>144810</v>
      </c>
      <c r="AN15" s="161">
        <v>97525</v>
      </c>
      <c r="AQ15" s="96">
        <v>6</v>
      </c>
      <c r="AR15" s="124">
        <f t="shared" ref="AR15:AR45" si="15">AR14+6.25</f>
        <v>32.5</v>
      </c>
      <c r="AS15" s="121">
        <v>0.3416363</v>
      </c>
      <c r="AT15" s="97"/>
      <c r="AU15" s="88">
        <f t="shared" ref="AU15:AU45" si="16">AU14+6.25</f>
        <v>32.5</v>
      </c>
      <c r="AV15" s="12">
        <v>0.39686769999999999</v>
      </c>
      <c r="AW15" s="97">
        <v>6</v>
      </c>
      <c r="AX15" s="88">
        <f t="shared" ref="AX15:AX45" si="17">AX14+6.25</f>
        <v>32.5</v>
      </c>
      <c r="AY15" s="122">
        <v>0.51488120000000004</v>
      </c>
      <c r="AZ15" s="97">
        <v>6</v>
      </c>
      <c r="BA15" s="88">
        <f t="shared" ref="BA15:BA45" si="18">BA14+6.25</f>
        <v>32.5</v>
      </c>
      <c r="BB15" s="122">
        <v>0.58650679999999999</v>
      </c>
      <c r="BC15" s="97">
        <v>6</v>
      </c>
      <c r="BD15" s="88">
        <f t="shared" ref="BD15:BD45" si="19">BD14+6.25</f>
        <v>32.5</v>
      </c>
      <c r="BE15" s="121">
        <v>0.65103169999999999</v>
      </c>
      <c r="BH15" s="88">
        <f t="shared" si="14"/>
        <v>38.75</v>
      </c>
      <c r="BI15" s="19">
        <f t="shared" si="3"/>
        <v>60.695433295480001</v>
      </c>
      <c r="BJ15" s="19">
        <f t="shared" si="4"/>
        <v>55.35078300304</v>
      </c>
      <c r="BK15" s="19">
        <f t="shared" si="5"/>
        <v>54.546948749622004</v>
      </c>
      <c r="BL15" s="19">
        <f t="shared" si="6"/>
        <v>51.332169552300002</v>
      </c>
      <c r="BM15" s="19">
        <f t="shared" si="7"/>
        <v>50.296107134535006</v>
      </c>
    </row>
    <row r="16" spans="1:65" x14ac:dyDescent="0.25">
      <c r="A16" s="4"/>
      <c r="B16" s="4">
        <v>8</v>
      </c>
      <c r="C16" s="4">
        <v>8</v>
      </c>
      <c r="D16" s="4">
        <v>720</v>
      </c>
      <c r="E16" s="4">
        <f t="shared" si="8"/>
        <v>2160</v>
      </c>
      <c r="F16" s="4">
        <f t="shared" si="9"/>
        <v>90</v>
      </c>
      <c r="G16" s="4">
        <f t="shared" si="10"/>
        <v>0.24640657084188911</v>
      </c>
      <c r="H16" s="4">
        <v>1.0544766999999999</v>
      </c>
      <c r="I16" s="62">
        <v>1.0791999000000001</v>
      </c>
      <c r="J16" s="62">
        <v>1.0480632999999999</v>
      </c>
      <c r="K16" s="114">
        <v>1.0562358000000001</v>
      </c>
      <c r="L16" s="62">
        <v>1.1372156</v>
      </c>
      <c r="M16" s="62">
        <v>1.1362422000000001</v>
      </c>
      <c r="P16" s="4"/>
      <c r="Q16" s="4">
        <v>8</v>
      </c>
      <c r="R16" s="4">
        <v>8</v>
      </c>
      <c r="S16" s="4">
        <v>720</v>
      </c>
      <c r="T16" s="4">
        <f t="shared" si="11"/>
        <v>2160</v>
      </c>
      <c r="U16" s="4">
        <f t="shared" si="12"/>
        <v>90</v>
      </c>
      <c r="V16" s="4">
        <f t="shared" si="13"/>
        <v>0.24640657084188911</v>
      </c>
      <c r="W16" s="12">
        <v>0.47313899999999998</v>
      </c>
      <c r="X16" s="62">
        <v>0.54382200000000003</v>
      </c>
      <c r="Y16" s="59">
        <v>0.59871799999999997</v>
      </c>
      <c r="Z16" s="59">
        <v>0.62948499999999996</v>
      </c>
      <c r="AA16" s="59">
        <v>0.57548500000000002</v>
      </c>
      <c r="AB16" s="59">
        <v>0.57413099999999995</v>
      </c>
      <c r="AF16" s="190"/>
      <c r="AG16" s="4">
        <v>5</v>
      </c>
      <c r="AH16" s="161">
        <v>44138</v>
      </c>
      <c r="AI16" s="161">
        <v>3783.3</v>
      </c>
      <c r="AJ16" s="161">
        <v>8066700</v>
      </c>
      <c r="AK16" s="161">
        <v>435590</v>
      </c>
      <c r="AL16" s="161">
        <v>261850</v>
      </c>
      <c r="AM16" s="161">
        <v>144260</v>
      </c>
      <c r="AN16" s="161">
        <v>98859</v>
      </c>
      <c r="AQ16" s="95">
        <v>7</v>
      </c>
      <c r="AR16" s="124">
        <f t="shared" si="15"/>
        <v>38.75</v>
      </c>
      <c r="AS16" s="121">
        <v>0.46290130000000002</v>
      </c>
      <c r="AT16" s="95"/>
      <c r="AU16" s="88">
        <f t="shared" si="16"/>
        <v>38.75</v>
      </c>
      <c r="AV16" s="12">
        <v>0.5339024</v>
      </c>
      <c r="AW16" s="95">
        <v>7</v>
      </c>
      <c r="AX16" s="88">
        <f t="shared" si="17"/>
        <v>38.75</v>
      </c>
      <c r="AY16" s="122">
        <v>0.68271090000000001</v>
      </c>
      <c r="AZ16" s="95">
        <v>7</v>
      </c>
      <c r="BA16" s="88">
        <f t="shared" si="18"/>
        <v>38.75</v>
      </c>
      <c r="BB16" s="122">
        <v>0.77378570000000002</v>
      </c>
      <c r="BC16" s="95">
        <v>7</v>
      </c>
      <c r="BD16" s="88">
        <f t="shared" si="19"/>
        <v>38.75</v>
      </c>
      <c r="BE16" s="121">
        <v>0.85629270000000002</v>
      </c>
      <c r="BH16" s="88">
        <f t="shared" si="14"/>
        <v>45</v>
      </c>
      <c r="BI16" s="19">
        <f t="shared" si="3"/>
        <v>76.247909298319996</v>
      </c>
      <c r="BJ16" s="19">
        <f t="shared" si="4"/>
        <v>68.878934597620002</v>
      </c>
      <c r="BK16" s="19">
        <f t="shared" si="5"/>
        <v>66.329804411332006</v>
      </c>
      <c r="BL16" s="19">
        <f t="shared" si="6"/>
        <v>61.908198288299999</v>
      </c>
      <c r="BM16" s="19">
        <f t="shared" si="7"/>
        <v>60.351672767450012</v>
      </c>
    </row>
    <row r="17" spans="1:65" x14ac:dyDescent="0.25">
      <c r="A17" s="4"/>
      <c r="B17" s="4">
        <v>9</v>
      </c>
      <c r="C17" s="4">
        <v>9</v>
      </c>
      <c r="D17" s="4">
        <v>720</v>
      </c>
      <c r="E17" s="4">
        <f t="shared" si="8"/>
        <v>2880</v>
      </c>
      <c r="F17" s="4">
        <f t="shared" si="9"/>
        <v>120</v>
      </c>
      <c r="G17" s="4">
        <f t="shared" si="10"/>
        <v>0.32854209445585214</v>
      </c>
      <c r="H17" s="4">
        <v>1.0504937999999999</v>
      </c>
      <c r="I17" s="62">
        <v>1.0745305999999999</v>
      </c>
      <c r="J17" s="62">
        <v>1.0451106999999999</v>
      </c>
      <c r="K17" s="114">
        <v>1.0532428</v>
      </c>
      <c r="L17" s="62">
        <v>1.1326643000000001</v>
      </c>
      <c r="M17" s="62">
        <v>1.1318995999999999</v>
      </c>
      <c r="P17" s="4"/>
      <c r="Q17" s="4">
        <v>9</v>
      </c>
      <c r="R17" s="4">
        <v>9</v>
      </c>
      <c r="S17" s="4">
        <v>720</v>
      </c>
      <c r="T17" s="4">
        <f t="shared" si="11"/>
        <v>2880</v>
      </c>
      <c r="U17" s="4">
        <f t="shared" si="12"/>
        <v>120</v>
      </c>
      <c r="V17" s="4">
        <f t="shared" si="13"/>
        <v>0.32854209445585214</v>
      </c>
      <c r="W17" s="12">
        <v>0.476165</v>
      </c>
      <c r="X17" s="62">
        <v>0.54543200000000003</v>
      </c>
      <c r="Y17" s="59">
        <v>0.59987900000000005</v>
      </c>
      <c r="Z17" s="59">
        <v>0.63078100000000004</v>
      </c>
      <c r="AA17" s="59">
        <v>0.57716800000000001</v>
      </c>
      <c r="AB17" s="59">
        <v>0.57577999999999996</v>
      </c>
      <c r="AE17" s="149">
        <f>AH17/(AH17+AJ17)</f>
        <v>7.1097757417756197E-3</v>
      </c>
      <c r="AF17" s="188" t="s">
        <v>227</v>
      </c>
      <c r="AG17" s="4">
        <v>0</v>
      </c>
      <c r="AH17" s="161">
        <v>58694</v>
      </c>
      <c r="AI17" s="161">
        <v>0</v>
      </c>
      <c r="AJ17" s="161">
        <v>8196700</v>
      </c>
      <c r="AK17" s="161">
        <v>570940</v>
      </c>
      <c r="AL17" s="161">
        <v>272480</v>
      </c>
      <c r="AM17" s="161">
        <v>142510</v>
      </c>
      <c r="AN17" s="161">
        <v>96163</v>
      </c>
      <c r="AQ17" s="96">
        <v>8</v>
      </c>
      <c r="AR17" s="124">
        <f t="shared" si="15"/>
        <v>45</v>
      </c>
      <c r="AS17" s="121">
        <v>0.58151419999999998</v>
      </c>
      <c r="AT17" s="97"/>
      <c r="AU17" s="88">
        <f t="shared" si="16"/>
        <v>45</v>
      </c>
      <c r="AV17" s="12">
        <v>0.66439219999999999</v>
      </c>
      <c r="AW17" s="97">
        <v>8</v>
      </c>
      <c r="AX17" s="88">
        <f t="shared" si="17"/>
        <v>45</v>
      </c>
      <c r="AY17" s="122">
        <v>0.83018539999999996</v>
      </c>
      <c r="AZ17" s="97">
        <v>8</v>
      </c>
      <c r="BA17" s="88">
        <f t="shared" si="18"/>
        <v>45</v>
      </c>
      <c r="BB17" s="122">
        <v>0.93320970000000003</v>
      </c>
      <c r="BC17" s="97">
        <v>8</v>
      </c>
      <c r="BD17" s="88">
        <f t="shared" si="19"/>
        <v>45</v>
      </c>
      <c r="BE17" s="121">
        <v>1.0274890000000001</v>
      </c>
      <c r="BH17" s="88">
        <f t="shared" si="14"/>
        <v>51.25</v>
      </c>
      <c r="BI17" s="19">
        <f t="shared" si="3"/>
        <v>91.271999537079992</v>
      </c>
      <c r="BJ17" s="19">
        <f t="shared" si="4"/>
        <v>81.444573681380007</v>
      </c>
      <c r="BK17" s="19">
        <f t="shared" si="5"/>
        <v>76.118656168982</v>
      </c>
      <c r="BL17" s="19">
        <f t="shared" si="6"/>
        <v>70.282057481999999</v>
      </c>
      <c r="BM17" s="19">
        <f t="shared" si="7"/>
        <v>68.076534635250013</v>
      </c>
    </row>
    <row r="18" spans="1:65" x14ac:dyDescent="0.25">
      <c r="A18" s="4"/>
      <c r="B18" s="4">
        <v>10</v>
      </c>
      <c r="C18" s="4">
        <v>10</v>
      </c>
      <c r="D18" s="4">
        <v>720</v>
      </c>
      <c r="E18" s="4">
        <f t="shared" si="8"/>
        <v>3600</v>
      </c>
      <c r="F18" s="4">
        <f t="shared" si="9"/>
        <v>150</v>
      </c>
      <c r="G18" s="4">
        <f t="shared" si="10"/>
        <v>0.41067761806981518</v>
      </c>
      <c r="H18" s="4">
        <v>1.0487412</v>
      </c>
      <c r="I18" s="62">
        <v>1.0724336000000001</v>
      </c>
      <c r="J18" s="62">
        <v>1.042645</v>
      </c>
      <c r="K18" s="114">
        <v>1.0508776</v>
      </c>
      <c r="L18" s="62">
        <v>1.128582</v>
      </c>
      <c r="M18" s="62">
        <v>1.1279437999999999</v>
      </c>
      <c r="P18" s="4"/>
      <c r="Q18" s="4">
        <v>10</v>
      </c>
      <c r="R18" s="4">
        <v>10</v>
      </c>
      <c r="S18" s="4">
        <v>720</v>
      </c>
      <c r="T18" s="4">
        <f t="shared" si="11"/>
        <v>3600</v>
      </c>
      <c r="U18" s="4">
        <f t="shared" si="12"/>
        <v>150</v>
      </c>
      <c r="V18" s="4">
        <f t="shared" si="13"/>
        <v>0.41067761806981518</v>
      </c>
      <c r="W18" s="12">
        <v>0.47926999999999997</v>
      </c>
      <c r="X18" s="62">
        <v>0.54643799999999998</v>
      </c>
      <c r="Y18" s="59">
        <v>0.60087100000000004</v>
      </c>
      <c r="Z18" s="59">
        <v>0.63183</v>
      </c>
      <c r="AA18" s="59">
        <v>0.57869499999999996</v>
      </c>
      <c r="AB18" s="59">
        <v>0.57725899999999997</v>
      </c>
      <c r="AF18" s="189"/>
      <c r="AG18" s="4">
        <v>1</v>
      </c>
      <c r="AH18" s="161">
        <v>55577</v>
      </c>
      <c r="AI18" s="161">
        <v>838.99</v>
      </c>
      <c r="AJ18" s="161">
        <v>8153300</v>
      </c>
      <c r="AK18" s="161">
        <v>541900</v>
      </c>
      <c r="AL18" s="161">
        <v>270300</v>
      </c>
      <c r="AM18" s="161">
        <v>144080</v>
      </c>
      <c r="AN18" s="161">
        <v>96037</v>
      </c>
      <c r="AQ18" s="95">
        <v>9</v>
      </c>
      <c r="AR18" s="124">
        <f t="shared" si="15"/>
        <v>51.25</v>
      </c>
      <c r="AS18" s="121">
        <v>0.69609730000000003</v>
      </c>
      <c r="AT18" s="95"/>
      <c r="AU18" s="88">
        <f t="shared" si="16"/>
        <v>51.25</v>
      </c>
      <c r="AV18" s="12">
        <v>0.78559780000000001</v>
      </c>
      <c r="AW18" s="95">
        <v>9</v>
      </c>
      <c r="AX18" s="88">
        <f t="shared" si="17"/>
        <v>51.25</v>
      </c>
      <c r="AY18" s="122">
        <v>0.95270290000000002</v>
      </c>
      <c r="AZ18" s="95">
        <v>9</v>
      </c>
      <c r="BA18" s="88">
        <f t="shared" si="18"/>
        <v>51.25</v>
      </c>
      <c r="BB18" s="122">
        <v>1.0594380000000001</v>
      </c>
      <c r="BC18" s="95">
        <v>9</v>
      </c>
      <c r="BD18" s="88">
        <f t="shared" si="19"/>
        <v>51.25</v>
      </c>
      <c r="BE18" s="121">
        <v>1.1590050000000001</v>
      </c>
      <c r="BH18" s="88">
        <f t="shared" si="14"/>
        <v>57.5</v>
      </c>
      <c r="BI18" s="19">
        <f t="shared" si="3"/>
        <v>105.65397087072</v>
      </c>
      <c r="BJ18" s="19">
        <f t="shared" si="4"/>
        <v>92.804319632359991</v>
      </c>
      <c r="BK18" s="19">
        <f t="shared" si="5"/>
        <v>83.589407479060014</v>
      </c>
      <c r="BL18" s="19">
        <f t="shared" si="6"/>
        <v>76.124931245999989</v>
      </c>
      <c r="BM18" s="19">
        <f t="shared" si="7"/>
        <v>73.1660412807</v>
      </c>
    </row>
    <row r="19" spans="1:65" x14ac:dyDescent="0.25">
      <c r="A19" s="4"/>
      <c r="B19" s="4">
        <v>11</v>
      </c>
      <c r="C19" s="4">
        <v>11</v>
      </c>
      <c r="D19" s="4">
        <v>720</v>
      </c>
      <c r="E19" s="4">
        <f t="shared" si="8"/>
        <v>4320</v>
      </c>
      <c r="F19" s="4">
        <f t="shared" si="9"/>
        <v>180</v>
      </c>
      <c r="G19" s="4">
        <f t="shared" si="10"/>
        <v>0.49281314168377821</v>
      </c>
      <c r="H19" s="4">
        <v>1.0501573</v>
      </c>
      <c r="I19" s="62">
        <v>1.0682548000000001</v>
      </c>
      <c r="J19" s="62">
        <v>1.0405549999999999</v>
      </c>
      <c r="K19" s="114">
        <v>1.0489609</v>
      </c>
      <c r="L19" s="62">
        <v>1.1248484000000001</v>
      </c>
      <c r="M19" s="62">
        <v>1.1243894000000001</v>
      </c>
      <c r="P19" s="4"/>
      <c r="Q19" s="4">
        <v>11</v>
      </c>
      <c r="R19" s="4">
        <v>11</v>
      </c>
      <c r="S19" s="4">
        <v>720</v>
      </c>
      <c r="T19" s="4">
        <f t="shared" si="11"/>
        <v>4320</v>
      </c>
      <c r="U19" s="4">
        <f t="shared" si="12"/>
        <v>180</v>
      </c>
      <c r="V19" s="4">
        <f t="shared" si="13"/>
        <v>0.49281314168377821</v>
      </c>
      <c r="W19" s="12">
        <v>0.481964</v>
      </c>
      <c r="X19" s="62">
        <v>0.54785600000000001</v>
      </c>
      <c r="Y19" s="59">
        <v>0.60174099999999997</v>
      </c>
      <c r="Z19" s="59">
        <v>0.63271200000000005</v>
      </c>
      <c r="AA19" s="59">
        <v>0.58008999999999999</v>
      </c>
      <c r="AB19" s="59">
        <v>0.57862400000000003</v>
      </c>
      <c r="AE19" s="149"/>
      <c r="AF19" s="189"/>
      <c r="AG19" s="4">
        <v>3</v>
      </c>
      <c r="AH19" s="161">
        <v>49591</v>
      </c>
      <c r="AI19" s="161">
        <v>2413.5</v>
      </c>
      <c r="AJ19" s="161">
        <v>8091000</v>
      </c>
      <c r="AK19" s="161">
        <v>487960</v>
      </c>
      <c r="AL19" s="161">
        <v>265500</v>
      </c>
      <c r="AM19" s="161">
        <v>145830</v>
      </c>
      <c r="AN19" s="161">
        <v>96691</v>
      </c>
      <c r="AQ19" s="96">
        <v>10</v>
      </c>
      <c r="AR19" s="124">
        <f t="shared" si="15"/>
        <v>57.5</v>
      </c>
      <c r="AS19" s="121">
        <v>0.80578320000000003</v>
      </c>
      <c r="AT19" s="97"/>
      <c r="AU19" s="88">
        <f t="shared" si="16"/>
        <v>57.5</v>
      </c>
      <c r="AV19" s="12">
        <v>0.89517159999999996</v>
      </c>
      <c r="AW19" s="97">
        <v>10</v>
      </c>
      <c r="AX19" s="88">
        <f t="shared" si="17"/>
        <v>57.5</v>
      </c>
      <c r="AY19" s="122">
        <v>1.0462070000000001</v>
      </c>
      <c r="AZ19" s="97">
        <v>10</v>
      </c>
      <c r="BA19" s="88">
        <f t="shared" si="18"/>
        <v>57.5</v>
      </c>
      <c r="BB19" s="122">
        <v>1.1475139999999999</v>
      </c>
      <c r="BC19" s="97">
        <v>10</v>
      </c>
      <c r="BD19" s="88">
        <f t="shared" si="19"/>
        <v>57.5</v>
      </c>
      <c r="BE19" s="121">
        <v>1.245654</v>
      </c>
      <c r="BH19" s="88">
        <f t="shared" si="14"/>
        <v>63.75</v>
      </c>
      <c r="BI19" s="19">
        <f t="shared" si="3"/>
        <v>119.28083753992</v>
      </c>
      <c r="BJ19" s="19">
        <f t="shared" si="4"/>
        <v>102.67151909406</v>
      </c>
      <c r="BK19" s="19">
        <f t="shared" si="5"/>
        <v>88.463958834859994</v>
      </c>
      <c r="BL19" s="19">
        <f t="shared" si="6"/>
        <v>79.143289407000012</v>
      </c>
      <c r="BM19" s="19">
        <f t="shared" si="7"/>
        <v>75.354407552550001</v>
      </c>
    </row>
    <row r="20" spans="1:65" x14ac:dyDescent="0.25">
      <c r="A20" s="4"/>
      <c r="B20" s="4">
        <v>12</v>
      </c>
      <c r="C20" s="4">
        <v>12</v>
      </c>
      <c r="D20" s="4">
        <v>720</v>
      </c>
      <c r="E20" s="4">
        <f t="shared" si="8"/>
        <v>5040</v>
      </c>
      <c r="F20" s="4">
        <f t="shared" si="9"/>
        <v>210</v>
      </c>
      <c r="G20" s="4">
        <f t="shared" si="10"/>
        <v>0.57494866529774125</v>
      </c>
      <c r="H20" s="4">
        <v>1.0563487</v>
      </c>
      <c r="I20" s="62">
        <v>1.0667909</v>
      </c>
      <c r="J20" s="62">
        <v>1.0387831999999999</v>
      </c>
      <c r="K20" s="114">
        <v>1.0474032</v>
      </c>
      <c r="L20" s="62">
        <v>1.1213690999999999</v>
      </c>
      <c r="M20" s="62">
        <v>1.121043</v>
      </c>
      <c r="P20" s="4"/>
      <c r="Q20" s="4">
        <v>12</v>
      </c>
      <c r="R20" s="4">
        <v>12</v>
      </c>
      <c r="S20" s="4">
        <v>720</v>
      </c>
      <c r="T20" s="4">
        <f t="shared" si="11"/>
        <v>5040</v>
      </c>
      <c r="U20" s="4">
        <f t="shared" si="12"/>
        <v>210</v>
      </c>
      <c r="V20" s="4">
        <f t="shared" si="13"/>
        <v>0.57494866529774125</v>
      </c>
      <c r="W20" s="12">
        <v>0.48386400000000002</v>
      </c>
      <c r="X20" s="62">
        <v>0.54869699999999999</v>
      </c>
      <c r="Y20" s="59">
        <v>0.602495</v>
      </c>
      <c r="Z20" s="59">
        <v>0.63344900000000004</v>
      </c>
      <c r="AA20" s="59">
        <v>0.58142400000000005</v>
      </c>
      <c r="AB20" s="59">
        <v>0.57991999999999999</v>
      </c>
      <c r="AF20" s="190"/>
      <c r="AG20" s="4">
        <v>5</v>
      </c>
      <c r="AH20" s="161">
        <v>43998</v>
      </c>
      <c r="AI20" s="161">
        <v>3785.3</v>
      </c>
      <c r="AJ20" s="161">
        <v>8027100</v>
      </c>
      <c r="AK20" s="161">
        <v>438550</v>
      </c>
      <c r="AL20" s="161">
        <v>259210</v>
      </c>
      <c r="AM20" s="161">
        <v>145580</v>
      </c>
      <c r="AN20" s="161">
        <v>97864</v>
      </c>
      <c r="AQ20" s="95">
        <v>11</v>
      </c>
      <c r="AR20" s="124">
        <f t="shared" si="15"/>
        <v>63.75</v>
      </c>
      <c r="AS20" s="121">
        <v>0.90971020000000002</v>
      </c>
      <c r="AT20" s="95"/>
      <c r="AU20" s="88">
        <f t="shared" si="16"/>
        <v>63.75</v>
      </c>
      <c r="AV20" s="12">
        <v>0.99034860000000002</v>
      </c>
      <c r="AW20" s="95">
        <v>11</v>
      </c>
      <c r="AX20" s="88">
        <f t="shared" si="17"/>
        <v>63.75</v>
      </c>
      <c r="AY20" s="122">
        <v>1.1072169999999999</v>
      </c>
      <c r="AZ20" s="95">
        <v>11</v>
      </c>
      <c r="BA20" s="88">
        <f t="shared" si="18"/>
        <v>63.75</v>
      </c>
      <c r="BB20" s="122">
        <v>1.1930130000000001</v>
      </c>
      <c r="BC20" s="95">
        <v>11</v>
      </c>
      <c r="BD20" s="88">
        <f t="shared" si="19"/>
        <v>63.75</v>
      </c>
      <c r="BE20" s="121">
        <v>1.2829109999999999</v>
      </c>
      <c r="BH20" s="88">
        <f t="shared" si="14"/>
        <v>70</v>
      </c>
      <c r="BI20" s="19">
        <f t="shared" si="3"/>
        <v>132.04333758199999</v>
      </c>
      <c r="BJ20" s="19">
        <f t="shared" si="4"/>
        <v>110.7091548038</v>
      </c>
      <c r="BK20" s="19">
        <f t="shared" si="5"/>
        <v>90.607291315940003</v>
      </c>
      <c r="BL20" s="19">
        <f t="shared" si="6"/>
        <v>79.138645677</v>
      </c>
      <c r="BM20" s="19">
        <f t="shared" si="7"/>
        <v>74.463425241099998</v>
      </c>
    </row>
    <row r="21" spans="1:65" x14ac:dyDescent="0.25">
      <c r="A21" s="4"/>
      <c r="B21" s="4">
        <v>13</v>
      </c>
      <c r="C21" s="4">
        <v>13</v>
      </c>
      <c r="D21" s="4">
        <v>720</v>
      </c>
      <c r="E21" s="4">
        <f t="shared" si="8"/>
        <v>5760</v>
      </c>
      <c r="F21" s="4">
        <f>E21/24</f>
        <v>240</v>
      </c>
      <c r="G21" s="4">
        <f t="shared" si="10"/>
        <v>0.65708418891170428</v>
      </c>
      <c r="H21" s="4">
        <v>1.0669028</v>
      </c>
      <c r="I21" s="62">
        <v>1.0625198</v>
      </c>
      <c r="J21" s="62">
        <v>1.0372189999999999</v>
      </c>
      <c r="K21" s="114">
        <v>1.0461530999999999</v>
      </c>
      <c r="L21" s="62">
        <v>1.1180760000000001</v>
      </c>
      <c r="M21" s="62">
        <v>1.1178968</v>
      </c>
      <c r="P21" s="4"/>
      <c r="Q21" s="4">
        <v>13</v>
      </c>
      <c r="R21" s="4">
        <v>13</v>
      </c>
      <c r="S21" s="4">
        <v>720</v>
      </c>
      <c r="T21" s="4">
        <f t="shared" si="11"/>
        <v>5760</v>
      </c>
      <c r="U21" s="4">
        <f>T21/24</f>
        <v>240</v>
      </c>
      <c r="V21" s="4">
        <f t="shared" si="13"/>
        <v>0.65708418891170428</v>
      </c>
      <c r="W21" s="12">
        <v>0.48480299999999998</v>
      </c>
      <c r="X21" s="62">
        <v>0.55007600000000001</v>
      </c>
      <c r="Y21" s="59">
        <v>0.60317299999999996</v>
      </c>
      <c r="Z21" s="59">
        <v>0.63407599999999997</v>
      </c>
      <c r="AA21" s="59">
        <v>0.58269099999999996</v>
      </c>
      <c r="AB21" s="59">
        <v>0.581152</v>
      </c>
      <c r="AE21" s="149">
        <f>AH21/(AH21+AJ21)</f>
        <v>7.1097419012093373E-3</v>
      </c>
      <c r="AF21" s="227" t="s">
        <v>228</v>
      </c>
      <c r="AG21" s="4">
        <v>0</v>
      </c>
      <c r="AH21" s="160">
        <v>58577</v>
      </c>
      <c r="AI21" s="161">
        <v>0</v>
      </c>
      <c r="AJ21" s="161">
        <v>8180400</v>
      </c>
      <c r="AK21" s="161">
        <v>569810</v>
      </c>
      <c r="AL21" s="161">
        <v>271930</v>
      </c>
      <c r="AM21" s="161">
        <v>142220</v>
      </c>
      <c r="AN21" s="161">
        <v>95972</v>
      </c>
      <c r="AQ21" s="96">
        <v>12</v>
      </c>
      <c r="AR21" s="124">
        <f t="shared" si="15"/>
        <v>70</v>
      </c>
      <c r="AS21" s="121">
        <v>1.007045</v>
      </c>
      <c r="AT21" s="97"/>
      <c r="AU21" s="88">
        <f t="shared" si="16"/>
        <v>70</v>
      </c>
      <c r="AV21" s="12">
        <v>1.0678780000000001</v>
      </c>
      <c r="AW21" s="97">
        <v>12</v>
      </c>
      <c r="AX21" s="88">
        <f t="shared" si="17"/>
        <v>70</v>
      </c>
      <c r="AY21" s="122">
        <v>1.1340429999999999</v>
      </c>
      <c r="AZ21" s="97">
        <v>12</v>
      </c>
      <c r="BA21" s="88">
        <f t="shared" si="18"/>
        <v>70</v>
      </c>
      <c r="BB21" s="122">
        <v>1.1929430000000001</v>
      </c>
      <c r="BC21" s="97">
        <v>12</v>
      </c>
      <c r="BD21" s="88">
        <f t="shared" si="19"/>
        <v>70</v>
      </c>
      <c r="BE21" s="121">
        <v>1.2677419999999999</v>
      </c>
      <c r="BH21" s="88">
        <f t="shared" si="14"/>
        <v>76.25</v>
      </c>
      <c r="BI21" s="19">
        <f t="shared" si="3"/>
        <v>143.83610328639998</v>
      </c>
      <c r="BJ21" s="19">
        <f t="shared" si="4"/>
        <v>113.2467367955</v>
      </c>
      <c r="BK21" s="19">
        <f t="shared" si="5"/>
        <v>89.25518456959999</v>
      </c>
      <c r="BL21" s="19">
        <f t="shared" si="6"/>
        <v>72.750199976999994</v>
      </c>
      <c r="BM21" s="19">
        <f t="shared" si="7"/>
        <v>67.144436388800003</v>
      </c>
    </row>
    <row r="22" spans="1:65" x14ac:dyDescent="0.25">
      <c r="A22" s="4"/>
      <c r="B22" s="4">
        <v>14</v>
      </c>
      <c r="C22" s="4">
        <v>14</v>
      </c>
      <c r="D22" s="4">
        <v>720</v>
      </c>
      <c r="E22" s="4">
        <f t="shared" si="8"/>
        <v>6480</v>
      </c>
      <c r="F22" s="4">
        <f t="shared" si="9"/>
        <v>270</v>
      </c>
      <c r="G22" s="4">
        <f t="shared" si="10"/>
        <v>0.73921971252566732</v>
      </c>
      <c r="H22" s="4">
        <v>1.0802451</v>
      </c>
      <c r="I22" s="62">
        <v>1.062039</v>
      </c>
      <c r="J22" s="62">
        <v>1.0358862</v>
      </c>
      <c r="K22" s="114">
        <v>1.0451379000000001</v>
      </c>
      <c r="L22" s="62">
        <v>1.1149471</v>
      </c>
      <c r="M22" s="62">
        <v>1.1149028999999999</v>
      </c>
      <c r="P22" s="4"/>
      <c r="Q22" s="4">
        <v>14</v>
      </c>
      <c r="R22" s="4">
        <v>14</v>
      </c>
      <c r="S22" s="4">
        <v>720</v>
      </c>
      <c r="T22" s="4">
        <f t="shared" si="11"/>
        <v>6480</v>
      </c>
      <c r="U22" s="4">
        <f t="shared" ref="U22:U73" si="20">T22/24</f>
        <v>270</v>
      </c>
      <c r="V22" s="4">
        <f t="shared" si="13"/>
        <v>0.73921971252566732</v>
      </c>
      <c r="W22" s="12">
        <v>0.48515399999999997</v>
      </c>
      <c r="X22" s="62">
        <v>0.55046899999999999</v>
      </c>
      <c r="Y22" s="59">
        <v>0.60377099999999995</v>
      </c>
      <c r="Z22" s="59">
        <v>0.63461999999999996</v>
      </c>
      <c r="AA22" s="59">
        <v>0.58392100000000002</v>
      </c>
      <c r="AB22" s="59">
        <v>0.58234200000000003</v>
      </c>
      <c r="AF22" s="228"/>
      <c r="AG22" s="4">
        <v>1</v>
      </c>
      <c r="AH22" s="161">
        <v>55569</v>
      </c>
      <c r="AI22" s="161">
        <v>841.77</v>
      </c>
      <c r="AJ22" s="161">
        <v>8150700</v>
      </c>
      <c r="AK22" s="161">
        <v>542470</v>
      </c>
      <c r="AL22" s="161">
        <v>269920</v>
      </c>
      <c r="AM22" s="161">
        <v>144380</v>
      </c>
      <c r="AN22" s="161">
        <v>95936</v>
      </c>
      <c r="AQ22" s="95">
        <v>13</v>
      </c>
      <c r="AR22" s="124">
        <f t="shared" si="15"/>
        <v>76.25</v>
      </c>
      <c r="AS22" s="121">
        <v>1.096984</v>
      </c>
      <c r="AT22" s="95"/>
      <c r="AU22" s="88">
        <f t="shared" si="16"/>
        <v>76.25</v>
      </c>
      <c r="AV22" s="12">
        <v>1.092355</v>
      </c>
      <c r="AW22" s="95">
        <v>13</v>
      </c>
      <c r="AX22" s="88">
        <f t="shared" si="17"/>
        <v>76.25</v>
      </c>
      <c r="AY22" s="122">
        <v>1.1171199999999999</v>
      </c>
      <c r="AZ22" s="95">
        <v>13</v>
      </c>
      <c r="BA22" s="88">
        <f t="shared" si="18"/>
        <v>76.25</v>
      </c>
      <c r="BB22" s="122">
        <v>1.096643</v>
      </c>
      <c r="BC22" s="95">
        <v>13</v>
      </c>
      <c r="BD22" s="88">
        <f t="shared" si="19"/>
        <v>76.25</v>
      </c>
      <c r="BE22" s="121">
        <v>1.1431359999999999</v>
      </c>
      <c r="BH22" s="88">
        <f t="shared" si="14"/>
        <v>82.5</v>
      </c>
      <c r="BI22" s="19">
        <f t="shared" si="3"/>
        <v>154.55814633719999</v>
      </c>
      <c r="BJ22" s="19">
        <f t="shared" si="4"/>
        <v>118.84347511399999</v>
      </c>
      <c r="BK22" s="19">
        <f t="shared" si="5"/>
        <v>88.852740459139994</v>
      </c>
      <c r="BL22" s="19">
        <f t="shared" si="6"/>
        <v>70.515637100999996</v>
      </c>
      <c r="BM22" s="19">
        <f t="shared" si="7"/>
        <v>64.101093617150013</v>
      </c>
    </row>
    <row r="23" spans="1:65" x14ac:dyDescent="0.25">
      <c r="A23" s="4"/>
      <c r="B23" s="4">
        <v>15</v>
      </c>
      <c r="C23" s="4">
        <v>15</v>
      </c>
      <c r="D23" s="4">
        <v>720</v>
      </c>
      <c r="E23" s="4">
        <f t="shared" si="8"/>
        <v>7200</v>
      </c>
      <c r="F23" s="4">
        <f t="shared" si="9"/>
        <v>300</v>
      </c>
      <c r="G23" s="4">
        <f t="shared" si="10"/>
        <v>0.82135523613963035</v>
      </c>
      <c r="H23" s="4">
        <v>1.0899519</v>
      </c>
      <c r="I23" s="62">
        <v>1.0580182</v>
      </c>
      <c r="J23" s="62">
        <v>1.0347837</v>
      </c>
      <c r="K23" s="114">
        <v>1.0442697000000001</v>
      </c>
      <c r="L23" s="62">
        <v>1.1119155999999999</v>
      </c>
      <c r="M23" s="62">
        <v>1.1120422000000001</v>
      </c>
      <c r="P23" s="4"/>
      <c r="Q23" s="4">
        <v>15</v>
      </c>
      <c r="R23" s="4">
        <v>15</v>
      </c>
      <c r="S23" s="4">
        <v>720</v>
      </c>
      <c r="T23" s="4">
        <f t="shared" si="11"/>
        <v>7200</v>
      </c>
      <c r="U23" s="4">
        <f t="shared" si="20"/>
        <v>300</v>
      </c>
      <c r="V23" s="4">
        <f t="shared" si="13"/>
        <v>0.82135523613963035</v>
      </c>
      <c r="W23" s="12">
        <v>0.48647699999999999</v>
      </c>
      <c r="X23" s="62">
        <v>0.55187799999999998</v>
      </c>
      <c r="Y23" s="59">
        <v>0.60430300000000003</v>
      </c>
      <c r="Z23" s="59">
        <v>0.6351</v>
      </c>
      <c r="AA23" s="59">
        <v>0.58511100000000005</v>
      </c>
      <c r="AB23" s="59">
        <v>0.58348900000000004</v>
      </c>
      <c r="AF23" s="228"/>
      <c r="AG23" s="4">
        <v>3</v>
      </c>
      <c r="AH23" s="161">
        <v>49639</v>
      </c>
      <c r="AI23" s="161">
        <v>2399.5</v>
      </c>
      <c r="AJ23" s="161">
        <v>8086700</v>
      </c>
      <c r="AK23" s="161">
        <v>490500</v>
      </c>
      <c r="AL23" s="161">
        <v>264380</v>
      </c>
      <c r="AM23" s="161">
        <v>146560</v>
      </c>
      <c r="AN23" s="161">
        <v>96482</v>
      </c>
      <c r="AQ23" s="96">
        <v>14</v>
      </c>
      <c r="AR23" s="124">
        <f t="shared" si="15"/>
        <v>82.5</v>
      </c>
      <c r="AS23" s="121">
        <v>1.1787570000000001</v>
      </c>
      <c r="AT23" s="97"/>
      <c r="AU23" s="88">
        <f t="shared" si="16"/>
        <v>82.5</v>
      </c>
      <c r="AV23" s="12">
        <v>1.1463399999999999</v>
      </c>
      <c r="AW23" s="97">
        <v>14</v>
      </c>
      <c r="AX23" s="88">
        <f t="shared" si="17"/>
        <v>82.5</v>
      </c>
      <c r="AY23" s="122">
        <v>1.1120829999999999</v>
      </c>
      <c r="AZ23" s="97">
        <v>14</v>
      </c>
      <c r="BA23" s="88">
        <f t="shared" si="18"/>
        <v>82.5</v>
      </c>
      <c r="BB23" s="122">
        <v>1.062959</v>
      </c>
      <c r="BC23" s="97">
        <v>14</v>
      </c>
      <c r="BD23" s="88">
        <f t="shared" si="19"/>
        <v>82.5</v>
      </c>
      <c r="BE23" s="121">
        <v>1.091323</v>
      </c>
      <c r="BH23" s="88">
        <f t="shared" si="14"/>
        <v>88.75</v>
      </c>
      <c r="BI23" s="19">
        <f t="shared" si="3"/>
        <v>164.1130938284</v>
      </c>
      <c r="BJ23" s="19">
        <f t="shared" si="4"/>
        <v>124.12235477390001</v>
      </c>
      <c r="BK23" s="19">
        <f t="shared" si="5"/>
        <v>88.681599842780017</v>
      </c>
      <c r="BL23" s="19">
        <f t="shared" si="6"/>
        <v>68.915606760000003</v>
      </c>
      <c r="BM23" s="19">
        <f t="shared" si="7"/>
        <v>61.726824582050007</v>
      </c>
    </row>
    <row r="24" spans="1:65" x14ac:dyDescent="0.25">
      <c r="A24" s="4"/>
      <c r="B24" s="4">
        <v>16</v>
      </c>
      <c r="C24" s="4">
        <v>16</v>
      </c>
      <c r="D24" s="4">
        <v>720</v>
      </c>
      <c r="E24" s="4">
        <f t="shared" si="8"/>
        <v>7920</v>
      </c>
      <c r="F24" s="4">
        <f t="shared" si="9"/>
        <v>330</v>
      </c>
      <c r="G24" s="4">
        <f t="shared" si="10"/>
        <v>0.90349075975359339</v>
      </c>
      <c r="H24" s="4">
        <v>1.0890678</v>
      </c>
      <c r="I24" s="62">
        <v>1.0581934</v>
      </c>
      <c r="J24" s="62">
        <v>1.0338202999999999</v>
      </c>
      <c r="K24" s="114">
        <v>1.0436566</v>
      </c>
      <c r="L24" s="62">
        <v>1.1089850999999999</v>
      </c>
      <c r="M24" s="62">
        <v>1.1092469</v>
      </c>
      <c r="P24" s="4"/>
      <c r="Q24" s="4">
        <v>16</v>
      </c>
      <c r="R24" s="4">
        <v>16</v>
      </c>
      <c r="S24" s="4">
        <v>720</v>
      </c>
      <c r="T24" s="4">
        <f t="shared" si="11"/>
        <v>7920</v>
      </c>
      <c r="U24" s="4">
        <f t="shared" si="20"/>
        <v>330</v>
      </c>
      <c r="V24" s="4">
        <f t="shared" si="13"/>
        <v>0.90349075975359339</v>
      </c>
      <c r="W24" s="12">
        <v>0.49041499999999999</v>
      </c>
      <c r="X24" s="62">
        <v>0.55154099999999995</v>
      </c>
      <c r="Y24" s="59">
        <v>0.60478299999999996</v>
      </c>
      <c r="Z24" s="59">
        <v>0.63549299999999997</v>
      </c>
      <c r="AA24" s="59">
        <v>0.58627099999999999</v>
      </c>
      <c r="AB24" s="59">
        <v>0.58460400000000001</v>
      </c>
      <c r="AE24" s="149"/>
      <c r="AF24" s="229"/>
      <c r="AG24" s="4">
        <v>5</v>
      </c>
      <c r="AH24" s="161">
        <v>44144</v>
      </c>
      <c r="AI24" s="161">
        <v>3737.7</v>
      </c>
      <c r="AJ24" s="161">
        <v>8021000</v>
      </c>
      <c r="AK24" s="161">
        <v>443360</v>
      </c>
      <c r="AL24" s="161">
        <v>257360</v>
      </c>
      <c r="AM24" s="161">
        <v>146570</v>
      </c>
      <c r="AN24" s="161">
        <v>97560</v>
      </c>
      <c r="AQ24" s="95">
        <v>15</v>
      </c>
      <c r="AR24" s="124">
        <f t="shared" si="15"/>
        <v>88.75</v>
      </c>
      <c r="AS24" s="121">
        <v>1.2516290000000001</v>
      </c>
      <c r="AT24" s="95"/>
      <c r="AU24" s="88">
        <f t="shared" si="16"/>
        <v>88.75</v>
      </c>
      <c r="AV24" s="12">
        <v>1.1972590000000001</v>
      </c>
      <c r="AW24" s="95">
        <v>15</v>
      </c>
      <c r="AX24" s="88">
        <f t="shared" si="17"/>
        <v>88.75</v>
      </c>
      <c r="AY24" s="122">
        <v>1.1099410000000001</v>
      </c>
      <c r="AZ24" s="95">
        <v>15</v>
      </c>
      <c r="BA24" s="88">
        <f t="shared" si="18"/>
        <v>88.75</v>
      </c>
      <c r="BB24" s="122">
        <v>1.03884</v>
      </c>
      <c r="BC24" s="95">
        <v>15</v>
      </c>
      <c r="BD24" s="88">
        <f t="shared" si="19"/>
        <v>88.75</v>
      </c>
      <c r="BE24" s="121">
        <v>1.0509010000000001</v>
      </c>
      <c r="BH24" s="88">
        <f t="shared" si="14"/>
        <v>95</v>
      </c>
      <c r="BI24" s="19">
        <f t="shared" si="3"/>
        <v>172.41034211639999</v>
      </c>
      <c r="BJ24" s="19">
        <f t="shared" si="4"/>
        <v>128.8817335407</v>
      </c>
      <c r="BK24" s="19">
        <f t="shared" si="5"/>
        <v>88.738886407639995</v>
      </c>
      <c r="BL24" s="19">
        <f t="shared" si="6"/>
        <v>67.831494821999996</v>
      </c>
      <c r="BM24" s="19">
        <f t="shared" si="7"/>
        <v>59.894933466650009</v>
      </c>
    </row>
    <row r="25" spans="1:65" x14ac:dyDescent="0.25">
      <c r="A25" s="4" t="s">
        <v>251</v>
      </c>
      <c r="B25" s="4">
        <v>17</v>
      </c>
      <c r="C25" s="4">
        <v>17</v>
      </c>
      <c r="D25" s="4">
        <v>846</v>
      </c>
      <c r="E25" s="4">
        <f t="shared" si="8"/>
        <v>8766</v>
      </c>
      <c r="F25" s="4">
        <f t="shared" si="9"/>
        <v>365.25</v>
      </c>
      <c r="G25" s="4">
        <f t="shared" si="10"/>
        <v>1</v>
      </c>
      <c r="H25" s="4">
        <v>1.0850519000000001</v>
      </c>
      <c r="I25" s="62">
        <v>1.0549674</v>
      </c>
      <c r="J25" s="62">
        <v>1.0329592000000001</v>
      </c>
      <c r="K25" s="114">
        <v>1.0430387000000001</v>
      </c>
      <c r="L25" s="62">
        <v>1.1061297999999999</v>
      </c>
      <c r="M25" s="62">
        <v>1.1065119999999999</v>
      </c>
      <c r="P25" s="4" t="s">
        <v>251</v>
      </c>
      <c r="Q25" s="4">
        <v>17</v>
      </c>
      <c r="R25" s="4">
        <v>17</v>
      </c>
      <c r="S25" s="4">
        <v>846</v>
      </c>
      <c r="T25" s="4">
        <f t="shared" si="11"/>
        <v>8766</v>
      </c>
      <c r="U25" s="4">
        <f t="shared" si="20"/>
        <v>365.25</v>
      </c>
      <c r="V25" s="4">
        <f t="shared" si="13"/>
        <v>1</v>
      </c>
      <c r="W25" s="12">
        <v>0.494755</v>
      </c>
      <c r="X25" s="62">
        <v>0.55310800000000004</v>
      </c>
      <c r="Y25" s="59">
        <v>0.60522900000000002</v>
      </c>
      <c r="Z25" s="59">
        <v>0.63588199999999995</v>
      </c>
      <c r="AA25" s="59">
        <v>0.587399</v>
      </c>
      <c r="AB25" s="59">
        <v>0.58570800000000001</v>
      </c>
      <c r="AE25" s="149">
        <f>AH25/(AH25+AJ25)</f>
        <v>7.1097120541754261E-3</v>
      </c>
      <c r="AF25" s="188" t="s">
        <v>229</v>
      </c>
      <c r="AG25" s="4">
        <v>0</v>
      </c>
      <c r="AH25" s="161">
        <v>58619</v>
      </c>
      <c r="AI25" s="161">
        <v>0</v>
      </c>
      <c r="AJ25" s="161">
        <v>8186300</v>
      </c>
      <c r="AK25" s="161">
        <v>570210</v>
      </c>
      <c r="AL25" s="161">
        <v>272130</v>
      </c>
      <c r="AM25" s="161">
        <v>142330</v>
      </c>
      <c r="AN25" s="161">
        <v>96040</v>
      </c>
      <c r="AQ25" s="96">
        <v>16</v>
      </c>
      <c r="AR25" s="124">
        <f t="shared" si="15"/>
        <v>95</v>
      </c>
      <c r="AS25" s="121">
        <v>1.3149090000000001</v>
      </c>
      <c r="AT25" s="97"/>
      <c r="AU25" s="88">
        <f t="shared" si="16"/>
        <v>95</v>
      </c>
      <c r="AV25" s="12">
        <v>1.2431669999999999</v>
      </c>
      <c r="AW25" s="97">
        <v>16</v>
      </c>
      <c r="AX25" s="88">
        <f t="shared" si="17"/>
        <v>95</v>
      </c>
      <c r="AY25" s="122">
        <v>1.1106579999999999</v>
      </c>
      <c r="AZ25" s="97">
        <v>16</v>
      </c>
      <c r="BA25" s="88">
        <f t="shared" si="18"/>
        <v>95</v>
      </c>
      <c r="BB25" s="122">
        <v>1.0224979999999999</v>
      </c>
      <c r="BC25" s="97">
        <v>16</v>
      </c>
      <c r="BD25" s="88">
        <f t="shared" si="19"/>
        <v>95</v>
      </c>
      <c r="BE25" s="121">
        <v>1.0197130000000001</v>
      </c>
      <c r="BH25" s="88">
        <f t="shared" si="14"/>
        <v>101.25</v>
      </c>
      <c r="BI25" s="19">
        <f t="shared" si="3"/>
        <v>179.36558129839997</v>
      </c>
      <c r="BJ25" s="19">
        <f t="shared" si="4"/>
        <v>132.96931709949999</v>
      </c>
      <c r="BK25" s="19">
        <f t="shared" si="5"/>
        <v>88.943344314859999</v>
      </c>
      <c r="BL25" s="19">
        <f t="shared" si="6"/>
        <v>67.142365290000001</v>
      </c>
      <c r="BM25" s="19">
        <f t="shared" si="7"/>
        <v>58.496715612515004</v>
      </c>
    </row>
    <row r="26" spans="1:65" x14ac:dyDescent="0.25">
      <c r="A26" s="4"/>
      <c r="B26" s="4">
        <v>1</v>
      </c>
      <c r="C26" s="4">
        <v>18</v>
      </c>
      <c r="D26" s="4">
        <v>720</v>
      </c>
      <c r="E26" s="4">
        <f t="shared" si="8"/>
        <v>9486</v>
      </c>
      <c r="F26" s="4">
        <f t="shared" si="9"/>
        <v>395.25</v>
      </c>
      <c r="G26" s="4">
        <f t="shared" si="10"/>
        <v>1.0821355236139631</v>
      </c>
      <c r="H26" s="4">
        <v>1.0851443000000001</v>
      </c>
      <c r="I26" s="62">
        <v>1.0510520000000001</v>
      </c>
      <c r="J26" s="62">
        <v>1.0329440000000001</v>
      </c>
      <c r="K26" s="114">
        <v>1.0430428</v>
      </c>
      <c r="L26" s="62">
        <v>1.1061312999999999</v>
      </c>
      <c r="M26" s="62">
        <v>1.1065102</v>
      </c>
      <c r="N26" t="s">
        <v>252</v>
      </c>
      <c r="P26" s="4"/>
      <c r="Q26" s="4">
        <v>1</v>
      </c>
      <c r="R26" s="4">
        <v>18</v>
      </c>
      <c r="S26" s="4">
        <v>720</v>
      </c>
      <c r="T26" s="4">
        <f t="shared" si="11"/>
        <v>9486</v>
      </c>
      <c r="U26" s="4">
        <f t="shared" si="20"/>
        <v>395.25</v>
      </c>
      <c r="V26" s="4">
        <f t="shared" si="13"/>
        <v>1.0821355236139631</v>
      </c>
      <c r="W26" s="12">
        <v>0.49478699999999998</v>
      </c>
      <c r="X26" s="62">
        <v>0.55471700000000002</v>
      </c>
      <c r="Y26" s="59">
        <v>0.60523800000000005</v>
      </c>
      <c r="Z26" s="59">
        <v>0.63588</v>
      </c>
      <c r="AA26" s="59">
        <v>0.58740599999999998</v>
      </c>
      <c r="AB26" s="59">
        <v>0.58571600000000001</v>
      </c>
      <c r="AC26" t="s">
        <v>252</v>
      </c>
      <c r="AF26" s="189"/>
      <c r="AG26" s="4">
        <v>1</v>
      </c>
      <c r="AH26" s="161">
        <v>55879</v>
      </c>
      <c r="AI26" s="161">
        <v>824.16</v>
      </c>
      <c r="AJ26" s="161">
        <v>8196600</v>
      </c>
      <c r="AK26" s="161">
        <v>543170</v>
      </c>
      <c r="AL26" s="161">
        <v>272340</v>
      </c>
      <c r="AM26" s="161">
        <v>143980</v>
      </c>
      <c r="AN26" s="161">
        <v>96736</v>
      </c>
      <c r="AQ26" s="95">
        <v>17</v>
      </c>
      <c r="AR26" s="124">
        <f t="shared" si="15"/>
        <v>101.25</v>
      </c>
      <c r="AS26" s="121">
        <v>1.3679539999999999</v>
      </c>
      <c r="AT26" s="95"/>
      <c r="AU26" s="88">
        <f t="shared" si="16"/>
        <v>101.25</v>
      </c>
      <c r="AV26" s="12">
        <v>1.2825949999999999</v>
      </c>
      <c r="AW26" s="95">
        <v>17</v>
      </c>
      <c r="AX26" s="88">
        <f t="shared" si="17"/>
        <v>101.25</v>
      </c>
      <c r="AY26" s="122">
        <v>1.1132169999999999</v>
      </c>
      <c r="AZ26" s="95">
        <v>17</v>
      </c>
      <c r="BA26" s="88">
        <f t="shared" si="18"/>
        <v>101.25</v>
      </c>
      <c r="BB26" s="122">
        <v>1.0121100000000001</v>
      </c>
      <c r="BC26" s="95">
        <v>17</v>
      </c>
      <c r="BD26" s="88">
        <f t="shared" si="19"/>
        <v>101.25</v>
      </c>
      <c r="BE26" s="121">
        <v>0.99590829999999997</v>
      </c>
      <c r="BH26" s="88">
        <f t="shared" si="14"/>
        <v>107.5</v>
      </c>
      <c r="BI26" s="19">
        <f t="shared" si="3"/>
        <v>184.90236864759999</v>
      </c>
      <c r="BJ26" s="19">
        <f t="shared" si="4"/>
        <v>136.27739013839999</v>
      </c>
      <c r="BK26" s="19">
        <f t="shared" si="5"/>
        <v>89.216913628780006</v>
      </c>
      <c r="BL26" s="19">
        <f t="shared" si="6"/>
        <v>66.757665428999999</v>
      </c>
      <c r="BM26" s="19">
        <f t="shared" si="7"/>
        <v>57.460200512280004</v>
      </c>
    </row>
    <row r="27" spans="1:65" x14ac:dyDescent="0.25">
      <c r="A27" s="4"/>
      <c r="B27" s="4">
        <v>2</v>
      </c>
      <c r="C27" s="4">
        <v>19</v>
      </c>
      <c r="D27" s="4">
        <v>720</v>
      </c>
      <c r="E27" s="4">
        <f t="shared" si="8"/>
        <v>10206</v>
      </c>
      <c r="F27" s="4">
        <f t="shared" si="9"/>
        <v>425.25</v>
      </c>
      <c r="G27" s="4">
        <f t="shared" si="10"/>
        <v>1.1642710472279261</v>
      </c>
      <c r="H27" s="4">
        <v>1.0796911</v>
      </c>
      <c r="I27" s="62">
        <v>1.0484993</v>
      </c>
      <c r="J27" s="62">
        <v>1.0322229999999999</v>
      </c>
      <c r="K27" s="114">
        <v>1.0426381</v>
      </c>
      <c r="L27" s="62">
        <v>1.1033577999999999</v>
      </c>
      <c r="M27" s="62">
        <v>1.1038581000000001</v>
      </c>
      <c r="P27" s="4"/>
      <c r="Q27" s="4">
        <v>2</v>
      </c>
      <c r="R27" s="4">
        <v>19</v>
      </c>
      <c r="S27" s="4">
        <v>720</v>
      </c>
      <c r="T27" s="4">
        <f t="shared" si="11"/>
        <v>10206</v>
      </c>
      <c r="U27" s="4">
        <f t="shared" si="20"/>
        <v>425.25</v>
      </c>
      <c r="V27" s="4">
        <f t="shared" si="13"/>
        <v>1.1642710472279261</v>
      </c>
      <c r="W27" s="12">
        <v>0.49871199999999999</v>
      </c>
      <c r="X27" s="62">
        <v>0.55595300000000003</v>
      </c>
      <c r="Y27" s="59">
        <v>0.60564399999999996</v>
      </c>
      <c r="Z27" s="59">
        <v>0.63619199999999998</v>
      </c>
      <c r="AA27" s="59">
        <v>0.58851299999999995</v>
      </c>
      <c r="AB27" s="59">
        <v>0.58678399999999997</v>
      </c>
      <c r="AF27" s="189"/>
      <c r="AG27" s="4">
        <v>3</v>
      </c>
      <c r="AH27" s="161">
        <v>49849</v>
      </c>
      <c r="AI27" s="161">
        <v>2398.9</v>
      </c>
      <c r="AJ27" s="161">
        <v>8137100</v>
      </c>
      <c r="AK27" s="161">
        <v>486690</v>
      </c>
      <c r="AL27" s="161">
        <v>268230</v>
      </c>
      <c r="AM27" s="161">
        <v>144930</v>
      </c>
      <c r="AN27" s="161">
        <v>97655</v>
      </c>
      <c r="AQ27" s="96">
        <v>18</v>
      </c>
      <c r="AR27" s="124">
        <f t="shared" si="15"/>
        <v>107.5</v>
      </c>
      <c r="AS27" s="121">
        <v>1.4101809999999999</v>
      </c>
      <c r="AT27" s="97"/>
      <c r="AU27" s="88">
        <f t="shared" si="16"/>
        <v>107.5</v>
      </c>
      <c r="AV27" s="12">
        <v>1.3145039999999999</v>
      </c>
      <c r="AW27" s="97">
        <v>18</v>
      </c>
      <c r="AX27" s="88">
        <f t="shared" si="17"/>
        <v>107.5</v>
      </c>
      <c r="AY27" s="122">
        <v>1.116641</v>
      </c>
      <c r="AZ27" s="97">
        <v>18</v>
      </c>
      <c r="BA27" s="88">
        <f t="shared" si="18"/>
        <v>107.5</v>
      </c>
      <c r="BB27" s="122">
        <v>1.006311</v>
      </c>
      <c r="BC27" s="97">
        <v>18</v>
      </c>
      <c r="BD27" s="88">
        <f t="shared" si="19"/>
        <v>107.5</v>
      </c>
      <c r="BE27" s="121">
        <v>0.97826159999999995</v>
      </c>
      <c r="BH27" s="88">
        <f t="shared" si="14"/>
        <v>113.75</v>
      </c>
      <c r="BI27" s="19">
        <f t="shared" si="3"/>
        <v>188.95370204839998</v>
      </c>
      <c r="BJ27" s="19">
        <f t="shared" si="4"/>
        <v>138.7216672401</v>
      </c>
      <c r="BK27" s="19">
        <f t="shared" si="5"/>
        <v>89.492160791879996</v>
      </c>
      <c r="BL27" s="19">
        <f t="shared" si="6"/>
        <v>66.608270000999994</v>
      </c>
      <c r="BM27" s="19">
        <f t="shared" si="7"/>
        <v>56.73344699263</v>
      </c>
    </row>
    <row r="28" spans="1:65" x14ac:dyDescent="0.25">
      <c r="A28" s="4"/>
      <c r="B28" s="4">
        <v>3</v>
      </c>
      <c r="C28" s="4">
        <v>20</v>
      </c>
      <c r="D28" s="4">
        <v>720</v>
      </c>
      <c r="E28" s="4">
        <f t="shared" si="8"/>
        <v>10926</v>
      </c>
      <c r="F28" s="4">
        <f t="shared" si="9"/>
        <v>455.25</v>
      </c>
      <c r="G28" s="4">
        <f t="shared" si="10"/>
        <v>1.2464065708418892</v>
      </c>
      <c r="H28" s="4">
        <v>1.0745792000000001</v>
      </c>
      <c r="I28" s="62">
        <v>1.0457702</v>
      </c>
      <c r="J28" s="62">
        <v>1.0315558</v>
      </c>
      <c r="K28" s="114">
        <v>1.0421115000000001</v>
      </c>
      <c r="L28" s="62">
        <v>1.1006575999999999</v>
      </c>
      <c r="M28" s="62">
        <v>1.1012744999999999</v>
      </c>
      <c r="P28" s="4"/>
      <c r="Q28" s="4">
        <v>3</v>
      </c>
      <c r="R28" s="4">
        <v>20</v>
      </c>
      <c r="S28" s="4">
        <v>720</v>
      </c>
      <c r="T28" s="4">
        <f t="shared" si="11"/>
        <v>10926</v>
      </c>
      <c r="U28" s="4">
        <f t="shared" si="20"/>
        <v>455.25</v>
      </c>
      <c r="V28" s="4">
        <f t="shared" si="13"/>
        <v>1.2464065708418892</v>
      </c>
      <c r="W28" s="12">
        <v>0.50217500000000004</v>
      </c>
      <c r="X28" s="62">
        <v>0.55684299999999998</v>
      </c>
      <c r="Y28" s="59">
        <v>0.60603799999999997</v>
      </c>
      <c r="Z28" s="59">
        <v>0.63653000000000004</v>
      </c>
      <c r="AA28" s="59">
        <v>0.58961300000000005</v>
      </c>
      <c r="AB28" s="59">
        <v>0.587843</v>
      </c>
      <c r="AF28" s="190"/>
      <c r="AG28" s="4">
        <v>5</v>
      </c>
      <c r="AH28" s="161">
        <v>44227</v>
      </c>
      <c r="AI28" s="161">
        <v>3767.3</v>
      </c>
      <c r="AJ28" s="161">
        <v>8075000</v>
      </c>
      <c r="AK28" s="161">
        <v>436060</v>
      </c>
      <c r="AL28" s="161">
        <v>261920</v>
      </c>
      <c r="AM28" s="161">
        <v>144350</v>
      </c>
      <c r="AN28" s="161">
        <v>99011</v>
      </c>
      <c r="AQ28" s="95">
        <v>19</v>
      </c>
      <c r="AR28" s="124">
        <f t="shared" si="15"/>
        <v>113.75</v>
      </c>
      <c r="AS28" s="121">
        <v>1.441079</v>
      </c>
      <c r="AT28" s="95"/>
      <c r="AU28" s="88">
        <f t="shared" si="16"/>
        <v>113.75</v>
      </c>
      <c r="AV28" s="12">
        <v>1.3380810000000001</v>
      </c>
      <c r="AW28" s="95">
        <v>19</v>
      </c>
      <c r="AX28" s="88">
        <f t="shared" si="17"/>
        <v>113.75</v>
      </c>
      <c r="AY28" s="122">
        <v>1.1200859999999999</v>
      </c>
      <c r="AZ28" s="95">
        <v>19</v>
      </c>
      <c r="BA28" s="88">
        <f t="shared" si="18"/>
        <v>113.75</v>
      </c>
      <c r="BB28" s="122">
        <v>1.004059</v>
      </c>
      <c r="BC28" s="95">
        <v>19</v>
      </c>
      <c r="BD28" s="88">
        <f t="shared" si="19"/>
        <v>113.75</v>
      </c>
      <c r="BE28" s="121">
        <v>0.96588859999999999</v>
      </c>
      <c r="BH28" s="88">
        <f t="shared" si="14"/>
        <v>120</v>
      </c>
      <c r="BI28" s="19">
        <f t="shared" si="3"/>
        <v>191.4624133552</v>
      </c>
      <c r="BJ28" s="19">
        <f t="shared" si="4"/>
        <v>140.23082199980001</v>
      </c>
      <c r="BK28" s="19">
        <f t="shared" si="5"/>
        <v>89.717152377160005</v>
      </c>
      <c r="BL28" s="19">
        <f t="shared" si="6"/>
        <v>66.643296992999993</v>
      </c>
      <c r="BM28" s="19">
        <f t="shared" si="7"/>
        <v>56.277612242400004</v>
      </c>
    </row>
    <row r="29" spans="1:65" x14ac:dyDescent="0.25">
      <c r="A29" s="4"/>
      <c r="B29" s="4">
        <v>4</v>
      </c>
      <c r="C29" s="4">
        <v>21</v>
      </c>
      <c r="D29" s="4">
        <v>720</v>
      </c>
      <c r="E29" s="4">
        <f t="shared" si="8"/>
        <v>11646</v>
      </c>
      <c r="F29" s="4">
        <f t="shared" si="9"/>
        <v>485.25</v>
      </c>
      <c r="G29" s="4">
        <f t="shared" si="10"/>
        <v>1.3285420944558521</v>
      </c>
      <c r="H29" s="4">
        <v>1.0712229</v>
      </c>
      <c r="I29" s="62">
        <v>1.0432944</v>
      </c>
      <c r="J29" s="62">
        <v>1.0311612999999999</v>
      </c>
      <c r="K29" s="114">
        <v>1.0415988</v>
      </c>
      <c r="L29" s="62">
        <v>1.0980053999999999</v>
      </c>
      <c r="M29" s="62">
        <v>1.0987231</v>
      </c>
      <c r="P29" s="4"/>
      <c r="Q29" s="4">
        <v>4</v>
      </c>
      <c r="R29" s="4">
        <v>21</v>
      </c>
      <c r="S29" s="4">
        <v>720</v>
      </c>
      <c r="T29" s="4">
        <f t="shared" si="11"/>
        <v>11646</v>
      </c>
      <c r="U29" s="4">
        <f t="shared" si="20"/>
        <v>485.25</v>
      </c>
      <c r="V29" s="4">
        <f t="shared" si="13"/>
        <v>1.3285420944558521</v>
      </c>
      <c r="W29" s="12">
        <v>0.50441499999999995</v>
      </c>
      <c r="X29" s="62">
        <v>0.55798499999999995</v>
      </c>
      <c r="Y29" s="59">
        <v>0.60634900000000003</v>
      </c>
      <c r="Z29" s="59">
        <v>0.63685599999999998</v>
      </c>
      <c r="AA29" s="59">
        <v>0.59069899999999997</v>
      </c>
      <c r="AB29" s="59">
        <v>0.58889499999999995</v>
      </c>
      <c r="AE29" s="149">
        <f>AH29/(AH29+AJ29)</f>
        <v>7.1097791268111311E-3</v>
      </c>
      <c r="AF29" s="188" t="s">
        <v>230</v>
      </c>
      <c r="AG29" s="4">
        <v>0</v>
      </c>
      <c r="AH29" s="161">
        <v>58568</v>
      </c>
      <c r="AI29" s="161">
        <v>0</v>
      </c>
      <c r="AJ29" s="161">
        <v>8179100</v>
      </c>
      <c r="AK29" s="161">
        <v>569720</v>
      </c>
      <c r="AL29" s="161">
        <v>271890</v>
      </c>
      <c r="AM29" s="161">
        <v>142200</v>
      </c>
      <c r="AN29" s="161">
        <v>95956</v>
      </c>
      <c r="AQ29" s="96">
        <v>20</v>
      </c>
      <c r="AR29" s="124">
        <f t="shared" si="15"/>
        <v>120</v>
      </c>
      <c r="AS29" s="121">
        <v>1.4602120000000001</v>
      </c>
      <c r="AT29" s="97"/>
      <c r="AU29" s="88">
        <f t="shared" si="16"/>
        <v>120</v>
      </c>
      <c r="AV29" s="12">
        <v>1.352638</v>
      </c>
      <c r="AW29" s="97">
        <v>20</v>
      </c>
      <c r="AX29" s="88">
        <f t="shared" si="17"/>
        <v>120</v>
      </c>
      <c r="AY29" s="122">
        <v>1.1229020000000001</v>
      </c>
      <c r="AZ29" s="97">
        <v>20</v>
      </c>
      <c r="BA29" s="88">
        <f t="shared" si="18"/>
        <v>120</v>
      </c>
      <c r="BB29" s="122">
        <v>1.0045869999999999</v>
      </c>
      <c r="BC29" s="97">
        <v>20</v>
      </c>
      <c r="BD29" s="88">
        <f t="shared" si="19"/>
        <v>120</v>
      </c>
      <c r="BE29" s="121">
        <v>0.95812799999999998</v>
      </c>
      <c r="BH29" s="88">
        <f t="shared" si="14"/>
        <v>126.25</v>
      </c>
      <c r="BI29" s="19">
        <f t="shared" si="3"/>
        <v>192.38365966480001</v>
      </c>
      <c r="BJ29" s="19">
        <f t="shared" si="4"/>
        <v>140.43764783929998</v>
      </c>
      <c r="BK29" s="19">
        <f t="shared" si="5"/>
        <v>89.635976435879996</v>
      </c>
      <c r="BL29" s="19">
        <f t="shared" si="6"/>
        <v>66.632749092000012</v>
      </c>
      <c r="BM29" s="19">
        <f t="shared" si="7"/>
        <v>55.901630511645003</v>
      </c>
    </row>
    <row r="30" spans="1:65" x14ac:dyDescent="0.25">
      <c r="A30" s="4"/>
      <c r="B30" s="4">
        <v>5</v>
      </c>
      <c r="C30" s="4">
        <v>22</v>
      </c>
      <c r="D30" s="4">
        <v>720</v>
      </c>
      <c r="E30" s="4">
        <f t="shared" si="8"/>
        <v>12366</v>
      </c>
      <c r="F30" s="4">
        <f t="shared" si="9"/>
        <v>515.25</v>
      </c>
      <c r="G30" s="4">
        <f t="shared" si="10"/>
        <v>1.4106776180698153</v>
      </c>
      <c r="H30" s="4">
        <v>1.0697478</v>
      </c>
      <c r="I30" s="62">
        <v>1.0408716</v>
      </c>
      <c r="J30" s="62">
        <v>1.0305797000000001</v>
      </c>
      <c r="K30" s="114">
        <v>1.0408980999999999</v>
      </c>
      <c r="L30" s="62">
        <v>1.0954064999999999</v>
      </c>
      <c r="M30" s="62">
        <v>1.0962297999999999</v>
      </c>
      <c r="P30" s="4"/>
      <c r="Q30" s="4">
        <v>5</v>
      </c>
      <c r="R30" s="4">
        <v>22</v>
      </c>
      <c r="S30" s="4">
        <v>720</v>
      </c>
      <c r="T30" s="4">
        <f t="shared" si="11"/>
        <v>12366</v>
      </c>
      <c r="U30" s="4">
        <f t="shared" si="20"/>
        <v>515.25</v>
      </c>
      <c r="V30" s="4">
        <f t="shared" si="13"/>
        <v>1.4106776180698153</v>
      </c>
      <c r="W30" s="12">
        <v>0.50558099999999995</v>
      </c>
      <c r="X30" s="62">
        <v>0.55887799999999999</v>
      </c>
      <c r="Y30" s="59">
        <v>0.60670599999999997</v>
      </c>
      <c r="Z30" s="59">
        <v>0.63722699999999999</v>
      </c>
      <c r="AA30" s="59">
        <v>0.59177500000000005</v>
      </c>
      <c r="AB30" s="59">
        <v>0.58993499999999999</v>
      </c>
      <c r="AF30" s="189"/>
      <c r="AG30" s="4">
        <v>1</v>
      </c>
      <c r="AH30" s="161">
        <v>55890</v>
      </c>
      <c r="AI30" s="161">
        <v>825.04</v>
      </c>
      <c r="AJ30" s="161">
        <v>8198400</v>
      </c>
      <c r="AK30" s="161">
        <v>543250</v>
      </c>
      <c r="AL30" s="161">
        <v>272410</v>
      </c>
      <c r="AM30" s="161">
        <v>144020</v>
      </c>
      <c r="AN30" s="161">
        <v>96754</v>
      </c>
      <c r="AQ30" s="95">
        <v>21</v>
      </c>
      <c r="AR30" s="124">
        <f t="shared" si="15"/>
        <v>126.25</v>
      </c>
      <c r="AS30" s="121">
        <v>1.467238</v>
      </c>
      <c r="AT30" s="95"/>
      <c r="AU30" s="88">
        <f t="shared" si="16"/>
        <v>126.25</v>
      </c>
      <c r="AV30" s="12">
        <v>1.354633</v>
      </c>
      <c r="AW30" s="95">
        <v>21</v>
      </c>
      <c r="AX30" s="88">
        <f t="shared" si="17"/>
        <v>126.25</v>
      </c>
      <c r="AY30" s="122">
        <v>1.1218859999999999</v>
      </c>
      <c r="AZ30" s="95">
        <v>21</v>
      </c>
      <c r="BA30" s="88">
        <f t="shared" si="18"/>
        <v>126.25</v>
      </c>
      <c r="BB30" s="122">
        <v>1.0044280000000001</v>
      </c>
      <c r="BC30" s="95">
        <v>21</v>
      </c>
      <c r="BD30" s="88">
        <f t="shared" si="19"/>
        <v>126.25</v>
      </c>
      <c r="BE30" s="121">
        <v>0.95172690000000004</v>
      </c>
      <c r="BH30" s="88">
        <f t="shared" si="14"/>
        <v>132.5</v>
      </c>
      <c r="BI30" s="19">
        <f t="shared" si="3"/>
        <v>191.68557891439997</v>
      </c>
      <c r="BJ30" s="19">
        <f t="shared" si="4"/>
        <v>140.11543495250001</v>
      </c>
      <c r="BK30" s="19">
        <f t="shared" si="5"/>
        <v>89.928641271420005</v>
      </c>
      <c r="BL30" s="19">
        <f t="shared" si="6"/>
        <v>67.139181018000002</v>
      </c>
      <c r="BM30" s="19">
        <f t="shared" si="7"/>
        <v>56.087879823490006</v>
      </c>
    </row>
    <row r="31" spans="1:65" x14ac:dyDescent="0.25">
      <c r="A31" s="4"/>
      <c r="B31" s="4">
        <v>6</v>
      </c>
      <c r="C31" s="4">
        <v>23</v>
      </c>
      <c r="D31" s="4">
        <v>720</v>
      </c>
      <c r="E31" s="4">
        <f t="shared" si="8"/>
        <v>13086</v>
      </c>
      <c r="F31" s="4">
        <f t="shared" si="9"/>
        <v>545.25</v>
      </c>
      <c r="G31" s="4">
        <f t="shared" si="10"/>
        <v>1.4928131416837782</v>
      </c>
      <c r="H31" s="4">
        <v>1.0698274000000001</v>
      </c>
      <c r="I31" s="62">
        <v>1.0387944</v>
      </c>
      <c r="J31" s="64">
        <v>1.0303415</v>
      </c>
      <c r="K31" s="114">
        <v>1.0400794</v>
      </c>
      <c r="L31" s="62">
        <v>1.0928787</v>
      </c>
      <c r="M31" s="62">
        <v>1.0937809000000001</v>
      </c>
      <c r="P31" s="4"/>
      <c r="Q31" s="4">
        <v>6</v>
      </c>
      <c r="R31" s="4">
        <v>23</v>
      </c>
      <c r="S31" s="4">
        <v>720</v>
      </c>
      <c r="T31" s="4">
        <f t="shared" si="11"/>
        <v>13086</v>
      </c>
      <c r="U31" s="4">
        <f t="shared" si="20"/>
        <v>545.25</v>
      </c>
      <c r="V31" s="13">
        <f t="shared" si="13"/>
        <v>1.4928131416837782</v>
      </c>
      <c r="W31" s="12">
        <v>0.50606300000000004</v>
      </c>
      <c r="X31" s="64">
        <v>0.55979599999999996</v>
      </c>
      <c r="Y31" s="60">
        <v>0.606989</v>
      </c>
      <c r="Z31" s="59">
        <v>0.63762600000000003</v>
      </c>
      <c r="AA31" s="59">
        <v>0.59282500000000005</v>
      </c>
      <c r="AB31" s="59">
        <v>0.59096599999999999</v>
      </c>
      <c r="AF31" s="189"/>
      <c r="AG31" s="4">
        <v>3</v>
      </c>
      <c r="AH31" s="161">
        <v>49849</v>
      </c>
      <c r="AI31" s="161">
        <v>2405.1</v>
      </c>
      <c r="AJ31" s="161">
        <v>8139000</v>
      </c>
      <c r="AK31" s="161">
        <v>486590</v>
      </c>
      <c r="AL31" s="161">
        <v>268350</v>
      </c>
      <c r="AM31" s="161">
        <v>145010</v>
      </c>
      <c r="AN31" s="161">
        <v>97665</v>
      </c>
      <c r="AQ31" s="96">
        <v>22</v>
      </c>
      <c r="AR31" s="124">
        <f t="shared" si="15"/>
        <v>132.5</v>
      </c>
      <c r="AS31" s="121">
        <v>1.4619139999999999</v>
      </c>
      <c r="AT31" s="97"/>
      <c r="AU31" s="88">
        <f t="shared" si="16"/>
        <v>132.5</v>
      </c>
      <c r="AV31" s="12">
        <v>1.3515250000000001</v>
      </c>
      <c r="AW31" s="97">
        <v>22</v>
      </c>
      <c r="AX31" s="88">
        <f t="shared" si="17"/>
        <v>132.5</v>
      </c>
      <c r="AY31" s="122">
        <v>1.1255489999999999</v>
      </c>
      <c r="AZ31" s="97">
        <v>22</v>
      </c>
      <c r="BA31" s="88">
        <f t="shared" si="18"/>
        <v>132.5</v>
      </c>
      <c r="BB31" s="122">
        <v>1.012062</v>
      </c>
      <c r="BC31" s="97">
        <v>22</v>
      </c>
      <c r="BD31" s="88">
        <f t="shared" si="19"/>
        <v>132.5</v>
      </c>
      <c r="BE31" s="121">
        <v>0.95489780000000002</v>
      </c>
      <c r="BH31" s="88">
        <f t="shared" si="14"/>
        <v>138.75</v>
      </c>
      <c r="BI31" s="19">
        <f t="shared" si="3"/>
        <v>189.35086331679997</v>
      </c>
      <c r="BJ31" s="19">
        <f t="shared" si="4"/>
        <v>138.92351681880001</v>
      </c>
      <c r="BK31" s="19">
        <f t="shared" si="5"/>
        <v>90.361606257440002</v>
      </c>
      <c r="BL31" s="19">
        <f t="shared" si="6"/>
        <v>67.958799362999997</v>
      </c>
      <c r="BM31" s="19">
        <f t="shared" si="7"/>
        <v>56.660677661385009</v>
      </c>
    </row>
    <row r="32" spans="1:65" x14ac:dyDescent="0.25">
      <c r="A32" s="4"/>
      <c r="B32" s="4">
        <v>7</v>
      </c>
      <c r="C32" s="4">
        <v>24</v>
      </c>
      <c r="D32" s="4">
        <v>720</v>
      </c>
      <c r="E32" s="4">
        <f t="shared" si="8"/>
        <v>13806</v>
      </c>
      <c r="F32" s="4">
        <f t="shared" si="9"/>
        <v>575.25</v>
      </c>
      <c r="G32" s="4">
        <f t="shared" si="10"/>
        <v>1.5749486652977414</v>
      </c>
      <c r="H32" s="13">
        <v>1.0695101</v>
      </c>
      <c r="I32" s="62">
        <v>1.0365435999999999</v>
      </c>
      <c r="J32" s="62">
        <v>1.0298518999999999</v>
      </c>
      <c r="K32" s="114">
        <v>1.0391518</v>
      </c>
      <c r="L32" s="62">
        <v>1.0903825</v>
      </c>
      <c r="M32" s="62">
        <v>1.0913656</v>
      </c>
      <c r="P32" s="4"/>
      <c r="Q32" s="4">
        <v>7</v>
      </c>
      <c r="R32" s="4">
        <v>24</v>
      </c>
      <c r="S32" s="4">
        <v>720</v>
      </c>
      <c r="T32" s="4">
        <f t="shared" si="11"/>
        <v>13806</v>
      </c>
      <c r="U32" s="4">
        <f t="shared" si="20"/>
        <v>575.25</v>
      </c>
      <c r="V32" s="13">
        <f t="shared" si="13"/>
        <v>1.5749486652977414</v>
      </c>
      <c r="W32" s="115">
        <v>0.50723499999999999</v>
      </c>
      <c r="X32" s="62">
        <v>0.560697</v>
      </c>
      <c r="Y32" s="59">
        <v>0.60733599999999999</v>
      </c>
      <c r="Z32" s="59">
        <v>0.63803900000000002</v>
      </c>
      <c r="AA32" s="59">
        <v>0.59387999999999996</v>
      </c>
      <c r="AB32" s="59">
        <v>0.59198799999999996</v>
      </c>
      <c r="AF32" s="190"/>
      <c r="AG32" s="4">
        <v>5</v>
      </c>
      <c r="AH32" s="161">
        <v>44210</v>
      </c>
      <c r="AI32" s="161">
        <v>3781</v>
      </c>
      <c r="AJ32" s="161">
        <v>8077000</v>
      </c>
      <c r="AK32" s="161">
        <v>435730</v>
      </c>
      <c r="AL32" s="161">
        <v>262100</v>
      </c>
      <c r="AM32" s="161">
        <v>144480</v>
      </c>
      <c r="AN32" s="161">
        <v>99015</v>
      </c>
      <c r="AQ32" s="95">
        <v>23</v>
      </c>
      <c r="AR32" s="124">
        <f t="shared" si="15"/>
        <v>138.75</v>
      </c>
      <c r="AS32" s="121">
        <v>1.4441079999999999</v>
      </c>
      <c r="AT32" s="95"/>
      <c r="AU32" s="88">
        <f t="shared" si="16"/>
        <v>138.75</v>
      </c>
      <c r="AV32" s="12">
        <v>1.340028</v>
      </c>
      <c r="AW32" s="95">
        <v>23</v>
      </c>
      <c r="AX32" s="88">
        <f t="shared" si="17"/>
        <v>138.75</v>
      </c>
      <c r="AY32" s="122">
        <v>1.130968</v>
      </c>
      <c r="AZ32" s="95">
        <v>23</v>
      </c>
      <c r="BA32" s="88">
        <f t="shared" si="18"/>
        <v>138.75</v>
      </c>
      <c r="BB32" s="122">
        <v>1.0244169999999999</v>
      </c>
      <c r="BC32" s="95">
        <v>23</v>
      </c>
      <c r="BD32" s="88">
        <f t="shared" si="19"/>
        <v>138.75</v>
      </c>
      <c r="BE32" s="121">
        <v>0.96464970000000005</v>
      </c>
      <c r="BH32" s="88">
        <f t="shared" si="14"/>
        <v>145</v>
      </c>
      <c r="BI32" s="19">
        <f t="shared" si="3"/>
        <v>185.37754607799999</v>
      </c>
      <c r="BJ32" s="19">
        <f t="shared" si="4"/>
        <v>136.84509855799999</v>
      </c>
      <c r="BK32" s="19">
        <f t="shared" si="5"/>
        <v>90.928958973020002</v>
      </c>
      <c r="BL32" s="19">
        <f t="shared" si="6"/>
        <v>69.09439036500001</v>
      </c>
      <c r="BM32" s="19">
        <f t="shared" si="7"/>
        <v>57.616517423445003</v>
      </c>
    </row>
    <row r="33" spans="1:65" x14ac:dyDescent="0.25">
      <c r="A33" s="4"/>
      <c r="B33" s="4">
        <v>8</v>
      </c>
      <c r="C33" s="4">
        <v>25</v>
      </c>
      <c r="D33" s="4">
        <v>720</v>
      </c>
      <c r="E33" s="4">
        <f t="shared" si="8"/>
        <v>14526</v>
      </c>
      <c r="F33" s="4">
        <f t="shared" si="9"/>
        <v>605.25</v>
      </c>
      <c r="G33" s="4">
        <f t="shared" si="10"/>
        <v>1.6570841889117043</v>
      </c>
      <c r="H33" s="4">
        <v>1.0673044</v>
      </c>
      <c r="I33" s="62">
        <v>1.0342115999999999</v>
      </c>
      <c r="J33" s="62">
        <v>1.0294247999999999</v>
      </c>
      <c r="K33" s="114">
        <v>1.0381351000000001</v>
      </c>
      <c r="L33" s="62">
        <v>1.0879177</v>
      </c>
      <c r="M33" s="62">
        <v>1.0889979999999999</v>
      </c>
      <c r="P33" s="4"/>
      <c r="Q33" s="4">
        <v>8</v>
      </c>
      <c r="R33" s="4">
        <v>25</v>
      </c>
      <c r="S33" s="4">
        <v>720</v>
      </c>
      <c r="T33" s="4">
        <f t="shared" si="11"/>
        <v>14526</v>
      </c>
      <c r="U33" s="4">
        <f t="shared" si="20"/>
        <v>605.25</v>
      </c>
      <c r="V33" s="13">
        <f t="shared" si="13"/>
        <v>1.6570841889117043</v>
      </c>
      <c r="W33" s="12">
        <v>0.50968100000000005</v>
      </c>
      <c r="X33" s="62">
        <v>0.56172599999999995</v>
      </c>
      <c r="Y33" s="59">
        <v>0.60766399999999998</v>
      </c>
      <c r="Z33" s="59">
        <v>0.63846000000000003</v>
      </c>
      <c r="AA33" s="59">
        <v>0.59492800000000001</v>
      </c>
      <c r="AB33" s="59">
        <v>0.59299999999999997</v>
      </c>
      <c r="AQ33" s="96">
        <v>24</v>
      </c>
      <c r="AR33" s="124">
        <f t="shared" si="15"/>
        <v>145</v>
      </c>
      <c r="AS33" s="121">
        <v>1.413805</v>
      </c>
      <c r="AT33" s="97"/>
      <c r="AU33" s="88">
        <f t="shared" si="16"/>
        <v>145</v>
      </c>
      <c r="AV33" s="12">
        <v>1.3199799999999999</v>
      </c>
      <c r="AW33" s="97">
        <v>24</v>
      </c>
      <c r="AX33" s="88">
        <f t="shared" si="17"/>
        <v>145</v>
      </c>
      <c r="AY33" s="122">
        <v>1.138069</v>
      </c>
      <c r="AZ33" s="97">
        <v>24</v>
      </c>
      <c r="BA33" s="88">
        <f t="shared" si="18"/>
        <v>145</v>
      </c>
      <c r="BB33" s="122">
        <v>1.0415350000000001</v>
      </c>
      <c r="BC33" s="97">
        <v>24</v>
      </c>
      <c r="BD33" s="88">
        <f t="shared" si="19"/>
        <v>145</v>
      </c>
      <c r="BE33" s="121">
        <v>0.98092290000000004</v>
      </c>
      <c r="BH33" s="88">
        <f t="shared" si="14"/>
        <v>151.25</v>
      </c>
      <c r="BI33" s="19">
        <f t="shared" si="3"/>
        <v>179.77991923439998</v>
      </c>
      <c r="BJ33" s="19">
        <f t="shared" si="4"/>
        <v>133.8913767569</v>
      </c>
      <c r="BK33" s="19">
        <f t="shared" si="5"/>
        <v>91.635493272960005</v>
      </c>
      <c r="BL33" s="19">
        <f t="shared" si="6"/>
        <v>70.565524029000002</v>
      </c>
      <c r="BM33" s="19">
        <f t="shared" si="7"/>
        <v>58.964891016949998</v>
      </c>
    </row>
    <row r="34" spans="1:65" x14ac:dyDescent="0.25">
      <c r="A34" s="4"/>
      <c r="B34" s="4">
        <v>9</v>
      </c>
      <c r="C34" s="4">
        <v>26</v>
      </c>
      <c r="D34" s="4">
        <v>720</v>
      </c>
      <c r="E34" s="4">
        <f t="shared" si="8"/>
        <v>15246</v>
      </c>
      <c r="F34" s="4">
        <f t="shared" si="9"/>
        <v>635.25</v>
      </c>
      <c r="G34" s="4">
        <f t="shared" si="10"/>
        <v>1.7392197125256674</v>
      </c>
      <c r="H34" s="13">
        <v>1.0648493999999999</v>
      </c>
      <c r="I34" s="62">
        <v>1.0320530999999999</v>
      </c>
      <c r="J34" s="62">
        <v>1.0291454</v>
      </c>
      <c r="K34" s="62">
        <v>1.0369192</v>
      </c>
      <c r="L34" s="62">
        <v>1.0854907</v>
      </c>
      <c r="M34" s="62">
        <v>1.0866617000000001</v>
      </c>
      <c r="P34" s="4"/>
      <c r="Q34" s="4">
        <v>9</v>
      </c>
      <c r="R34" s="4">
        <v>26</v>
      </c>
      <c r="S34" s="4">
        <v>720</v>
      </c>
      <c r="T34" s="4">
        <f t="shared" si="11"/>
        <v>15246</v>
      </c>
      <c r="U34" s="4">
        <f t="shared" si="20"/>
        <v>635.25</v>
      </c>
      <c r="V34" s="4">
        <f t="shared" si="13"/>
        <v>1.7392197125256674</v>
      </c>
      <c r="W34" s="12">
        <v>0.51217699999999999</v>
      </c>
      <c r="X34" s="62">
        <v>0.56263799999999997</v>
      </c>
      <c r="Y34" s="59">
        <v>0.60794300000000001</v>
      </c>
      <c r="Z34" s="59">
        <v>0.63893</v>
      </c>
      <c r="AA34" s="59">
        <v>0.59596400000000005</v>
      </c>
      <c r="AB34" s="59">
        <v>0.59401000000000004</v>
      </c>
      <c r="AE34" s="149"/>
      <c r="AF34" s="141"/>
      <c r="AQ34" s="95">
        <v>25</v>
      </c>
      <c r="AR34" s="124">
        <f t="shared" si="15"/>
        <v>151.25</v>
      </c>
      <c r="AS34" s="121">
        <v>1.3711139999999999</v>
      </c>
      <c r="AT34" s="95"/>
      <c r="AU34" s="88">
        <f t="shared" si="16"/>
        <v>151.25</v>
      </c>
      <c r="AV34" s="12">
        <v>1.2914890000000001</v>
      </c>
      <c r="AW34" s="95">
        <v>25</v>
      </c>
      <c r="AX34" s="88">
        <f t="shared" si="17"/>
        <v>151.25</v>
      </c>
      <c r="AY34" s="122">
        <v>1.1469119999999999</v>
      </c>
      <c r="AZ34" s="95">
        <v>25</v>
      </c>
      <c r="BA34" s="88">
        <f t="shared" si="18"/>
        <v>151.25</v>
      </c>
      <c r="BB34" s="122">
        <v>1.0637110000000001</v>
      </c>
      <c r="BC34" s="95">
        <v>25</v>
      </c>
      <c r="BD34" s="88">
        <f t="shared" si="19"/>
        <v>151.25</v>
      </c>
      <c r="BE34" s="121">
        <v>1.003879</v>
      </c>
      <c r="BH34" s="88">
        <f t="shared" si="14"/>
        <v>157.5</v>
      </c>
      <c r="BI34" s="19">
        <f t="shared" si="3"/>
        <v>172.58945148999999</v>
      </c>
      <c r="BJ34" s="19">
        <f t="shared" si="4"/>
        <v>130.11429113759999</v>
      </c>
      <c r="BK34" s="19">
        <f t="shared" si="5"/>
        <v>92.503580479660016</v>
      </c>
      <c r="BL34" s="19">
        <f t="shared" si="6"/>
        <v>72.417708908999998</v>
      </c>
      <c r="BM34" s="19">
        <f t="shared" si="7"/>
        <v>60.736870341349999</v>
      </c>
    </row>
    <row r="35" spans="1:65" x14ac:dyDescent="0.25">
      <c r="A35" s="4"/>
      <c r="B35" s="4">
        <v>10</v>
      </c>
      <c r="C35" s="4">
        <v>27</v>
      </c>
      <c r="D35" s="4">
        <v>720</v>
      </c>
      <c r="E35" s="4">
        <f t="shared" si="8"/>
        <v>15966</v>
      </c>
      <c r="F35" s="4">
        <f t="shared" si="9"/>
        <v>665.25</v>
      </c>
      <c r="G35" s="4">
        <f t="shared" si="10"/>
        <v>1.8213552361396304</v>
      </c>
      <c r="H35" s="4">
        <v>1.0614775000000001</v>
      </c>
      <c r="I35" s="62">
        <v>1.0299590000000001</v>
      </c>
      <c r="J35" s="62">
        <v>1.0284078999999999</v>
      </c>
      <c r="K35" s="62">
        <v>1.0356278000000001</v>
      </c>
      <c r="L35" s="62">
        <v>1.0831081</v>
      </c>
      <c r="M35" s="62">
        <v>1.0843596</v>
      </c>
      <c r="P35" s="4"/>
      <c r="Q35" s="4">
        <v>10</v>
      </c>
      <c r="R35" s="4">
        <v>27</v>
      </c>
      <c r="S35" s="4">
        <v>720</v>
      </c>
      <c r="T35" s="4">
        <f t="shared" si="11"/>
        <v>15966</v>
      </c>
      <c r="U35" s="4">
        <f t="shared" si="20"/>
        <v>665.25</v>
      </c>
      <c r="V35" s="4">
        <f t="shared" si="13"/>
        <v>1.8213552361396304</v>
      </c>
      <c r="W35" s="12">
        <v>0.51513799999999998</v>
      </c>
      <c r="X35" s="62">
        <v>0.56354800000000005</v>
      </c>
      <c r="Y35" s="59">
        <v>0.60836500000000004</v>
      </c>
      <c r="Z35" s="59">
        <v>0.63940799999999998</v>
      </c>
      <c r="AA35" s="59">
        <v>0.596993</v>
      </c>
      <c r="AB35" s="59">
        <v>0.59501400000000004</v>
      </c>
      <c r="AF35" s="141"/>
      <c r="AQ35" s="96">
        <v>26</v>
      </c>
      <c r="AR35" s="124">
        <f t="shared" si="15"/>
        <v>157.5</v>
      </c>
      <c r="AS35" s="121">
        <v>1.3162750000000001</v>
      </c>
      <c r="AT35" s="97"/>
      <c r="AU35" s="88">
        <f t="shared" si="16"/>
        <v>157.5</v>
      </c>
      <c r="AV35" s="12">
        <v>1.2550559999999999</v>
      </c>
      <c r="AW35" s="97">
        <v>26</v>
      </c>
      <c r="AX35" s="88">
        <f t="shared" si="17"/>
        <v>157.5</v>
      </c>
      <c r="AY35" s="122">
        <v>1.1577770000000001</v>
      </c>
      <c r="AZ35" s="97">
        <v>26</v>
      </c>
      <c r="BA35" s="88">
        <f t="shared" si="18"/>
        <v>157.5</v>
      </c>
      <c r="BB35" s="122">
        <v>1.091631</v>
      </c>
      <c r="BC35" s="97">
        <v>26</v>
      </c>
      <c r="BD35" s="88">
        <f t="shared" si="19"/>
        <v>157.5</v>
      </c>
      <c r="BE35" s="121">
        <v>1.0340469999999999</v>
      </c>
      <c r="BH35" s="88">
        <f t="shared" si="14"/>
        <v>163.75</v>
      </c>
      <c r="BI35" s="19">
        <f t="shared" si="3"/>
        <v>163.85426373799999</v>
      </c>
      <c r="BJ35" s="19">
        <f t="shared" si="4"/>
        <v>125.62445983080001</v>
      </c>
      <c r="BK35" s="19">
        <f t="shared" si="5"/>
        <v>93.567736347679997</v>
      </c>
      <c r="BL35" s="19">
        <f t="shared" si="6"/>
        <v>74.731281534000004</v>
      </c>
      <c r="BM35" s="19">
        <f t="shared" si="7"/>
        <v>62.99906908505001</v>
      </c>
    </row>
    <row r="36" spans="1:65" x14ac:dyDescent="0.25">
      <c r="A36" s="4"/>
      <c r="B36" s="4">
        <v>11</v>
      </c>
      <c r="C36" s="4">
        <v>28</v>
      </c>
      <c r="D36" s="4">
        <v>720</v>
      </c>
      <c r="E36" s="4">
        <f t="shared" si="8"/>
        <v>16686</v>
      </c>
      <c r="F36" s="4">
        <f t="shared" si="9"/>
        <v>695.25</v>
      </c>
      <c r="G36" s="4">
        <f t="shared" si="10"/>
        <v>1.9034907597535935</v>
      </c>
      <c r="H36" s="4">
        <v>1.0575437999999999</v>
      </c>
      <c r="I36" s="62">
        <v>1.0279038</v>
      </c>
      <c r="J36" s="62">
        <v>1.0279651999999999</v>
      </c>
      <c r="K36" s="62">
        <v>1.0344168</v>
      </c>
      <c r="L36" s="62">
        <v>1.0807663999999999</v>
      </c>
      <c r="M36" s="62">
        <v>1.0820939999999999</v>
      </c>
      <c r="P36" s="4"/>
      <c r="Q36" s="4">
        <v>11</v>
      </c>
      <c r="R36" s="4">
        <v>28</v>
      </c>
      <c r="S36" s="4">
        <v>720</v>
      </c>
      <c r="T36" s="4">
        <f t="shared" si="11"/>
        <v>16686</v>
      </c>
      <c r="U36" s="4">
        <f t="shared" si="20"/>
        <v>695.25</v>
      </c>
      <c r="V36" s="4">
        <f t="shared" si="13"/>
        <v>1.9034907597535935</v>
      </c>
      <c r="W36" s="12">
        <v>0.51829999999999998</v>
      </c>
      <c r="X36" s="62">
        <v>0.564442</v>
      </c>
      <c r="Y36" s="59">
        <v>0.60870199999999997</v>
      </c>
      <c r="Z36" s="59">
        <v>0.63985300000000001</v>
      </c>
      <c r="AA36" s="59">
        <v>0.59801599999999999</v>
      </c>
      <c r="AB36" s="59">
        <v>0.59601000000000004</v>
      </c>
      <c r="AF36" s="141"/>
      <c r="AQ36" s="95">
        <v>27</v>
      </c>
      <c r="AR36" s="124">
        <f t="shared" si="15"/>
        <v>163.75</v>
      </c>
      <c r="AS36" s="121">
        <v>1.249655</v>
      </c>
      <c r="AT36" s="95"/>
      <c r="AU36" s="88">
        <f t="shared" si="16"/>
        <v>163.75</v>
      </c>
      <c r="AV36" s="12">
        <v>1.211748</v>
      </c>
      <c r="AW36" s="95">
        <v>27</v>
      </c>
      <c r="AX36" s="88">
        <f t="shared" si="17"/>
        <v>163.75</v>
      </c>
      <c r="AY36" s="122">
        <v>1.1710959999999999</v>
      </c>
      <c r="AZ36" s="95">
        <v>27</v>
      </c>
      <c r="BA36" s="88">
        <f t="shared" si="18"/>
        <v>163.75</v>
      </c>
      <c r="BB36" s="122">
        <v>1.126506</v>
      </c>
      <c r="BC36" s="95">
        <v>27</v>
      </c>
      <c r="BD36" s="88">
        <f t="shared" si="19"/>
        <v>163.75</v>
      </c>
      <c r="BE36" s="121">
        <v>1.0725610000000001</v>
      </c>
      <c r="BH36" s="88">
        <f t="shared" si="14"/>
        <v>170</v>
      </c>
      <c r="BI36" s="19">
        <f t="shared" si="3"/>
        <v>153.63978465879998</v>
      </c>
      <c r="BJ36" s="19">
        <f t="shared" si="4"/>
        <v>120.59574094820002</v>
      </c>
      <c r="BK36" s="19">
        <f t="shared" si="5"/>
        <v>94.795762152280005</v>
      </c>
      <c r="BL36" s="19">
        <f t="shared" si="6"/>
        <v>77.587838873999999</v>
      </c>
      <c r="BM36" s="19">
        <f t="shared" si="7"/>
        <v>65.834541436750001</v>
      </c>
    </row>
    <row r="37" spans="1:65" x14ac:dyDescent="0.25">
      <c r="A37" s="4"/>
      <c r="B37" s="4">
        <v>12</v>
      </c>
      <c r="C37" s="4">
        <v>29</v>
      </c>
      <c r="D37" s="4">
        <v>846</v>
      </c>
      <c r="E37" s="4">
        <f t="shared" si="8"/>
        <v>17532</v>
      </c>
      <c r="F37" s="4">
        <f t="shared" si="9"/>
        <v>730.5</v>
      </c>
      <c r="G37" s="4">
        <f t="shared" si="10"/>
        <v>2</v>
      </c>
      <c r="H37" s="4">
        <v>1.0540456</v>
      </c>
      <c r="I37" s="62">
        <v>1.0258647000000001</v>
      </c>
      <c r="J37" s="62">
        <v>1.0272859000000001</v>
      </c>
      <c r="K37" s="62">
        <v>1.0332698</v>
      </c>
      <c r="L37" s="62">
        <v>1.0784412999999999</v>
      </c>
      <c r="M37" s="62">
        <v>1.0798540000000001</v>
      </c>
      <c r="P37" s="4"/>
      <c r="Q37" s="4">
        <v>12</v>
      </c>
      <c r="R37" s="4">
        <v>29</v>
      </c>
      <c r="S37" s="4">
        <v>846</v>
      </c>
      <c r="T37" s="4">
        <f t="shared" si="11"/>
        <v>17532</v>
      </c>
      <c r="U37" s="4">
        <f t="shared" si="20"/>
        <v>730.5</v>
      </c>
      <c r="V37" s="4">
        <f t="shared" si="13"/>
        <v>2</v>
      </c>
      <c r="W37" s="12">
        <v>0.52097400000000005</v>
      </c>
      <c r="X37" s="62">
        <v>0.56533999999999995</v>
      </c>
      <c r="Y37" s="59">
        <v>0.60909800000000003</v>
      </c>
      <c r="Z37" s="59">
        <v>0.640262</v>
      </c>
      <c r="AA37" s="59">
        <v>0.59906099999999995</v>
      </c>
      <c r="AB37" s="59">
        <v>0.59700200000000003</v>
      </c>
      <c r="AF37" s="141"/>
      <c r="AQ37" s="96">
        <v>28</v>
      </c>
      <c r="AR37" s="124">
        <f t="shared" si="15"/>
        <v>170</v>
      </c>
      <c r="AS37" s="121">
        <v>1.171753</v>
      </c>
      <c r="AT37" s="97"/>
      <c r="AU37" s="88">
        <f t="shared" si="16"/>
        <v>170</v>
      </c>
      <c r="AV37" s="12">
        <v>1.1632420000000001</v>
      </c>
      <c r="AW37" s="97">
        <v>28</v>
      </c>
      <c r="AX37" s="88">
        <f t="shared" si="17"/>
        <v>170</v>
      </c>
      <c r="AY37" s="122">
        <v>1.186466</v>
      </c>
      <c r="AZ37" s="97">
        <v>28</v>
      </c>
      <c r="BA37" s="88">
        <f t="shared" si="18"/>
        <v>170</v>
      </c>
      <c r="BB37" s="122">
        <v>1.1695660000000001</v>
      </c>
      <c r="BC37" s="97">
        <v>28</v>
      </c>
      <c r="BD37" s="88">
        <f t="shared" si="19"/>
        <v>170</v>
      </c>
      <c r="BE37" s="121">
        <v>1.120835</v>
      </c>
      <c r="BH37" s="88">
        <f t="shared" si="14"/>
        <v>176.25</v>
      </c>
      <c r="BI37" s="19">
        <f t="shared" si="3"/>
        <v>142.02770176319999</v>
      </c>
      <c r="BJ37" s="19">
        <f t="shared" si="4"/>
        <v>118.47139594710001</v>
      </c>
      <c r="BK37" s="19">
        <f t="shared" si="5"/>
        <v>97.371580233900005</v>
      </c>
      <c r="BL37" s="19">
        <f t="shared" si="6"/>
        <v>84.558674655000004</v>
      </c>
      <c r="BM37" s="19">
        <f t="shared" si="7"/>
        <v>72.515176029649993</v>
      </c>
    </row>
    <row r="38" spans="1:65" x14ac:dyDescent="0.25">
      <c r="A38" s="4"/>
      <c r="B38" s="4">
        <v>13</v>
      </c>
      <c r="C38" s="4">
        <v>30</v>
      </c>
      <c r="D38" s="4">
        <v>720</v>
      </c>
      <c r="E38" s="4">
        <f t="shared" si="8"/>
        <v>18252</v>
      </c>
      <c r="F38" s="4">
        <f t="shared" si="9"/>
        <v>760.5</v>
      </c>
      <c r="G38" s="4">
        <f t="shared" si="10"/>
        <v>2.0821355236139629</v>
      </c>
      <c r="H38" s="4">
        <v>1.0503513</v>
      </c>
      <c r="I38" s="62">
        <v>1.0236331000000001</v>
      </c>
      <c r="J38" s="62">
        <v>1.0264165000000001</v>
      </c>
      <c r="K38" s="62">
        <v>1.0317752</v>
      </c>
      <c r="L38" s="62">
        <v>1.0757508</v>
      </c>
      <c r="M38" s="62">
        <v>1.0772549</v>
      </c>
      <c r="P38" s="4"/>
      <c r="Q38" s="4">
        <v>13</v>
      </c>
      <c r="R38" s="4">
        <v>30</v>
      </c>
      <c r="S38" s="4">
        <v>720</v>
      </c>
      <c r="T38" s="4">
        <f t="shared" si="11"/>
        <v>18252</v>
      </c>
      <c r="U38" s="4">
        <f t="shared" si="20"/>
        <v>760.5</v>
      </c>
      <c r="V38" s="4">
        <f t="shared" si="13"/>
        <v>2.0821355236139629</v>
      </c>
      <c r="W38" s="12">
        <v>0.52371900000000005</v>
      </c>
      <c r="X38" s="62">
        <v>0.56632700000000002</v>
      </c>
      <c r="Y38" s="59">
        <v>0.60959099999999999</v>
      </c>
      <c r="Z38" s="59">
        <v>0.64077700000000004</v>
      </c>
      <c r="AA38" s="59">
        <v>0.60025399999999995</v>
      </c>
      <c r="AB38" s="59">
        <v>0.59815700000000005</v>
      </c>
      <c r="AF38" s="141"/>
      <c r="AQ38" s="95">
        <v>29</v>
      </c>
      <c r="AR38" s="124">
        <f t="shared" si="15"/>
        <v>176.25</v>
      </c>
      <c r="AS38" s="121">
        <v>1.0831919999999999</v>
      </c>
      <c r="AT38" s="95"/>
      <c r="AU38" s="88">
        <f t="shared" si="16"/>
        <v>176.25</v>
      </c>
      <c r="AV38" s="12">
        <v>1.1427510000000001</v>
      </c>
      <c r="AW38" s="95">
        <v>29</v>
      </c>
      <c r="AX38" s="88">
        <f t="shared" si="17"/>
        <v>176.25</v>
      </c>
      <c r="AY38" s="122">
        <v>1.2187049999999999</v>
      </c>
      <c r="AZ38" s="95">
        <v>29</v>
      </c>
      <c r="BA38" s="88">
        <f t="shared" si="18"/>
        <v>176.25</v>
      </c>
      <c r="BB38" s="122">
        <v>1.274645</v>
      </c>
      <c r="BC38" s="95">
        <v>29</v>
      </c>
      <c r="BD38" s="88">
        <f t="shared" si="19"/>
        <v>176.25</v>
      </c>
      <c r="BE38" s="126">
        <v>1.2345729999999999</v>
      </c>
      <c r="BH38" s="88">
        <f t="shared" si="14"/>
        <v>182.5</v>
      </c>
      <c r="BI38" s="19">
        <f t="shared" si="3"/>
        <v>129.11572537711999</v>
      </c>
      <c r="BJ38" s="19">
        <f t="shared" si="4"/>
        <v>110.49372418000002</v>
      </c>
      <c r="BK38" s="19">
        <f t="shared" si="5"/>
        <v>95.656978167099993</v>
      </c>
      <c r="BL38" s="19">
        <f t="shared" si="6"/>
        <v>84.872723480999994</v>
      </c>
      <c r="BM38" s="19">
        <f t="shared" si="7"/>
        <v>73.220079366700006</v>
      </c>
    </row>
    <row r="39" spans="1:65" x14ac:dyDescent="0.25">
      <c r="A39" s="4"/>
      <c r="B39" s="4">
        <v>14</v>
      </c>
      <c r="C39" s="4">
        <v>31</v>
      </c>
      <c r="D39" s="4">
        <v>720</v>
      </c>
      <c r="E39" s="4">
        <f t="shared" si="8"/>
        <v>18972</v>
      </c>
      <c r="F39" s="4">
        <f t="shared" si="9"/>
        <v>790.5</v>
      </c>
      <c r="G39" s="4">
        <f t="shared" si="10"/>
        <v>2.1642710472279263</v>
      </c>
      <c r="H39" s="4">
        <v>1.0474490000000001</v>
      </c>
      <c r="I39" s="62">
        <v>1.0216168000000001</v>
      </c>
      <c r="J39" s="62">
        <v>1.0255955000000001</v>
      </c>
      <c r="K39" s="62">
        <v>1.0304869000000001</v>
      </c>
      <c r="L39" s="64">
        <v>1.0734998</v>
      </c>
      <c r="M39" s="62">
        <v>1.0750678</v>
      </c>
      <c r="P39" s="4"/>
      <c r="Q39" s="4">
        <v>14</v>
      </c>
      <c r="R39" s="4">
        <v>31</v>
      </c>
      <c r="S39" s="4">
        <v>720</v>
      </c>
      <c r="T39" s="4">
        <f t="shared" si="11"/>
        <v>18972</v>
      </c>
      <c r="U39" s="4">
        <f t="shared" si="20"/>
        <v>790.5</v>
      </c>
      <c r="V39" s="4">
        <f t="shared" si="13"/>
        <v>2.1642710472279263</v>
      </c>
      <c r="W39" s="12">
        <v>0.52587200000000001</v>
      </c>
      <c r="X39" s="62">
        <v>0.56723100000000004</v>
      </c>
      <c r="Y39" s="59">
        <v>0.61005200000000004</v>
      </c>
      <c r="Z39" s="59">
        <v>0.64120999999999995</v>
      </c>
      <c r="AA39" s="59">
        <v>0.60126800000000002</v>
      </c>
      <c r="AB39" s="59">
        <v>0.59914199999999995</v>
      </c>
      <c r="AC39" s="128"/>
      <c r="AE39" s="149"/>
      <c r="AQ39" s="96">
        <v>30</v>
      </c>
      <c r="AR39" s="124">
        <f t="shared" si="15"/>
        <v>182.5</v>
      </c>
      <c r="AS39" s="121">
        <v>0.98471719999999996</v>
      </c>
      <c r="AT39" s="97"/>
      <c r="AU39" s="88">
        <f t="shared" si="16"/>
        <v>182.5</v>
      </c>
      <c r="AV39" s="12">
        <v>1.0658000000000001</v>
      </c>
      <c r="AW39" s="97">
        <v>30</v>
      </c>
      <c r="AX39" s="88">
        <f t="shared" si="17"/>
        <v>182.5</v>
      </c>
      <c r="AY39" s="125">
        <v>1.1972449999999999</v>
      </c>
      <c r="AZ39" s="97">
        <v>30</v>
      </c>
      <c r="BA39" s="88">
        <f t="shared" si="18"/>
        <v>182.5</v>
      </c>
      <c r="BB39" s="125">
        <v>1.279379</v>
      </c>
      <c r="BC39" s="97">
        <v>30</v>
      </c>
      <c r="BD39" s="88">
        <f t="shared" si="19"/>
        <v>182.5</v>
      </c>
      <c r="BE39" s="121">
        <v>1.2465740000000001</v>
      </c>
      <c r="BH39" s="88">
        <f t="shared" si="14"/>
        <v>188.75</v>
      </c>
      <c r="BI39" s="19">
        <f t="shared" si="3"/>
        <v>115.01705105123999</v>
      </c>
      <c r="BJ39" s="19">
        <f t="shared" si="4"/>
        <v>100.39487977806</v>
      </c>
      <c r="BK39" s="19">
        <f t="shared" si="5"/>
        <v>90.873510052500009</v>
      </c>
      <c r="BL39" s="19">
        <f t="shared" si="6"/>
        <v>81.925016354999997</v>
      </c>
      <c r="BM39" s="19">
        <f t="shared" si="7"/>
        <v>71.013210924099994</v>
      </c>
    </row>
    <row r="40" spans="1:65" x14ac:dyDescent="0.25">
      <c r="A40" s="4"/>
      <c r="B40" s="4">
        <v>15</v>
      </c>
      <c r="C40" s="4">
        <v>32</v>
      </c>
      <c r="D40" s="4">
        <v>720</v>
      </c>
      <c r="E40" s="4">
        <f t="shared" si="8"/>
        <v>19692</v>
      </c>
      <c r="F40" s="4">
        <f t="shared" si="9"/>
        <v>820.5</v>
      </c>
      <c r="G40" s="4">
        <f t="shared" si="10"/>
        <v>2.2464065708418892</v>
      </c>
      <c r="H40" s="4">
        <v>1.0447061</v>
      </c>
      <c r="I40" s="62">
        <v>1.0197195999999999</v>
      </c>
      <c r="J40" s="62">
        <v>1.0246606</v>
      </c>
      <c r="K40" s="62">
        <v>1.0292337</v>
      </c>
      <c r="L40" s="62">
        <v>1.0712756999999999</v>
      </c>
      <c r="M40" s="62">
        <v>1.0729179</v>
      </c>
      <c r="P40" s="4"/>
      <c r="Q40" s="4">
        <v>15</v>
      </c>
      <c r="R40" s="4">
        <v>32</v>
      </c>
      <c r="S40" s="4">
        <v>720</v>
      </c>
      <c r="T40" s="4">
        <f t="shared" si="11"/>
        <v>19692</v>
      </c>
      <c r="U40" s="4">
        <f t="shared" si="20"/>
        <v>820.5</v>
      </c>
      <c r="V40" s="4">
        <f t="shared" si="13"/>
        <v>2.2464065708418892</v>
      </c>
      <c r="W40" s="12">
        <v>0.52785099999999996</v>
      </c>
      <c r="X40" s="62">
        <v>0.56808999999999998</v>
      </c>
      <c r="Y40" s="59">
        <v>0.61052099999999998</v>
      </c>
      <c r="Z40" s="59">
        <v>0.64162399999999997</v>
      </c>
      <c r="AA40" s="59">
        <v>0.602275</v>
      </c>
      <c r="AB40" s="59">
        <v>0.60011499999999995</v>
      </c>
      <c r="AC40" s="128"/>
      <c r="AQ40" s="95">
        <v>31</v>
      </c>
      <c r="AR40" s="124">
        <f t="shared" si="15"/>
        <v>188.75</v>
      </c>
      <c r="AS40" s="121">
        <v>0.87719190000000002</v>
      </c>
      <c r="AT40" s="95"/>
      <c r="AU40" s="88">
        <f t="shared" si="16"/>
        <v>188.75</v>
      </c>
      <c r="AV40" s="12">
        <v>0.96838860000000004</v>
      </c>
      <c r="AW40" s="95">
        <v>31</v>
      </c>
      <c r="AX40" s="88">
        <f t="shared" si="17"/>
        <v>188.75</v>
      </c>
      <c r="AY40" s="122">
        <v>1.137375</v>
      </c>
      <c r="AZ40" s="95">
        <v>31</v>
      </c>
      <c r="BA40" s="88">
        <f t="shared" si="18"/>
        <v>188.75</v>
      </c>
      <c r="BB40" s="122">
        <v>1.234945</v>
      </c>
      <c r="BC40" s="95">
        <v>31</v>
      </c>
      <c r="BD40" s="88">
        <f t="shared" si="19"/>
        <v>188.75</v>
      </c>
      <c r="BE40" s="121">
        <v>1.2090019999999999</v>
      </c>
      <c r="BH40" s="88">
        <f t="shared" si="14"/>
        <v>195</v>
      </c>
      <c r="BI40" s="19">
        <f t="shared" si="3"/>
        <v>99.858969693239985</v>
      </c>
      <c r="BJ40" s="19">
        <f t="shared" si="4"/>
        <v>88.519147418170007</v>
      </c>
      <c r="BK40" s="19">
        <f t="shared" si="5"/>
        <v>83.147414066500005</v>
      </c>
      <c r="BL40" s="19">
        <f t="shared" si="6"/>
        <v>75.893341797000005</v>
      </c>
      <c r="BM40" s="19">
        <f t="shared" si="7"/>
        <v>66.046699661350004</v>
      </c>
    </row>
    <row r="41" spans="1:65" x14ac:dyDescent="0.25">
      <c r="A41" s="4"/>
      <c r="B41" s="4">
        <v>16</v>
      </c>
      <c r="C41" s="4">
        <v>33</v>
      </c>
      <c r="D41" s="4">
        <v>720</v>
      </c>
      <c r="E41" s="4">
        <f t="shared" si="8"/>
        <v>20412</v>
      </c>
      <c r="F41" s="4">
        <f t="shared" si="9"/>
        <v>850.5</v>
      </c>
      <c r="G41" s="4">
        <f t="shared" si="10"/>
        <v>2.3285420944558521</v>
      </c>
      <c r="H41" s="4">
        <v>1.0425732000000001</v>
      </c>
      <c r="I41" s="62">
        <v>1.0177529999999999</v>
      </c>
      <c r="J41" s="62">
        <v>1.0236708000000001</v>
      </c>
      <c r="K41" s="62">
        <v>1.0279588</v>
      </c>
      <c r="L41" s="62">
        <v>1.0691127</v>
      </c>
      <c r="M41" s="62">
        <v>1.0707924</v>
      </c>
      <c r="P41" s="4"/>
      <c r="Q41" s="4">
        <v>16</v>
      </c>
      <c r="R41" s="4">
        <v>33</v>
      </c>
      <c r="S41" s="4">
        <v>720</v>
      </c>
      <c r="T41" s="4">
        <f t="shared" si="11"/>
        <v>20412</v>
      </c>
      <c r="U41" s="4">
        <f t="shared" si="20"/>
        <v>850.5</v>
      </c>
      <c r="V41" s="4">
        <f t="shared" si="13"/>
        <v>2.3285420944558521</v>
      </c>
      <c r="W41" s="12">
        <v>0.52928600000000003</v>
      </c>
      <c r="X41" s="62">
        <v>0.56897900000000001</v>
      </c>
      <c r="Y41" s="59">
        <v>0.611008</v>
      </c>
      <c r="Z41" s="59">
        <v>0.64205800000000002</v>
      </c>
      <c r="AA41" s="59">
        <v>0.60331800000000002</v>
      </c>
      <c r="AB41" s="59">
        <v>0.60108899999999998</v>
      </c>
      <c r="AC41" s="128"/>
      <c r="AQ41" s="96">
        <v>32</v>
      </c>
      <c r="AR41" s="124">
        <f t="shared" si="15"/>
        <v>195</v>
      </c>
      <c r="AS41" s="121">
        <v>0.76158689999999996</v>
      </c>
      <c r="AT41" s="97"/>
      <c r="AU41" s="88">
        <f t="shared" si="16"/>
        <v>195</v>
      </c>
      <c r="AV41" s="12">
        <v>0.85383770000000003</v>
      </c>
      <c r="AW41" s="97">
        <v>32</v>
      </c>
      <c r="AX41" s="88">
        <f t="shared" si="17"/>
        <v>195</v>
      </c>
      <c r="AY41" s="122">
        <v>1.040675</v>
      </c>
      <c r="AZ41" s="97">
        <v>32</v>
      </c>
      <c r="BA41" s="88">
        <f t="shared" si="18"/>
        <v>195</v>
      </c>
      <c r="BB41" s="122">
        <v>1.144023</v>
      </c>
      <c r="BC41" s="97">
        <v>32</v>
      </c>
      <c r="BD41" s="88">
        <f t="shared" si="19"/>
        <v>195</v>
      </c>
      <c r="BE41" s="121">
        <v>1.124447</v>
      </c>
      <c r="BH41" s="88">
        <f t="shared" si="14"/>
        <v>201.25</v>
      </c>
      <c r="BI41" s="19">
        <f t="shared" si="3"/>
        <v>83.78218574588</v>
      </c>
      <c r="BJ41" s="19">
        <f t="shared" si="4"/>
        <v>75.172079880660007</v>
      </c>
      <c r="BK41" s="19">
        <f t="shared" si="5"/>
        <v>72.763628948654002</v>
      </c>
      <c r="BL41" s="19">
        <f t="shared" si="6"/>
        <v>67.066606152000006</v>
      </c>
      <c r="BM41" s="19">
        <f t="shared" si="7"/>
        <v>58.560504048815005</v>
      </c>
    </row>
    <row r="42" spans="1:65" x14ac:dyDescent="0.25">
      <c r="A42" s="4"/>
      <c r="B42" s="4">
        <v>17</v>
      </c>
      <c r="C42" s="4">
        <v>34</v>
      </c>
      <c r="D42" s="4">
        <v>720</v>
      </c>
      <c r="E42" s="4">
        <f t="shared" si="8"/>
        <v>21132</v>
      </c>
      <c r="F42" s="4">
        <f t="shared" si="9"/>
        <v>880.5</v>
      </c>
      <c r="G42" s="4">
        <f t="shared" si="10"/>
        <v>2.4106776180698151</v>
      </c>
      <c r="H42" s="4">
        <v>1.0401376</v>
      </c>
      <c r="I42" s="62">
        <v>1.0158605999999999</v>
      </c>
      <c r="J42" s="62">
        <v>1.0227174999999999</v>
      </c>
      <c r="K42" s="62">
        <v>1.0266869999999999</v>
      </c>
      <c r="L42" s="62">
        <v>1.0669337999999999</v>
      </c>
      <c r="M42" s="62">
        <v>1.0686823999999999</v>
      </c>
      <c r="P42" s="4"/>
      <c r="Q42" s="4">
        <v>17</v>
      </c>
      <c r="R42" s="4">
        <v>34</v>
      </c>
      <c r="S42" s="4">
        <v>720</v>
      </c>
      <c r="T42" s="4">
        <f t="shared" si="11"/>
        <v>21132</v>
      </c>
      <c r="U42" s="4">
        <f t="shared" si="20"/>
        <v>880.5</v>
      </c>
      <c r="V42" s="4">
        <f t="shared" si="13"/>
        <v>2.4106776180698151</v>
      </c>
      <c r="W42" s="12">
        <v>0.53100599999999998</v>
      </c>
      <c r="X42" s="62">
        <v>0.56985300000000005</v>
      </c>
      <c r="Y42" s="59">
        <v>0.61148899999999995</v>
      </c>
      <c r="Z42" s="59">
        <v>0.64246599999999998</v>
      </c>
      <c r="AA42" s="59">
        <v>0.60431800000000002</v>
      </c>
      <c r="AB42" s="59">
        <v>0.60206199999999999</v>
      </c>
      <c r="AC42" s="128"/>
      <c r="AQ42" s="95">
        <v>33</v>
      </c>
      <c r="AR42" s="124">
        <f t="shared" si="15"/>
        <v>201.25</v>
      </c>
      <c r="AS42" s="121">
        <v>0.63897530000000002</v>
      </c>
      <c r="AT42" s="95"/>
      <c r="AU42" s="88">
        <f t="shared" si="16"/>
        <v>201.25</v>
      </c>
      <c r="AV42" s="12">
        <v>0.72509460000000003</v>
      </c>
      <c r="AW42" s="95">
        <v>33</v>
      </c>
      <c r="AX42" s="88">
        <f t="shared" si="17"/>
        <v>201.25</v>
      </c>
      <c r="AY42" s="122">
        <v>0.9107113</v>
      </c>
      <c r="AZ42" s="95">
        <v>33</v>
      </c>
      <c r="BA42" s="88">
        <f t="shared" si="18"/>
        <v>201.25</v>
      </c>
      <c r="BB42" s="122">
        <v>1.0109680000000001</v>
      </c>
      <c r="BC42" s="95">
        <v>33</v>
      </c>
      <c r="BD42" s="88">
        <f t="shared" si="19"/>
        <v>201.25</v>
      </c>
      <c r="BE42" s="121">
        <v>0.9969943</v>
      </c>
      <c r="BH42" s="88">
        <f t="shared" si="14"/>
        <v>207.5</v>
      </c>
      <c r="BI42" s="19">
        <f t="shared" si="3"/>
        <v>66.936214889039988</v>
      </c>
      <c r="BJ42" s="19">
        <f t="shared" si="4"/>
        <v>60.626003037809994</v>
      </c>
      <c r="BK42" s="19">
        <f t="shared" si="5"/>
        <v>60.069717161720007</v>
      </c>
      <c r="BL42" s="19">
        <f>$BB$8*BB43</f>
        <v>55.784697286499998</v>
      </c>
      <c r="BM42" s="19">
        <f t="shared" si="7"/>
        <v>48.836550179085002</v>
      </c>
    </row>
    <row r="43" spans="1:65" x14ac:dyDescent="0.25">
      <c r="A43" s="4"/>
      <c r="B43" s="4">
        <v>18</v>
      </c>
      <c r="C43" s="4">
        <v>35</v>
      </c>
      <c r="D43" s="4">
        <v>720</v>
      </c>
      <c r="E43" s="4">
        <f t="shared" si="8"/>
        <v>21852</v>
      </c>
      <c r="F43" s="4">
        <f t="shared" si="9"/>
        <v>910.5</v>
      </c>
      <c r="G43" s="4">
        <f t="shared" si="10"/>
        <v>2.4928131416837784</v>
      </c>
      <c r="H43" s="4">
        <v>1.0378569</v>
      </c>
      <c r="I43" s="62">
        <v>1.0139412999999999</v>
      </c>
      <c r="J43" s="62">
        <v>1.0215828</v>
      </c>
      <c r="K43" s="62">
        <v>1.0253702</v>
      </c>
      <c r="L43" s="62">
        <v>1.0647818</v>
      </c>
      <c r="M43" s="62">
        <v>1.0665846000000001</v>
      </c>
      <c r="P43" s="4"/>
      <c r="Q43" s="4">
        <v>18</v>
      </c>
      <c r="R43" s="4">
        <v>35</v>
      </c>
      <c r="S43" s="4">
        <v>720</v>
      </c>
      <c r="T43" s="4">
        <f t="shared" si="11"/>
        <v>21852</v>
      </c>
      <c r="U43" s="4">
        <f t="shared" si="20"/>
        <v>910.5</v>
      </c>
      <c r="V43" s="4">
        <f t="shared" si="13"/>
        <v>2.4928131416837784</v>
      </c>
      <c r="W43" s="12">
        <v>0.53264400000000001</v>
      </c>
      <c r="X43" s="62">
        <v>0.57073099999999999</v>
      </c>
      <c r="Y43" s="59">
        <v>0.61202599999999996</v>
      </c>
      <c r="Z43" s="59">
        <v>0.64288400000000001</v>
      </c>
      <c r="AA43" s="59">
        <v>0.60530700000000004</v>
      </c>
      <c r="AB43" s="59">
        <v>0.60303399999999996</v>
      </c>
      <c r="AC43" s="128"/>
      <c r="AQ43" s="96">
        <v>34</v>
      </c>
      <c r="AR43" s="124">
        <f t="shared" si="15"/>
        <v>207.5</v>
      </c>
      <c r="AS43" s="121">
        <v>0.51049739999999999</v>
      </c>
      <c r="AT43" s="97"/>
      <c r="AU43" s="88">
        <f t="shared" si="16"/>
        <v>207.5</v>
      </c>
      <c r="AV43" s="12">
        <v>0.58478609999999998</v>
      </c>
      <c r="AW43" s="97">
        <v>34</v>
      </c>
      <c r="AX43" s="88">
        <f t="shared" si="17"/>
        <v>207.5</v>
      </c>
      <c r="AY43" s="122">
        <v>0.751834</v>
      </c>
      <c r="AZ43" s="97">
        <v>34</v>
      </c>
      <c r="BA43" s="88">
        <f t="shared" si="18"/>
        <v>207.5</v>
      </c>
      <c r="BB43" s="122">
        <v>0.84090350000000003</v>
      </c>
      <c r="BC43" s="97">
        <v>34</v>
      </c>
      <c r="BD43" s="88">
        <f t="shared" si="19"/>
        <v>207.5</v>
      </c>
      <c r="BE43" s="121">
        <v>0.83144370000000001</v>
      </c>
      <c r="BH43" s="88">
        <f t="shared" si="14"/>
        <v>213.75</v>
      </c>
      <c r="BI43" s="19">
        <f t="shared" si="3"/>
        <v>49.551617827359998</v>
      </c>
      <c r="BJ43" s="19">
        <f t="shared" si="4"/>
        <v>45.209671485930002</v>
      </c>
      <c r="BK43" s="19">
        <f t="shared" si="5"/>
        <v>45.476360256656001</v>
      </c>
      <c r="BL43" s="19">
        <f t="shared" si="6"/>
        <v>42.4291838607</v>
      </c>
      <c r="BM43" s="19">
        <f t="shared" si="7"/>
        <v>37.186303007195001</v>
      </c>
    </row>
    <row r="44" spans="1:65" x14ac:dyDescent="0.25">
      <c r="A44" s="4"/>
      <c r="B44" s="4">
        <v>19</v>
      </c>
      <c r="C44" s="4">
        <v>36</v>
      </c>
      <c r="D44" s="4">
        <v>720</v>
      </c>
      <c r="E44" s="4">
        <f t="shared" si="8"/>
        <v>22572</v>
      </c>
      <c r="F44" s="4">
        <f t="shared" si="9"/>
        <v>940.5</v>
      </c>
      <c r="G44" s="4">
        <f t="shared" si="10"/>
        <v>2.5749486652977414</v>
      </c>
      <c r="H44" s="4">
        <v>1.0353406999999999</v>
      </c>
      <c r="I44" s="62">
        <v>1.0120876000000001</v>
      </c>
      <c r="J44" s="62">
        <v>1.0205556</v>
      </c>
      <c r="K44" s="62">
        <v>1.024044</v>
      </c>
      <c r="L44" s="62">
        <v>1.0626519000000001</v>
      </c>
      <c r="M44" s="62">
        <v>1.0645100999999999</v>
      </c>
      <c r="P44" s="4"/>
      <c r="Q44" s="4">
        <v>19</v>
      </c>
      <c r="R44" s="4">
        <v>36</v>
      </c>
      <c r="S44" s="4">
        <v>720</v>
      </c>
      <c r="T44" s="4">
        <f t="shared" si="11"/>
        <v>22572</v>
      </c>
      <c r="U44" s="4">
        <f t="shared" si="20"/>
        <v>940.5</v>
      </c>
      <c r="V44" s="4">
        <f t="shared" si="13"/>
        <v>2.5749486652977414</v>
      </c>
      <c r="W44" s="12">
        <v>0.53441000000000005</v>
      </c>
      <c r="X44" s="62">
        <v>0.57159800000000005</v>
      </c>
      <c r="Y44" s="59">
        <v>0.612541</v>
      </c>
      <c r="Z44" s="59">
        <v>0.64332199999999995</v>
      </c>
      <c r="AA44" s="59">
        <v>0.60630099999999998</v>
      </c>
      <c r="AB44" s="59">
        <v>0.60400299999999996</v>
      </c>
      <c r="AC44" s="128"/>
      <c r="AE44" s="149"/>
      <c r="AQ44" s="95">
        <v>35</v>
      </c>
      <c r="AR44" s="124">
        <f t="shared" si="15"/>
        <v>213.75</v>
      </c>
      <c r="AS44" s="121">
        <v>0.37791160000000001</v>
      </c>
      <c r="AT44" s="95"/>
      <c r="AU44" s="88">
        <f t="shared" si="16"/>
        <v>213.75</v>
      </c>
      <c r="AV44" s="12">
        <v>0.43608330000000001</v>
      </c>
      <c r="AW44" s="95">
        <v>35</v>
      </c>
      <c r="AX44" s="88">
        <f t="shared" si="17"/>
        <v>213.75</v>
      </c>
      <c r="AY44" s="122">
        <v>0.5691832</v>
      </c>
      <c r="AZ44" s="95">
        <v>35</v>
      </c>
      <c r="BA44" s="88">
        <f t="shared" si="18"/>
        <v>213.75</v>
      </c>
      <c r="BB44" s="122">
        <v>0.63958130000000002</v>
      </c>
      <c r="BC44" s="95">
        <v>35</v>
      </c>
      <c r="BD44" s="88">
        <f t="shared" si="19"/>
        <v>213.75</v>
      </c>
      <c r="BE44" s="121">
        <v>0.63309789999999999</v>
      </c>
      <c r="BH44" s="88">
        <f t="shared" si="14"/>
        <v>220</v>
      </c>
      <c r="BI44" s="19">
        <f t="shared" si="3"/>
        <v>37.504899681680001</v>
      </c>
      <c r="BJ44" s="19">
        <f t="shared" si="4"/>
        <v>34.516661544469997</v>
      </c>
      <c r="BK44" s="19">
        <f t="shared" si="5"/>
        <v>33.905984219198004</v>
      </c>
      <c r="BL44" s="19">
        <f t="shared" si="6"/>
        <v>31.517420079599997</v>
      </c>
      <c r="BM44" s="19">
        <f t="shared" si="7"/>
        <v>27.507423949635001</v>
      </c>
    </row>
    <row r="45" spans="1:65" x14ac:dyDescent="0.25">
      <c r="A45" s="4"/>
      <c r="B45" s="4">
        <v>20</v>
      </c>
      <c r="C45" s="4">
        <v>37</v>
      </c>
      <c r="D45" s="4">
        <v>720</v>
      </c>
      <c r="E45" s="4">
        <f t="shared" si="8"/>
        <v>23292</v>
      </c>
      <c r="F45" s="4">
        <f t="shared" si="9"/>
        <v>970.5</v>
      </c>
      <c r="G45" s="4">
        <f t="shared" si="10"/>
        <v>2.6570841889117043</v>
      </c>
      <c r="H45" s="4">
        <v>1.0330321</v>
      </c>
      <c r="I45" s="62">
        <v>1.0102222999999999</v>
      </c>
      <c r="J45" s="62">
        <v>1.0194755</v>
      </c>
      <c r="K45" s="62">
        <v>1.0227782999999999</v>
      </c>
      <c r="L45" s="62">
        <v>1.0605514</v>
      </c>
      <c r="M45" s="62">
        <v>1.0624705999999999</v>
      </c>
      <c r="P45" s="4"/>
      <c r="Q45" s="4">
        <v>20</v>
      </c>
      <c r="R45" s="4">
        <v>37</v>
      </c>
      <c r="S45" s="4">
        <v>720</v>
      </c>
      <c r="T45" s="4">
        <f t="shared" si="11"/>
        <v>23292</v>
      </c>
      <c r="U45" s="4">
        <f t="shared" si="20"/>
        <v>970.5</v>
      </c>
      <c r="V45" s="4">
        <f t="shared" si="13"/>
        <v>2.6570841889117043</v>
      </c>
      <c r="W45" s="12">
        <v>0.53593999999999997</v>
      </c>
      <c r="X45" s="62">
        <v>0.57247199999999998</v>
      </c>
      <c r="Y45" s="59">
        <v>0.61307100000000003</v>
      </c>
      <c r="Z45" s="59">
        <v>0.643733</v>
      </c>
      <c r="AA45" s="59">
        <v>0.60728899999999997</v>
      </c>
      <c r="AB45" s="59">
        <v>0.60496399999999995</v>
      </c>
      <c r="AC45" s="128"/>
      <c r="AQ45" s="96">
        <v>36</v>
      </c>
      <c r="AR45" s="124">
        <f t="shared" si="15"/>
        <v>220</v>
      </c>
      <c r="AS45" s="121">
        <v>0.28603580000000001</v>
      </c>
      <c r="AT45" s="97"/>
      <c r="AU45" s="88">
        <f t="shared" si="16"/>
        <v>220</v>
      </c>
      <c r="AV45" s="12">
        <v>0.33294069999999998</v>
      </c>
      <c r="AW45" s="97">
        <v>36</v>
      </c>
      <c r="AX45" s="88">
        <f t="shared" si="17"/>
        <v>220</v>
      </c>
      <c r="AY45" s="122">
        <v>0.42436810000000003</v>
      </c>
      <c r="AZ45" s="97">
        <v>36</v>
      </c>
      <c r="BA45" s="88">
        <f t="shared" si="18"/>
        <v>220</v>
      </c>
      <c r="BB45" s="122">
        <v>0.47509639999999997</v>
      </c>
      <c r="BC45" s="97">
        <v>36</v>
      </c>
      <c r="BD45" s="88">
        <f t="shared" si="19"/>
        <v>220</v>
      </c>
      <c r="BE45" s="121">
        <v>0.46831469999999997</v>
      </c>
      <c r="BH45" s="88">
        <f>BH44+5.2376</f>
        <v>225.23759999999999</v>
      </c>
      <c r="BI45" s="19">
        <f t="shared" si="3"/>
        <v>0</v>
      </c>
      <c r="BJ45" s="19">
        <f t="shared" si="4"/>
        <v>0</v>
      </c>
      <c r="BK45" s="19">
        <f t="shared" si="5"/>
        <v>0</v>
      </c>
      <c r="BL45" s="19">
        <f t="shared" si="6"/>
        <v>0</v>
      </c>
      <c r="BM45" s="19">
        <f t="shared" si="7"/>
        <v>0</v>
      </c>
    </row>
    <row r="46" spans="1:65" x14ac:dyDescent="0.25">
      <c r="A46" s="4"/>
      <c r="B46" s="4">
        <v>21</v>
      </c>
      <c r="C46" s="4">
        <v>38</v>
      </c>
      <c r="D46" s="4">
        <v>720</v>
      </c>
      <c r="E46" s="4">
        <f t="shared" si="8"/>
        <v>24012</v>
      </c>
      <c r="F46" s="4">
        <f t="shared" si="9"/>
        <v>1000.5</v>
      </c>
      <c r="G46" s="4">
        <f t="shared" si="10"/>
        <v>2.7392197125256672</v>
      </c>
      <c r="H46" s="4">
        <v>1.0311634999999999</v>
      </c>
      <c r="I46" s="62">
        <v>1.0083930000000001</v>
      </c>
      <c r="J46" s="62">
        <v>1.0182435999999999</v>
      </c>
      <c r="K46" s="62">
        <v>1.0214380000000001</v>
      </c>
      <c r="L46" s="62">
        <v>1.0584747999999999</v>
      </c>
      <c r="M46" s="62">
        <v>1.0604746</v>
      </c>
      <c r="P46" s="4"/>
      <c r="Q46" s="4">
        <v>21</v>
      </c>
      <c r="R46" s="4">
        <v>38</v>
      </c>
      <c r="S46" s="4">
        <v>720</v>
      </c>
      <c r="T46" s="4">
        <f t="shared" si="11"/>
        <v>24012</v>
      </c>
      <c r="U46" s="4">
        <f t="shared" si="20"/>
        <v>1000.5</v>
      </c>
      <c r="V46" s="4">
        <f t="shared" si="13"/>
        <v>2.7392197125256672</v>
      </c>
      <c r="W46" s="12">
        <v>0.53699799999999998</v>
      </c>
      <c r="X46" s="62">
        <v>0.57333599999999996</v>
      </c>
      <c r="Y46" s="59">
        <v>0.61363999999999996</v>
      </c>
      <c r="Z46" s="59">
        <v>0.64415699999999998</v>
      </c>
      <c r="AA46" s="59">
        <v>0.60827200000000003</v>
      </c>
      <c r="AB46" s="59">
        <v>0.60591399999999995</v>
      </c>
      <c r="AC46" s="128"/>
      <c r="AQ46" s="95">
        <v>37</v>
      </c>
      <c r="AR46" s="124">
        <f>AR45+5.2376</f>
        <v>225.23759999999999</v>
      </c>
      <c r="AS46" s="121">
        <v>0</v>
      </c>
      <c r="AT46" s="95"/>
      <c r="AU46" s="88">
        <f>AU45+5.2376</f>
        <v>225.23759999999999</v>
      </c>
      <c r="AV46" s="12">
        <v>0</v>
      </c>
      <c r="AW46" s="95">
        <v>37</v>
      </c>
      <c r="AX46" s="88">
        <f>AX45+5.2376</f>
        <v>225.23759999999999</v>
      </c>
      <c r="AY46" s="122">
        <v>0</v>
      </c>
      <c r="AZ46" s="95">
        <v>37</v>
      </c>
      <c r="BA46" s="88">
        <f>BA45+5.2376</f>
        <v>225.23759999999999</v>
      </c>
      <c r="BB46" s="122">
        <v>0</v>
      </c>
      <c r="BC46" s="95">
        <v>37</v>
      </c>
      <c r="BD46" s="88">
        <f>BD45+5.2376</f>
        <v>225.23759999999999</v>
      </c>
      <c r="BE46" s="121">
        <v>0</v>
      </c>
      <c r="BH46" s="88">
        <f>BH45+(14.7624/2)</f>
        <v>232.61879999999999</v>
      </c>
      <c r="BI46" s="19">
        <f t="shared" si="3"/>
        <v>0</v>
      </c>
      <c r="BJ46" s="19">
        <f t="shared" si="4"/>
        <v>0</v>
      </c>
      <c r="BK46" s="19">
        <f t="shared" si="5"/>
        <v>0</v>
      </c>
      <c r="BL46" s="19">
        <f t="shared" si="6"/>
        <v>0</v>
      </c>
      <c r="BM46" s="19">
        <f t="shared" si="7"/>
        <v>0</v>
      </c>
    </row>
    <row r="47" spans="1:65" x14ac:dyDescent="0.25">
      <c r="A47" s="4"/>
      <c r="B47" s="4">
        <v>22</v>
      </c>
      <c r="C47" s="4">
        <v>39</v>
      </c>
      <c r="D47" s="4">
        <v>720</v>
      </c>
      <c r="E47" s="4">
        <f t="shared" si="8"/>
        <v>24732</v>
      </c>
      <c r="F47" s="4">
        <f t="shared" si="9"/>
        <v>1030.5</v>
      </c>
      <c r="G47" s="4">
        <f t="shared" si="10"/>
        <v>2.8213552361396306</v>
      </c>
      <c r="H47" s="13">
        <v>1.0291526</v>
      </c>
      <c r="I47" s="62">
        <v>1.0065565000000001</v>
      </c>
      <c r="J47" s="62">
        <v>1.0171592</v>
      </c>
      <c r="K47" s="62">
        <v>1.0200549000000001</v>
      </c>
      <c r="L47" s="62">
        <v>1.0564245000000001</v>
      </c>
      <c r="M47" s="62">
        <v>1.0584742</v>
      </c>
      <c r="P47" s="4"/>
      <c r="Q47" s="4">
        <v>22</v>
      </c>
      <c r="R47" s="4">
        <v>39</v>
      </c>
      <c r="S47" s="4">
        <v>720</v>
      </c>
      <c r="T47" s="4">
        <f t="shared" si="11"/>
        <v>24732</v>
      </c>
      <c r="U47" s="4">
        <f t="shared" si="20"/>
        <v>1030.5</v>
      </c>
      <c r="V47" s="4">
        <f t="shared" si="13"/>
        <v>2.8213552361396306</v>
      </c>
      <c r="W47" s="12">
        <v>0.53817300000000001</v>
      </c>
      <c r="X47" s="62">
        <v>0.57420899999999997</v>
      </c>
      <c r="Y47" s="59">
        <v>0.61416199999999999</v>
      </c>
      <c r="Z47" s="59">
        <v>0.64461599999999997</v>
      </c>
      <c r="AA47" s="59">
        <v>0.60924900000000004</v>
      </c>
      <c r="AB47" s="59">
        <v>0.60687000000000002</v>
      </c>
      <c r="AC47" s="128"/>
      <c r="AQ47" s="96">
        <v>38</v>
      </c>
      <c r="AR47" s="124">
        <f>AR46+(14.7624/2)</f>
        <v>232.61879999999999</v>
      </c>
      <c r="AS47" s="121">
        <v>0</v>
      </c>
      <c r="AT47" s="97"/>
      <c r="AU47" s="88">
        <f>AU46+(14.7624/2)</f>
        <v>232.61879999999999</v>
      </c>
      <c r="AV47" s="12">
        <v>0</v>
      </c>
      <c r="AW47" s="97">
        <v>38</v>
      </c>
      <c r="AX47" s="88">
        <f>AX46+(14.7624/2)</f>
        <v>232.61879999999999</v>
      </c>
      <c r="AY47" s="122">
        <v>0</v>
      </c>
      <c r="AZ47" s="97">
        <v>38</v>
      </c>
      <c r="BA47" s="88">
        <f>BA46+(14.7624/2)</f>
        <v>232.61879999999999</v>
      </c>
      <c r="BB47" s="122">
        <v>0</v>
      </c>
      <c r="BC47" s="97">
        <v>38</v>
      </c>
      <c r="BD47" s="88">
        <f>BD46+(14.7624/2)</f>
        <v>232.61879999999999</v>
      </c>
      <c r="BE47" s="121">
        <v>0</v>
      </c>
      <c r="BG47" s="99" t="s">
        <v>274</v>
      </c>
      <c r="BH47" s="4">
        <f>BH45+14.7624</f>
        <v>240</v>
      </c>
      <c r="BI47" s="19">
        <f t="shared" si="3"/>
        <v>0</v>
      </c>
      <c r="BJ47" s="19">
        <f t="shared" si="4"/>
        <v>0</v>
      </c>
      <c r="BK47" s="19">
        <f t="shared" si="5"/>
        <v>0</v>
      </c>
      <c r="BL47" s="19">
        <f t="shared" si="6"/>
        <v>0</v>
      </c>
      <c r="BM47" s="19">
        <f t="shared" si="7"/>
        <v>0</v>
      </c>
    </row>
    <row r="48" spans="1:65" x14ac:dyDescent="0.25">
      <c r="A48" s="4"/>
      <c r="B48" s="4">
        <v>23</v>
      </c>
      <c r="C48" s="4">
        <v>40</v>
      </c>
      <c r="D48" s="4">
        <v>720</v>
      </c>
      <c r="E48" s="4">
        <f t="shared" si="8"/>
        <v>25452</v>
      </c>
      <c r="F48" s="4">
        <f t="shared" si="9"/>
        <v>1060.5</v>
      </c>
      <c r="G48" s="4">
        <f t="shared" si="10"/>
        <v>2.9034907597535935</v>
      </c>
      <c r="H48" s="4">
        <v>1.0268739</v>
      </c>
      <c r="I48" s="62">
        <v>1.0047493999999999</v>
      </c>
      <c r="J48" s="62">
        <v>1.0159446999999999</v>
      </c>
      <c r="K48" s="62">
        <v>1.0187457</v>
      </c>
      <c r="L48" s="62">
        <v>1.0543933000000001</v>
      </c>
      <c r="M48" s="62">
        <v>1.0564872000000001</v>
      </c>
      <c r="P48" s="4"/>
      <c r="Q48" s="4">
        <v>23</v>
      </c>
      <c r="R48" s="4">
        <v>40</v>
      </c>
      <c r="S48" s="4">
        <v>720</v>
      </c>
      <c r="T48" s="4">
        <f t="shared" si="11"/>
        <v>25452</v>
      </c>
      <c r="U48" s="4">
        <f t="shared" si="20"/>
        <v>1060.5</v>
      </c>
      <c r="V48" s="4">
        <f t="shared" si="13"/>
        <v>2.9034907597535935</v>
      </c>
      <c r="W48" s="12">
        <v>0.53965399999999997</v>
      </c>
      <c r="X48" s="62">
        <v>0.57507799999999998</v>
      </c>
      <c r="Y48" s="59">
        <v>0.61471600000000004</v>
      </c>
      <c r="Z48" s="59">
        <v>0.64503200000000005</v>
      </c>
      <c r="AA48" s="59">
        <v>0.61022799999999999</v>
      </c>
      <c r="AB48" s="59">
        <v>0.60782700000000001</v>
      </c>
      <c r="AC48" s="128"/>
      <c r="AQ48" s="97">
        <v>39</v>
      </c>
      <c r="AR48" s="118">
        <f>AR46+14.7624</f>
        <v>240</v>
      </c>
      <c r="AS48" s="121">
        <v>0</v>
      </c>
      <c r="AT48" s="97"/>
      <c r="AU48" s="4">
        <f>AU46+14.7624</f>
        <v>240</v>
      </c>
      <c r="AV48" s="12">
        <v>0</v>
      </c>
      <c r="AW48" s="97">
        <v>39</v>
      </c>
      <c r="AX48" s="4">
        <f>AX46+14.7624</f>
        <v>240</v>
      </c>
      <c r="AY48" s="122">
        <v>0</v>
      </c>
      <c r="AZ48" s="97">
        <v>39</v>
      </c>
      <c r="BA48" s="4">
        <f>BA46+14.7624</f>
        <v>240</v>
      </c>
      <c r="BB48" s="122">
        <v>0</v>
      </c>
      <c r="BC48" s="97">
        <v>39</v>
      </c>
      <c r="BD48" s="4">
        <f>BD46+14.7624</f>
        <v>240</v>
      </c>
      <c r="BE48" s="121">
        <v>0</v>
      </c>
    </row>
    <row r="49" spans="1:45" x14ac:dyDescent="0.25">
      <c r="A49" s="4" t="s">
        <v>253</v>
      </c>
      <c r="B49" s="4">
        <v>24</v>
      </c>
      <c r="C49" s="4">
        <v>41</v>
      </c>
      <c r="D49" s="4">
        <v>846</v>
      </c>
      <c r="E49" s="4">
        <f t="shared" si="8"/>
        <v>26298</v>
      </c>
      <c r="F49" s="4">
        <f t="shared" si="9"/>
        <v>1095.75</v>
      </c>
      <c r="G49" s="4">
        <f t="shared" si="10"/>
        <v>3</v>
      </c>
      <c r="H49" s="4">
        <v>1.0250367</v>
      </c>
      <c r="I49" s="62">
        <v>1.0029224999999999</v>
      </c>
      <c r="J49" s="62">
        <v>1.0147299000000001</v>
      </c>
      <c r="K49" s="62">
        <v>1.0173752</v>
      </c>
      <c r="L49" s="62">
        <v>1.0523585</v>
      </c>
      <c r="M49" s="62">
        <v>1.054494</v>
      </c>
      <c r="P49" s="4" t="s">
        <v>253</v>
      </c>
      <c r="Q49" s="4">
        <v>24</v>
      </c>
      <c r="R49" s="4">
        <v>41</v>
      </c>
      <c r="S49" s="4">
        <v>846</v>
      </c>
      <c r="T49" s="4">
        <f t="shared" si="11"/>
        <v>26298</v>
      </c>
      <c r="U49" s="4">
        <f t="shared" si="20"/>
        <v>1095.75</v>
      </c>
      <c r="V49" s="4">
        <f t="shared" si="13"/>
        <v>3</v>
      </c>
      <c r="W49" s="12">
        <v>0.54067100000000001</v>
      </c>
      <c r="X49" s="62">
        <v>0.57595399999999997</v>
      </c>
      <c r="Y49" s="59">
        <v>0.61526999999999998</v>
      </c>
      <c r="Z49" s="59">
        <v>0.64545399999999997</v>
      </c>
      <c r="AA49" s="59">
        <v>0.61110699999999996</v>
      </c>
      <c r="AB49" s="59">
        <v>0.60879099999999997</v>
      </c>
      <c r="AC49" s="128"/>
      <c r="AE49" s="149"/>
      <c r="AS49" s="127"/>
    </row>
    <row r="50" spans="1:45" x14ac:dyDescent="0.25">
      <c r="A50" s="4"/>
      <c r="B50" s="4">
        <v>1</v>
      </c>
      <c r="C50" s="4">
        <v>42</v>
      </c>
      <c r="D50" s="4">
        <v>720</v>
      </c>
      <c r="E50" s="4">
        <f t="shared" si="8"/>
        <v>27018</v>
      </c>
      <c r="F50" s="4">
        <f t="shared" si="9"/>
        <v>1125.75</v>
      </c>
      <c r="G50" s="4">
        <f t="shared" si="10"/>
        <v>3.0821355236139629</v>
      </c>
      <c r="H50" s="4">
        <v>1.0250587</v>
      </c>
      <c r="I50" s="62">
        <v>1.0021131999999999</v>
      </c>
      <c r="J50" s="62">
        <v>1.0147389</v>
      </c>
      <c r="K50" s="62">
        <v>1.0173873</v>
      </c>
      <c r="L50" s="62">
        <v>1.0523594999999999</v>
      </c>
      <c r="M50" s="62">
        <v>1.0544906000000001</v>
      </c>
      <c r="N50" t="s">
        <v>252</v>
      </c>
      <c r="P50" s="4"/>
      <c r="Q50" s="4">
        <v>1</v>
      </c>
      <c r="R50" s="4">
        <v>42</v>
      </c>
      <c r="S50" s="4">
        <v>720</v>
      </c>
      <c r="T50" s="4">
        <f t="shared" si="11"/>
        <v>27018</v>
      </c>
      <c r="U50" s="4">
        <f t="shared" si="20"/>
        <v>1125.75</v>
      </c>
      <c r="V50" s="4">
        <f t="shared" si="13"/>
        <v>3.0821355236139629</v>
      </c>
      <c r="W50" s="12">
        <v>0.54073499999999997</v>
      </c>
      <c r="X50" s="62">
        <v>0.57639600000000002</v>
      </c>
      <c r="Y50" s="59">
        <v>0.61528400000000005</v>
      </c>
      <c r="Z50" s="59">
        <v>0.645459</v>
      </c>
      <c r="AA50" s="59">
        <v>0.61111700000000002</v>
      </c>
      <c r="AB50" s="59">
        <v>0.60879899999999998</v>
      </c>
      <c r="AC50" s="128" t="s">
        <v>252</v>
      </c>
    </row>
    <row r="51" spans="1:45" x14ac:dyDescent="0.25">
      <c r="A51" s="4"/>
      <c r="B51" s="4">
        <v>2</v>
      </c>
      <c r="C51" s="4">
        <v>43</v>
      </c>
      <c r="D51" s="4">
        <v>720</v>
      </c>
      <c r="E51" s="4">
        <f t="shared" si="8"/>
        <v>27738</v>
      </c>
      <c r="F51" s="4">
        <f t="shared" si="9"/>
        <v>1155.75</v>
      </c>
      <c r="G51" s="4">
        <f t="shared" si="10"/>
        <v>3.1642710472279263</v>
      </c>
      <c r="H51" s="4">
        <v>1.0225519000000001</v>
      </c>
      <c r="I51" s="61">
        <v>1.0002359999999999</v>
      </c>
      <c r="J51" s="62">
        <v>1.0134808</v>
      </c>
      <c r="K51" s="62">
        <v>1.0160203000000001</v>
      </c>
      <c r="L51" s="62">
        <v>1.0503762999999999</v>
      </c>
      <c r="M51" s="62">
        <v>1.0525359000000001</v>
      </c>
      <c r="P51" s="4"/>
      <c r="Q51" s="4">
        <v>2</v>
      </c>
      <c r="R51" s="4">
        <v>43</v>
      </c>
      <c r="S51" s="4">
        <v>720</v>
      </c>
      <c r="T51" s="4">
        <f t="shared" si="11"/>
        <v>27738</v>
      </c>
      <c r="U51" s="4">
        <f t="shared" si="20"/>
        <v>1155.75</v>
      </c>
      <c r="V51" s="4">
        <f t="shared" si="13"/>
        <v>3.1642710472279263</v>
      </c>
      <c r="W51" s="115">
        <v>0.54238299999999995</v>
      </c>
      <c r="X51" s="62">
        <v>0.57728599999999997</v>
      </c>
      <c r="Y51" s="59">
        <v>0.61583900000000003</v>
      </c>
      <c r="Z51" s="59">
        <v>0.64589099999999999</v>
      </c>
      <c r="AA51" s="59">
        <v>0.61207800000000001</v>
      </c>
      <c r="AB51" s="59">
        <v>0.60974799999999996</v>
      </c>
      <c r="AC51" s="128"/>
    </row>
    <row r="52" spans="1:45" x14ac:dyDescent="0.25">
      <c r="A52" s="4"/>
      <c r="B52" s="4">
        <v>3</v>
      </c>
      <c r="C52" s="4">
        <v>44</v>
      </c>
      <c r="D52" s="4">
        <v>720</v>
      </c>
      <c r="E52" s="4">
        <f t="shared" si="8"/>
        <v>28458</v>
      </c>
      <c r="F52" s="4">
        <f t="shared" si="9"/>
        <v>1185.75</v>
      </c>
      <c r="G52" s="4">
        <f t="shared" si="10"/>
        <v>3.2464065708418892</v>
      </c>
      <c r="H52" s="4">
        <v>1.020472</v>
      </c>
      <c r="I52" s="62">
        <v>0.99854609999999999</v>
      </c>
      <c r="J52" s="62">
        <v>1.0123053</v>
      </c>
      <c r="K52" s="62">
        <v>1.0146637999999999</v>
      </c>
      <c r="L52" s="62">
        <v>1.0484024000000001</v>
      </c>
      <c r="M52" s="62">
        <v>1.0506039</v>
      </c>
      <c r="P52" s="4"/>
      <c r="Q52" s="4">
        <v>3</v>
      </c>
      <c r="R52" s="4">
        <v>44</v>
      </c>
      <c r="S52" s="4">
        <v>720</v>
      </c>
      <c r="T52" s="4">
        <f t="shared" si="11"/>
        <v>28458</v>
      </c>
      <c r="U52" s="4">
        <f t="shared" si="20"/>
        <v>1185.75</v>
      </c>
      <c r="V52" s="4">
        <f t="shared" si="13"/>
        <v>3.2464065708418892</v>
      </c>
      <c r="W52" s="12">
        <v>0.54359900000000005</v>
      </c>
      <c r="X52" s="62">
        <v>0.57813099999999995</v>
      </c>
      <c r="Y52" s="59">
        <v>0.61640600000000001</v>
      </c>
      <c r="Z52" s="59">
        <v>0.64632900000000004</v>
      </c>
      <c r="AA52" s="59">
        <v>0.61304800000000004</v>
      </c>
      <c r="AB52" s="59">
        <v>0.61070000000000002</v>
      </c>
      <c r="AC52" s="128"/>
    </row>
    <row r="53" spans="1:45" x14ac:dyDescent="0.25">
      <c r="A53" s="4"/>
      <c r="B53" s="4">
        <v>4</v>
      </c>
      <c r="C53" s="4">
        <v>45</v>
      </c>
      <c r="D53" s="4">
        <v>720</v>
      </c>
      <c r="E53" s="4">
        <f t="shared" si="8"/>
        <v>29178</v>
      </c>
      <c r="F53" s="4">
        <f t="shared" si="9"/>
        <v>1215.75</v>
      </c>
      <c r="G53" s="4">
        <f t="shared" si="10"/>
        <v>3.3285420944558521</v>
      </c>
      <c r="H53" s="4">
        <v>1.0181636000000001</v>
      </c>
      <c r="I53" s="62">
        <v>0.99678279999999997</v>
      </c>
      <c r="J53" s="62">
        <v>1.0110208000000001</v>
      </c>
      <c r="K53" s="62">
        <v>1.0133046999999999</v>
      </c>
      <c r="L53" s="62">
        <v>1.046446</v>
      </c>
      <c r="M53" s="62">
        <v>1.0486968000000001</v>
      </c>
      <c r="P53" s="4"/>
      <c r="Q53" s="4">
        <v>4</v>
      </c>
      <c r="R53" s="4">
        <v>45</v>
      </c>
      <c r="S53" s="4">
        <v>720</v>
      </c>
      <c r="T53" s="4">
        <f t="shared" si="11"/>
        <v>29178</v>
      </c>
      <c r="U53" s="4">
        <f t="shared" si="20"/>
        <v>1215.75</v>
      </c>
      <c r="V53" s="4">
        <f t="shared" si="13"/>
        <v>3.3285420944558521</v>
      </c>
      <c r="W53" s="12">
        <v>0.54525100000000004</v>
      </c>
      <c r="X53" s="62">
        <v>0.57899</v>
      </c>
      <c r="Y53" s="59">
        <v>0.616981</v>
      </c>
      <c r="Z53" s="59">
        <v>0.64676100000000003</v>
      </c>
      <c r="AA53" s="59">
        <v>0.61401799999999995</v>
      </c>
      <c r="AB53" s="59">
        <v>0.61164700000000005</v>
      </c>
      <c r="AC53" s="128"/>
    </row>
    <row r="54" spans="1:45" x14ac:dyDescent="0.25">
      <c r="A54" s="4"/>
      <c r="B54" s="4">
        <v>5</v>
      </c>
      <c r="C54" s="4">
        <v>46</v>
      </c>
      <c r="D54" s="4">
        <v>720</v>
      </c>
      <c r="E54" s="4">
        <f t="shared" si="8"/>
        <v>29898</v>
      </c>
      <c r="F54" s="4">
        <f t="shared" si="9"/>
        <v>1245.75</v>
      </c>
      <c r="G54" s="4">
        <f t="shared" si="10"/>
        <v>3.4106776180698151</v>
      </c>
      <c r="H54" s="4">
        <v>1.0158895999999999</v>
      </c>
      <c r="I54" s="62">
        <v>0.9950871</v>
      </c>
      <c r="J54" s="62">
        <v>1.0099355000000001</v>
      </c>
      <c r="K54" s="62">
        <v>1.0120106</v>
      </c>
      <c r="L54" s="62">
        <v>1.0445062000000001</v>
      </c>
      <c r="M54" s="62">
        <v>1.0468033999999999</v>
      </c>
      <c r="P54" s="4"/>
      <c r="Q54" s="4">
        <v>5</v>
      </c>
      <c r="R54" s="4">
        <v>46</v>
      </c>
      <c r="S54" s="4">
        <v>720</v>
      </c>
      <c r="T54" s="4">
        <f t="shared" si="11"/>
        <v>29898</v>
      </c>
      <c r="U54" s="4">
        <f t="shared" si="20"/>
        <v>1245.75</v>
      </c>
      <c r="V54" s="4">
        <f t="shared" si="13"/>
        <v>3.4106776180698151</v>
      </c>
      <c r="W54" s="12">
        <v>0.54680399999999996</v>
      </c>
      <c r="X54" s="62">
        <v>0.57984500000000005</v>
      </c>
      <c r="Y54" s="59">
        <v>0.61749200000000004</v>
      </c>
      <c r="Z54" s="59">
        <v>0.64717000000000002</v>
      </c>
      <c r="AA54" s="59">
        <v>0.61498299999999995</v>
      </c>
      <c r="AB54" s="59">
        <v>0.61259300000000005</v>
      </c>
      <c r="AC54" s="128"/>
      <c r="AE54" s="149"/>
    </row>
    <row r="55" spans="1:45" x14ac:dyDescent="0.25">
      <c r="A55" s="4"/>
      <c r="B55" s="4">
        <v>6</v>
      </c>
      <c r="C55" s="4">
        <v>47</v>
      </c>
      <c r="D55" s="4">
        <v>720</v>
      </c>
      <c r="E55" s="4">
        <f t="shared" si="8"/>
        <v>30618</v>
      </c>
      <c r="F55" s="4">
        <f t="shared" si="9"/>
        <v>1275.75</v>
      </c>
      <c r="G55" s="4">
        <f t="shared" si="10"/>
        <v>3.4928131416837784</v>
      </c>
      <c r="H55" s="4">
        <v>1.0137388000000001</v>
      </c>
      <c r="I55" s="62">
        <v>0.99336729999999995</v>
      </c>
      <c r="J55" s="62">
        <v>1.0086155000000001</v>
      </c>
      <c r="K55" s="62">
        <v>1.0106820999999999</v>
      </c>
      <c r="L55" s="62">
        <v>1.0425800000000001</v>
      </c>
      <c r="M55" s="62">
        <v>1.0449145</v>
      </c>
      <c r="P55" s="4"/>
      <c r="Q55" s="4">
        <v>6</v>
      </c>
      <c r="R55" s="4">
        <v>47</v>
      </c>
      <c r="S55" s="4">
        <v>720</v>
      </c>
      <c r="T55" s="4">
        <f t="shared" si="11"/>
        <v>30618</v>
      </c>
      <c r="U55" s="4">
        <f t="shared" si="20"/>
        <v>1275.75</v>
      </c>
      <c r="V55" s="4">
        <f t="shared" si="13"/>
        <v>3.4928131416837784</v>
      </c>
      <c r="W55" s="12">
        <v>0.54811500000000002</v>
      </c>
      <c r="X55" s="62">
        <v>0.58069800000000005</v>
      </c>
      <c r="Y55" s="59">
        <v>0.61806099999999997</v>
      </c>
      <c r="Z55" s="59">
        <v>0.64757399999999998</v>
      </c>
      <c r="AA55" s="59">
        <v>0.61594599999999999</v>
      </c>
      <c r="AB55" s="59">
        <v>0.613541</v>
      </c>
      <c r="AC55" s="128"/>
    </row>
    <row r="56" spans="1:45" x14ac:dyDescent="0.25">
      <c r="A56" s="4"/>
      <c r="B56" s="4">
        <v>7</v>
      </c>
      <c r="C56" s="4">
        <v>48</v>
      </c>
      <c r="D56" s="4">
        <v>720</v>
      </c>
      <c r="E56" s="4">
        <f t="shared" si="8"/>
        <v>31338</v>
      </c>
      <c r="F56" s="4">
        <f t="shared" si="9"/>
        <v>1305.75</v>
      </c>
      <c r="G56" s="4">
        <f t="shared" si="10"/>
        <v>3.5749486652977414</v>
      </c>
      <c r="H56" s="4">
        <v>1.0113713</v>
      </c>
      <c r="I56" s="62">
        <v>0.99167190000000005</v>
      </c>
      <c r="J56" s="62">
        <v>1.0075027000000001</v>
      </c>
      <c r="K56" s="62">
        <v>1.0094205000000001</v>
      </c>
      <c r="L56" s="62">
        <v>1.0406705999999999</v>
      </c>
      <c r="M56" s="62">
        <v>1.0430356999999999</v>
      </c>
      <c r="P56" s="4"/>
      <c r="Q56" s="4">
        <v>7</v>
      </c>
      <c r="R56" s="4">
        <v>48</v>
      </c>
      <c r="S56" s="4">
        <v>720</v>
      </c>
      <c r="T56" s="4">
        <f t="shared" si="11"/>
        <v>31338</v>
      </c>
      <c r="U56" s="4">
        <f t="shared" si="20"/>
        <v>1305.75</v>
      </c>
      <c r="V56" s="4">
        <f t="shared" si="13"/>
        <v>3.5749486652977414</v>
      </c>
      <c r="W56" s="12">
        <v>0.54981800000000003</v>
      </c>
      <c r="X56" s="62">
        <v>0.58155100000000004</v>
      </c>
      <c r="Y56" s="59">
        <v>0.61861100000000002</v>
      </c>
      <c r="Z56" s="59">
        <v>0.64796500000000001</v>
      </c>
      <c r="AA56" s="59">
        <v>0.61690900000000004</v>
      </c>
      <c r="AB56" s="59">
        <v>0.61448999999999998</v>
      </c>
      <c r="AC56" s="128"/>
    </row>
    <row r="57" spans="1:45" x14ac:dyDescent="0.25">
      <c r="A57" s="4"/>
      <c r="B57" s="4">
        <v>8</v>
      </c>
      <c r="C57" s="4">
        <v>49</v>
      </c>
      <c r="D57" s="4">
        <v>720</v>
      </c>
      <c r="E57" s="4">
        <f t="shared" si="8"/>
        <v>32058</v>
      </c>
      <c r="F57" s="4">
        <f t="shared" si="9"/>
        <v>1335.75</v>
      </c>
      <c r="G57" s="4">
        <f t="shared" si="10"/>
        <v>3.6570841889117043</v>
      </c>
      <c r="H57" s="4">
        <v>1.0090014</v>
      </c>
      <c r="I57" s="62">
        <v>0.98998339999999996</v>
      </c>
      <c r="J57" s="62">
        <v>1.0060477000000001</v>
      </c>
      <c r="K57" s="62">
        <v>1.008127</v>
      </c>
      <c r="L57" s="62">
        <v>1.0387739</v>
      </c>
      <c r="M57" s="62">
        <v>1.0411763999999999</v>
      </c>
      <c r="P57" s="4"/>
      <c r="Q57" s="4">
        <v>8</v>
      </c>
      <c r="R57" s="4">
        <v>49</v>
      </c>
      <c r="S57" s="4">
        <v>720</v>
      </c>
      <c r="T57" s="4">
        <f t="shared" si="11"/>
        <v>32058</v>
      </c>
      <c r="U57" s="4">
        <f t="shared" si="20"/>
        <v>1335.75</v>
      </c>
      <c r="V57" s="4">
        <f t="shared" si="13"/>
        <v>3.6570841889117043</v>
      </c>
      <c r="W57" s="12">
        <v>0.55155299999999996</v>
      </c>
      <c r="X57" s="62">
        <v>0.58240599999999998</v>
      </c>
      <c r="Y57" s="59">
        <v>0.61926300000000001</v>
      </c>
      <c r="Z57" s="59">
        <v>0.64838399999999996</v>
      </c>
      <c r="AA57" s="59">
        <v>0.61787000000000003</v>
      </c>
      <c r="AB57" s="59">
        <v>0.61543599999999998</v>
      </c>
    </row>
    <row r="58" spans="1:45" x14ac:dyDescent="0.25">
      <c r="A58" s="4"/>
      <c r="B58" s="4">
        <v>9</v>
      </c>
      <c r="C58" s="4">
        <v>50</v>
      </c>
      <c r="D58" s="4">
        <v>720</v>
      </c>
      <c r="E58" s="4">
        <f t="shared" si="8"/>
        <v>32778</v>
      </c>
      <c r="F58" s="4">
        <f t="shared" si="9"/>
        <v>1365.75</v>
      </c>
      <c r="G58" s="4">
        <f t="shared" si="10"/>
        <v>3.7392197125256672</v>
      </c>
      <c r="H58" s="4">
        <v>1.0065010000000001</v>
      </c>
      <c r="I58" s="62">
        <v>0.98831089999999999</v>
      </c>
      <c r="J58" s="62">
        <v>1.0051916999999999</v>
      </c>
      <c r="K58" s="62">
        <v>1.0068051</v>
      </c>
      <c r="L58" s="62">
        <v>1.0368952</v>
      </c>
      <c r="M58" s="62">
        <v>1.0393448000000001</v>
      </c>
      <c r="P58" s="4"/>
      <c r="Q58" s="4">
        <v>9</v>
      </c>
      <c r="R58" s="4">
        <v>50</v>
      </c>
      <c r="S58" s="4">
        <v>720</v>
      </c>
      <c r="T58" s="4">
        <f t="shared" si="11"/>
        <v>32778</v>
      </c>
      <c r="U58" s="4">
        <f t="shared" si="20"/>
        <v>1365.75</v>
      </c>
      <c r="V58" s="4">
        <f t="shared" si="13"/>
        <v>3.7392197125256672</v>
      </c>
      <c r="W58" s="12">
        <v>0.55346099999999998</v>
      </c>
      <c r="X58" s="62">
        <v>0.58325899999999997</v>
      </c>
      <c r="Y58" s="59">
        <v>0.61972400000000005</v>
      </c>
      <c r="Z58" s="59">
        <v>0.64881299999999997</v>
      </c>
      <c r="AA58" s="59">
        <v>0.61882899999999996</v>
      </c>
      <c r="AB58" s="59">
        <v>0.61637399999999998</v>
      </c>
    </row>
    <row r="59" spans="1:45" x14ac:dyDescent="0.25">
      <c r="A59" s="4"/>
      <c r="B59" s="4">
        <v>10</v>
      </c>
      <c r="C59" s="4">
        <v>51</v>
      </c>
      <c r="D59" s="4">
        <v>720</v>
      </c>
      <c r="E59" s="4">
        <f t="shared" si="8"/>
        <v>33498</v>
      </c>
      <c r="F59" s="4">
        <f t="shared" si="9"/>
        <v>1395.75</v>
      </c>
      <c r="G59" s="4">
        <f t="shared" si="10"/>
        <v>3.8213552361396306</v>
      </c>
      <c r="H59" s="4">
        <v>1.0039393000000001</v>
      </c>
      <c r="I59" s="62">
        <v>0.98663909999999999</v>
      </c>
      <c r="J59" s="62">
        <v>1.0033570999999999</v>
      </c>
      <c r="K59" s="62">
        <v>1.0055107999999999</v>
      </c>
      <c r="L59" s="62">
        <v>1.0350447</v>
      </c>
      <c r="M59" s="62">
        <v>1.0375382</v>
      </c>
      <c r="P59" s="4"/>
      <c r="Q59" s="4">
        <v>10</v>
      </c>
      <c r="R59" s="4">
        <v>51</v>
      </c>
      <c r="S59" s="4">
        <v>720</v>
      </c>
      <c r="T59" s="4">
        <f t="shared" si="11"/>
        <v>33498</v>
      </c>
      <c r="U59" s="4">
        <f t="shared" si="20"/>
        <v>1395.75</v>
      </c>
      <c r="V59" s="4">
        <f t="shared" si="13"/>
        <v>3.8213552361396306</v>
      </c>
      <c r="W59" s="12">
        <v>0.55540800000000001</v>
      </c>
      <c r="X59" s="62">
        <v>0.58410899999999999</v>
      </c>
      <c r="Y59" s="59">
        <v>0.62047799999999997</v>
      </c>
      <c r="Z59" s="59">
        <v>0.64922500000000005</v>
      </c>
      <c r="AA59" s="59">
        <v>0.61978299999999997</v>
      </c>
      <c r="AB59" s="59">
        <v>0.617309</v>
      </c>
      <c r="AE59" s="149"/>
    </row>
    <row r="60" spans="1:45" x14ac:dyDescent="0.25">
      <c r="A60" s="4"/>
      <c r="B60" s="4">
        <v>11</v>
      </c>
      <c r="C60" s="4">
        <v>52</v>
      </c>
      <c r="D60" s="4">
        <v>720</v>
      </c>
      <c r="E60" s="4">
        <f t="shared" si="8"/>
        <v>34218</v>
      </c>
      <c r="F60" s="4">
        <f t="shared" si="9"/>
        <v>1425.75</v>
      </c>
      <c r="G60" s="4">
        <f t="shared" si="10"/>
        <v>3.9034907597535935</v>
      </c>
      <c r="H60" s="10">
        <v>1.0015129</v>
      </c>
      <c r="I60" s="62">
        <v>0.98498110000000005</v>
      </c>
      <c r="J60" s="62">
        <v>1.0029124</v>
      </c>
      <c r="K60" s="62">
        <v>1.0042127000000001</v>
      </c>
      <c r="L60" s="62">
        <v>1.0332074</v>
      </c>
      <c r="M60" s="62">
        <v>1.0357715000000001</v>
      </c>
      <c r="P60" s="4"/>
      <c r="Q60" s="4">
        <v>11</v>
      </c>
      <c r="R60" s="4">
        <v>52</v>
      </c>
      <c r="S60" s="4">
        <v>720</v>
      </c>
      <c r="T60" s="4">
        <f t="shared" si="11"/>
        <v>34218</v>
      </c>
      <c r="U60" s="4">
        <f t="shared" si="20"/>
        <v>1425.75</v>
      </c>
      <c r="V60" s="4">
        <f t="shared" si="13"/>
        <v>3.9034907597535935</v>
      </c>
      <c r="W60" s="12">
        <v>0.55720800000000004</v>
      </c>
      <c r="X60" s="62">
        <v>0.58496199999999998</v>
      </c>
      <c r="Y60" s="59">
        <v>0.62084899999999998</v>
      </c>
      <c r="Z60" s="59">
        <v>0.64964900000000003</v>
      </c>
      <c r="AA60" s="59">
        <v>0.62073500000000004</v>
      </c>
      <c r="AB60" s="59">
        <v>0.61822500000000002</v>
      </c>
    </row>
    <row r="61" spans="1:45" x14ac:dyDescent="0.25">
      <c r="A61" s="4"/>
      <c r="B61" s="4">
        <v>12</v>
      </c>
      <c r="C61" s="4">
        <v>53</v>
      </c>
      <c r="D61" s="4">
        <v>846</v>
      </c>
      <c r="E61" s="4">
        <f t="shared" si="8"/>
        <v>35064</v>
      </c>
      <c r="F61" s="4">
        <f t="shared" si="9"/>
        <v>1461</v>
      </c>
      <c r="G61" s="4">
        <f t="shared" si="10"/>
        <v>4</v>
      </c>
      <c r="H61" s="4">
        <v>0.99908710000000001</v>
      </c>
      <c r="I61" s="62">
        <v>0.98333020000000004</v>
      </c>
      <c r="J61" s="62">
        <v>1.0007241</v>
      </c>
      <c r="K61" s="62">
        <v>1.0029273000000001</v>
      </c>
      <c r="L61" s="62">
        <v>1.0313882000000001</v>
      </c>
      <c r="M61" s="62">
        <v>1.0339784999999999</v>
      </c>
      <c r="P61" s="4"/>
      <c r="Q61" s="4">
        <v>12</v>
      </c>
      <c r="R61" s="4">
        <v>53</v>
      </c>
      <c r="S61" s="4">
        <v>846</v>
      </c>
      <c r="T61" s="4">
        <f t="shared" si="11"/>
        <v>35064</v>
      </c>
      <c r="U61" s="4">
        <f t="shared" si="20"/>
        <v>1461</v>
      </c>
      <c r="V61" s="4">
        <f t="shared" si="13"/>
        <v>4</v>
      </c>
      <c r="W61" s="12">
        <v>0.55902200000000002</v>
      </c>
      <c r="X61" s="62">
        <v>0.58580900000000002</v>
      </c>
      <c r="Y61" s="59">
        <v>0.62173400000000001</v>
      </c>
      <c r="Z61" s="59">
        <v>0.65006699999999995</v>
      </c>
      <c r="AA61" s="59">
        <v>0.62168599999999996</v>
      </c>
      <c r="AB61" s="59">
        <v>0.61915799999999999</v>
      </c>
    </row>
    <row r="62" spans="1:45" x14ac:dyDescent="0.25">
      <c r="A62" s="4"/>
      <c r="B62" s="4">
        <v>13</v>
      </c>
      <c r="C62" s="4">
        <v>54</v>
      </c>
      <c r="D62" s="4">
        <v>720</v>
      </c>
      <c r="E62" s="4">
        <f t="shared" si="8"/>
        <v>35784</v>
      </c>
      <c r="F62" s="4">
        <f t="shared" si="9"/>
        <v>1491</v>
      </c>
      <c r="G62" s="4">
        <f t="shared" si="10"/>
        <v>4.0821355236139629</v>
      </c>
      <c r="H62" s="4">
        <v>0.99624159999999995</v>
      </c>
      <c r="I62" s="62">
        <v>0.98140689999999997</v>
      </c>
      <c r="J62" s="61">
        <v>1.0012013</v>
      </c>
      <c r="K62" s="62">
        <v>1.0014189</v>
      </c>
      <c r="L62" s="62">
        <v>1.0292659</v>
      </c>
      <c r="M62" s="62">
        <v>1.0318904</v>
      </c>
      <c r="P62" s="4"/>
      <c r="Q62" s="4">
        <v>13</v>
      </c>
      <c r="R62" s="4">
        <v>54</v>
      </c>
      <c r="S62" s="4">
        <v>720</v>
      </c>
      <c r="T62" s="4">
        <f t="shared" si="11"/>
        <v>35784</v>
      </c>
      <c r="U62" s="4">
        <f t="shared" si="20"/>
        <v>1491</v>
      </c>
      <c r="V62" s="4">
        <f t="shared" si="13"/>
        <v>4.0821355236139629</v>
      </c>
      <c r="W62" s="12">
        <v>0.56111</v>
      </c>
      <c r="X62" s="62">
        <v>0.58680500000000002</v>
      </c>
      <c r="Y62" s="59">
        <v>0.62157499999999999</v>
      </c>
      <c r="Z62" s="59">
        <v>0.65056899999999995</v>
      </c>
      <c r="AA62" s="59">
        <v>0.62279899999999999</v>
      </c>
      <c r="AB62" s="59">
        <v>0.62025300000000005</v>
      </c>
    </row>
    <row r="63" spans="1:45" x14ac:dyDescent="0.25">
      <c r="A63" s="4"/>
      <c r="B63" s="4">
        <v>14</v>
      </c>
      <c r="C63" s="4">
        <v>55</v>
      </c>
      <c r="D63" s="4">
        <v>720</v>
      </c>
      <c r="E63" s="4">
        <f t="shared" si="8"/>
        <v>36504</v>
      </c>
      <c r="F63" s="4">
        <f t="shared" si="9"/>
        <v>1521</v>
      </c>
      <c r="G63" s="4">
        <f t="shared" si="10"/>
        <v>4.1642710472279258</v>
      </c>
      <c r="H63" s="4">
        <v>0.9936526</v>
      </c>
      <c r="I63" s="62">
        <v>0.97978279999999995</v>
      </c>
      <c r="J63" s="62">
        <v>0.99793290000000001</v>
      </c>
      <c r="K63" s="61">
        <v>1.0002622999999999</v>
      </c>
      <c r="L63" s="62">
        <v>1.0274912</v>
      </c>
      <c r="M63" s="62">
        <v>1.0301188999999999</v>
      </c>
      <c r="P63" s="4"/>
      <c r="Q63" s="4">
        <v>14</v>
      </c>
      <c r="R63" s="4">
        <v>55</v>
      </c>
      <c r="S63" s="4">
        <v>720</v>
      </c>
      <c r="T63" s="4">
        <f t="shared" si="11"/>
        <v>36504</v>
      </c>
      <c r="U63" s="4">
        <f t="shared" si="20"/>
        <v>1521</v>
      </c>
      <c r="V63" s="4">
        <f t="shared" si="13"/>
        <v>4.1642710472279258</v>
      </c>
      <c r="W63" s="12">
        <v>0.56318699999999999</v>
      </c>
      <c r="X63" s="62">
        <v>0.58765400000000001</v>
      </c>
      <c r="Y63" s="59">
        <v>0.62309400000000004</v>
      </c>
      <c r="Z63" s="59">
        <v>0.65094399999999997</v>
      </c>
      <c r="AA63" s="59">
        <v>0.62382599999999999</v>
      </c>
      <c r="AB63" s="59">
        <v>0.62118899999999999</v>
      </c>
    </row>
    <row r="64" spans="1:45" x14ac:dyDescent="0.25">
      <c r="A64" s="4"/>
      <c r="B64" s="4">
        <v>15</v>
      </c>
      <c r="C64" s="4">
        <v>56</v>
      </c>
      <c r="D64" s="4">
        <v>720</v>
      </c>
      <c r="E64" s="4">
        <f t="shared" si="8"/>
        <v>37224</v>
      </c>
      <c r="F64" s="4">
        <f t="shared" si="9"/>
        <v>1551</v>
      </c>
      <c r="G64" s="4">
        <f t="shared" si="10"/>
        <v>4.2464065708418888</v>
      </c>
      <c r="H64" s="4">
        <v>0.99117449999999996</v>
      </c>
      <c r="I64" s="62">
        <v>0.97818260000000001</v>
      </c>
      <c r="J64" s="61">
        <v>1.0009512</v>
      </c>
      <c r="K64" s="62">
        <v>0.99881200000000003</v>
      </c>
      <c r="L64" s="62">
        <v>1.0256970000000001</v>
      </c>
      <c r="M64" s="62">
        <v>1.0283629999999999</v>
      </c>
      <c r="P64" s="4"/>
      <c r="Q64" s="4">
        <v>15</v>
      </c>
      <c r="R64" s="4">
        <v>56</v>
      </c>
      <c r="S64" s="4">
        <v>720</v>
      </c>
      <c r="T64" s="4">
        <f t="shared" si="11"/>
        <v>37224</v>
      </c>
      <c r="U64" s="4">
        <f t="shared" si="20"/>
        <v>1551</v>
      </c>
      <c r="V64" s="4">
        <f t="shared" si="13"/>
        <v>4.2464065708418888</v>
      </c>
      <c r="W64" s="12">
        <v>0.56511199999999995</v>
      </c>
      <c r="X64" s="62">
        <v>0.58849700000000005</v>
      </c>
      <c r="Y64" s="59">
        <v>0.62107599999999996</v>
      </c>
      <c r="Z64" s="59">
        <v>0.65140799999999999</v>
      </c>
      <c r="AA64" s="59">
        <v>0.62476900000000002</v>
      </c>
      <c r="AB64" s="59">
        <v>0.62211899999999998</v>
      </c>
    </row>
    <row r="65" spans="1:28" x14ac:dyDescent="0.25">
      <c r="A65" s="4"/>
      <c r="B65" s="4">
        <v>16</v>
      </c>
      <c r="C65" s="4">
        <v>57</v>
      </c>
      <c r="D65" s="4">
        <v>720</v>
      </c>
      <c r="E65" s="4">
        <f t="shared" si="8"/>
        <v>37944</v>
      </c>
      <c r="F65" s="4">
        <f t="shared" si="9"/>
        <v>1581</v>
      </c>
      <c r="G65" s="4">
        <f t="shared" si="10"/>
        <v>4.3285420944558526</v>
      </c>
      <c r="H65" s="4">
        <v>0.9884406</v>
      </c>
      <c r="I65" s="62">
        <v>0.97657890000000003</v>
      </c>
      <c r="J65" s="62">
        <v>0.99744809999999995</v>
      </c>
      <c r="K65" s="62">
        <v>0.99764600000000003</v>
      </c>
      <c r="L65" s="62">
        <v>1.0239201</v>
      </c>
      <c r="M65" s="62">
        <v>1.0266280999999999</v>
      </c>
      <c r="P65" s="4"/>
      <c r="Q65" s="4">
        <v>16</v>
      </c>
      <c r="R65" s="4">
        <v>57</v>
      </c>
      <c r="S65" s="4">
        <v>720</v>
      </c>
      <c r="T65" s="4">
        <f t="shared" si="11"/>
        <v>37944</v>
      </c>
      <c r="U65" s="4">
        <f t="shared" si="20"/>
        <v>1581</v>
      </c>
      <c r="V65" s="4">
        <f t="shared" si="13"/>
        <v>4.3285420944558526</v>
      </c>
      <c r="W65" s="12">
        <v>0.56748900000000002</v>
      </c>
      <c r="X65" s="62">
        <v>0.58934399999999998</v>
      </c>
      <c r="Y65" s="59">
        <v>0.62333700000000003</v>
      </c>
      <c r="Z65" s="59">
        <v>0.65181699999999998</v>
      </c>
      <c r="AA65" s="59">
        <v>0.62571100000000002</v>
      </c>
      <c r="AB65" s="59">
        <v>0.62304199999999998</v>
      </c>
    </row>
    <row r="66" spans="1:28" x14ac:dyDescent="0.25">
      <c r="A66" s="4"/>
      <c r="B66" s="4">
        <v>17</v>
      </c>
      <c r="C66" s="4">
        <v>58</v>
      </c>
      <c r="D66" s="4">
        <v>720</v>
      </c>
      <c r="E66" s="4">
        <f t="shared" si="8"/>
        <v>38664</v>
      </c>
      <c r="F66" s="4">
        <f t="shared" si="9"/>
        <v>1611</v>
      </c>
      <c r="G66" s="4">
        <f t="shared" si="10"/>
        <v>4.4106776180698155</v>
      </c>
      <c r="H66" s="4">
        <v>0.98535010000000001</v>
      </c>
      <c r="I66" s="64">
        <v>0.97499590000000003</v>
      </c>
      <c r="J66" s="64">
        <v>0.99965749999999998</v>
      </c>
      <c r="K66" s="62">
        <v>0.99633769999999999</v>
      </c>
      <c r="L66" s="62">
        <v>1.0221562</v>
      </c>
      <c r="M66" s="62">
        <v>1.0249033999999999</v>
      </c>
      <c r="P66" s="4"/>
      <c r="Q66" s="4">
        <v>17</v>
      </c>
      <c r="R66" s="4">
        <v>58</v>
      </c>
      <c r="S66" s="4">
        <v>720</v>
      </c>
      <c r="T66" s="4">
        <f t="shared" si="11"/>
        <v>38664</v>
      </c>
      <c r="U66" s="4">
        <f t="shared" si="20"/>
        <v>1611</v>
      </c>
      <c r="V66" s="4">
        <f t="shared" si="13"/>
        <v>4.4106776180698155</v>
      </c>
      <c r="W66" s="12">
        <v>0.57041500000000001</v>
      </c>
      <c r="X66" s="64">
        <v>0.59018499999999996</v>
      </c>
      <c r="Y66" s="59">
        <v>0.62160099999999996</v>
      </c>
      <c r="Z66" s="59">
        <v>0.65226300000000004</v>
      </c>
      <c r="AA66" s="59">
        <v>0.62665099999999996</v>
      </c>
      <c r="AB66" s="59">
        <v>0.62396200000000002</v>
      </c>
    </row>
    <row r="67" spans="1:28" x14ac:dyDescent="0.25">
      <c r="A67" s="4"/>
      <c r="B67" s="4">
        <v>18</v>
      </c>
      <c r="C67" s="4">
        <v>59</v>
      </c>
      <c r="D67" s="4">
        <v>720</v>
      </c>
      <c r="E67" s="4">
        <f t="shared" si="8"/>
        <v>39384</v>
      </c>
      <c r="F67" s="4">
        <f t="shared" si="9"/>
        <v>1641</v>
      </c>
      <c r="G67" s="4">
        <f t="shared" si="10"/>
        <v>4.4928131416837784</v>
      </c>
      <c r="H67" s="4">
        <v>0.98233159999999997</v>
      </c>
      <c r="I67" s="62">
        <v>0.97342189999999995</v>
      </c>
      <c r="J67" s="62">
        <v>0.99530540000000001</v>
      </c>
      <c r="K67" s="62">
        <v>0.99509420000000004</v>
      </c>
      <c r="L67" s="62">
        <v>1.0204089000000001</v>
      </c>
      <c r="M67" s="62">
        <v>1.0231876</v>
      </c>
      <c r="P67" s="4"/>
      <c r="Q67" s="4">
        <v>18</v>
      </c>
      <c r="R67" s="4">
        <v>59</v>
      </c>
      <c r="S67" s="4">
        <v>720</v>
      </c>
      <c r="T67" s="4">
        <f t="shared" si="11"/>
        <v>39384</v>
      </c>
      <c r="U67" s="4">
        <f t="shared" si="20"/>
        <v>1641</v>
      </c>
      <c r="V67" s="4">
        <f t="shared" si="13"/>
        <v>4.4928131416837784</v>
      </c>
      <c r="W67" s="12">
        <v>0.573237</v>
      </c>
      <c r="X67" s="62">
        <v>0.59102200000000005</v>
      </c>
      <c r="Y67" s="59">
        <v>0.62468599999999996</v>
      </c>
      <c r="Z67" s="59">
        <v>0.65268300000000001</v>
      </c>
      <c r="AA67" s="59">
        <v>0.62758700000000001</v>
      </c>
      <c r="AB67" s="59">
        <v>0.62487899999999996</v>
      </c>
    </row>
    <row r="68" spans="1:28" x14ac:dyDescent="0.25">
      <c r="A68" s="4"/>
      <c r="B68" s="4">
        <v>19</v>
      </c>
      <c r="C68" s="4">
        <v>60</v>
      </c>
      <c r="D68" s="4">
        <v>720</v>
      </c>
      <c r="E68" s="4">
        <f t="shared" si="8"/>
        <v>40104</v>
      </c>
      <c r="F68" s="4">
        <f t="shared" si="9"/>
        <v>1671</v>
      </c>
      <c r="G68" s="4">
        <f t="shared" si="10"/>
        <v>4.5749486652977414</v>
      </c>
      <c r="H68" s="4">
        <v>0.97935530000000004</v>
      </c>
      <c r="I68" s="62">
        <v>0.97184780000000004</v>
      </c>
      <c r="J68" s="62">
        <v>0.99685460000000004</v>
      </c>
      <c r="K68" s="62">
        <v>0.99395199999999995</v>
      </c>
      <c r="L68" s="62">
        <v>1.0186740000000001</v>
      </c>
      <c r="M68" s="62">
        <v>1.0214831</v>
      </c>
      <c r="P68" s="4"/>
      <c r="Q68" s="4">
        <v>19</v>
      </c>
      <c r="R68" s="4">
        <v>60</v>
      </c>
      <c r="S68" s="4">
        <v>720</v>
      </c>
      <c r="T68" s="4">
        <f t="shared" si="11"/>
        <v>40104</v>
      </c>
      <c r="U68" s="4">
        <f t="shared" si="20"/>
        <v>1671</v>
      </c>
      <c r="V68" s="4">
        <f t="shared" si="13"/>
        <v>4.5749486652977414</v>
      </c>
      <c r="W68" s="12">
        <v>0.57601400000000003</v>
      </c>
      <c r="X68" s="62">
        <v>0.59186499999999997</v>
      </c>
      <c r="Y68" s="59">
        <v>0.62306899999999998</v>
      </c>
      <c r="Z68" s="59">
        <v>0.65306699999999995</v>
      </c>
      <c r="AA68" s="59">
        <v>0.628525</v>
      </c>
      <c r="AB68" s="59">
        <v>0.62579399999999996</v>
      </c>
    </row>
    <row r="69" spans="1:28" x14ac:dyDescent="0.25">
      <c r="A69" s="4"/>
      <c r="B69" s="4">
        <v>20</v>
      </c>
      <c r="C69" s="4">
        <v>61</v>
      </c>
      <c r="D69" s="4">
        <v>720</v>
      </c>
      <c r="E69" s="4">
        <f t="shared" si="8"/>
        <v>40824</v>
      </c>
      <c r="F69" s="4">
        <f t="shared" si="9"/>
        <v>1701</v>
      </c>
      <c r="G69" s="4">
        <f t="shared" si="10"/>
        <v>4.6570841889117043</v>
      </c>
      <c r="H69" s="4">
        <v>0.97600469999999995</v>
      </c>
      <c r="I69" s="62">
        <v>0.97028099999999995</v>
      </c>
      <c r="J69" s="62">
        <v>0.99265579999999998</v>
      </c>
      <c r="K69" s="62">
        <v>0.99254730000000002</v>
      </c>
      <c r="L69" s="62">
        <v>1.0169512000000001</v>
      </c>
      <c r="M69" s="62">
        <v>1.0197569</v>
      </c>
      <c r="P69" s="4"/>
      <c r="Q69" s="4">
        <v>20</v>
      </c>
      <c r="R69" s="4">
        <v>61</v>
      </c>
      <c r="S69" s="4">
        <v>720</v>
      </c>
      <c r="T69" s="4">
        <f t="shared" si="11"/>
        <v>40824</v>
      </c>
      <c r="U69" s="4">
        <f t="shared" si="20"/>
        <v>1701</v>
      </c>
      <c r="V69" s="4">
        <f t="shared" si="13"/>
        <v>4.6570841889117043</v>
      </c>
      <c r="W69" s="12">
        <v>0.57943999999999996</v>
      </c>
      <c r="X69" s="62">
        <v>0.59270500000000004</v>
      </c>
      <c r="Y69" s="59">
        <v>0.62610100000000002</v>
      </c>
      <c r="Z69" s="59">
        <v>0.65353700000000003</v>
      </c>
      <c r="AA69" s="59">
        <v>0.62946199999999997</v>
      </c>
      <c r="AB69" s="59">
        <v>0.62673199999999996</v>
      </c>
    </row>
    <row r="70" spans="1:28" x14ac:dyDescent="0.25">
      <c r="A70" s="4"/>
      <c r="B70" s="4">
        <v>21</v>
      </c>
      <c r="C70" s="4">
        <v>62</v>
      </c>
      <c r="D70" s="4">
        <v>720</v>
      </c>
      <c r="E70" s="4">
        <f t="shared" si="8"/>
        <v>41544</v>
      </c>
      <c r="F70" s="4">
        <f t="shared" si="9"/>
        <v>1731</v>
      </c>
      <c r="G70" s="4">
        <f t="shared" si="10"/>
        <v>4.7392197125256672</v>
      </c>
      <c r="H70" s="4">
        <v>0.97261629999999999</v>
      </c>
      <c r="I70" s="62">
        <v>0.96871439999999998</v>
      </c>
      <c r="J70" s="62">
        <v>0.99379799999999996</v>
      </c>
      <c r="K70" s="62">
        <v>0.99136219999999997</v>
      </c>
      <c r="L70" s="62">
        <v>1.0152494000000001</v>
      </c>
      <c r="M70" s="62">
        <v>1.0180788000000001</v>
      </c>
      <c r="P70" s="4"/>
      <c r="Q70" s="4">
        <v>21</v>
      </c>
      <c r="R70" s="4">
        <v>62</v>
      </c>
      <c r="S70" s="4">
        <v>720</v>
      </c>
      <c r="T70" s="4">
        <f t="shared" si="11"/>
        <v>41544</v>
      </c>
      <c r="U70" s="4">
        <f t="shared" si="20"/>
        <v>1731</v>
      </c>
      <c r="V70" s="4">
        <f t="shared" si="13"/>
        <v>4.7392197125256672</v>
      </c>
      <c r="W70" s="12">
        <v>0.58291999999999999</v>
      </c>
      <c r="X70" s="62">
        <v>0.59354700000000005</v>
      </c>
      <c r="Y70" s="59">
        <v>0.62473999999999996</v>
      </c>
      <c r="Z70" s="59">
        <v>0.65395599999999998</v>
      </c>
      <c r="AA70" s="59">
        <v>0.63039000000000001</v>
      </c>
      <c r="AB70" s="59">
        <v>0.62765400000000005</v>
      </c>
    </row>
    <row r="71" spans="1:28" x14ac:dyDescent="0.25">
      <c r="A71" s="4"/>
      <c r="B71" s="4">
        <v>22</v>
      </c>
      <c r="C71" s="4">
        <v>63</v>
      </c>
      <c r="D71" s="4">
        <v>720</v>
      </c>
      <c r="E71" s="4">
        <f t="shared" si="8"/>
        <v>42264</v>
      </c>
      <c r="F71" s="4">
        <f t="shared" si="9"/>
        <v>1761</v>
      </c>
      <c r="G71" s="4">
        <f t="shared" si="10"/>
        <v>4.8213552361396301</v>
      </c>
      <c r="H71" s="4">
        <v>0.96926179999999995</v>
      </c>
      <c r="I71" s="62">
        <v>0.96714880000000003</v>
      </c>
      <c r="J71" s="62">
        <v>0.9899078</v>
      </c>
      <c r="K71" s="62">
        <v>0.99005889999999996</v>
      </c>
      <c r="L71" s="62">
        <v>1.0135622</v>
      </c>
      <c r="M71" s="62">
        <v>1.0164044999999999</v>
      </c>
      <c r="P71" s="4"/>
      <c r="Q71" s="4">
        <v>22</v>
      </c>
      <c r="R71" s="4">
        <v>63</v>
      </c>
      <c r="S71" s="4">
        <v>720</v>
      </c>
      <c r="T71" s="4">
        <f t="shared" si="11"/>
        <v>42264</v>
      </c>
      <c r="U71" s="4">
        <f t="shared" si="20"/>
        <v>1761</v>
      </c>
      <c r="V71" s="4">
        <f t="shared" si="13"/>
        <v>4.8213552361396301</v>
      </c>
      <c r="W71" s="12">
        <v>0.58638599999999996</v>
      </c>
      <c r="X71" s="62">
        <v>0.59439699999999995</v>
      </c>
      <c r="Y71" s="60">
        <v>0.627521</v>
      </c>
      <c r="Z71" s="59">
        <v>0.65441099999999996</v>
      </c>
      <c r="AA71" s="59">
        <v>0.63131800000000005</v>
      </c>
      <c r="AB71" s="59">
        <v>0.62857700000000005</v>
      </c>
    </row>
    <row r="72" spans="1:28" x14ac:dyDescent="0.25">
      <c r="A72" s="4"/>
      <c r="B72" s="4">
        <v>23</v>
      </c>
      <c r="C72" s="4">
        <v>64</v>
      </c>
      <c r="D72" s="4">
        <v>720</v>
      </c>
      <c r="E72" s="4">
        <f t="shared" si="8"/>
        <v>42984</v>
      </c>
      <c r="F72" s="4">
        <f t="shared" si="9"/>
        <v>1791</v>
      </c>
      <c r="G72" s="4">
        <f t="shared" si="10"/>
        <v>4.9034907597535931</v>
      </c>
      <c r="H72" s="4">
        <v>0.96584119999999996</v>
      </c>
      <c r="I72" s="62">
        <v>0.96558679999999997</v>
      </c>
      <c r="J72" s="62">
        <v>0.99073710000000004</v>
      </c>
      <c r="K72" s="62">
        <v>0.98900189999999999</v>
      </c>
      <c r="L72" s="62">
        <v>1.0118788000000001</v>
      </c>
      <c r="M72" s="62">
        <v>1.0147438</v>
      </c>
      <c r="P72" s="4"/>
      <c r="Q72" s="4">
        <v>23</v>
      </c>
      <c r="R72" s="4">
        <v>64</v>
      </c>
      <c r="S72" s="4">
        <v>720</v>
      </c>
      <c r="T72" s="4">
        <f t="shared" si="11"/>
        <v>42984</v>
      </c>
      <c r="U72" s="4">
        <f t="shared" si="20"/>
        <v>1791</v>
      </c>
      <c r="V72" s="4">
        <f t="shared" si="13"/>
        <v>4.9034907597535931</v>
      </c>
      <c r="W72" s="12">
        <v>0.58995399999999998</v>
      </c>
      <c r="X72" s="62">
        <v>0.59524299999999997</v>
      </c>
      <c r="Y72" s="59">
        <v>0.62645499999999998</v>
      </c>
      <c r="Z72" s="59">
        <v>0.65478099999999995</v>
      </c>
      <c r="AA72" s="59">
        <v>0.63224599999999997</v>
      </c>
      <c r="AB72" s="59">
        <v>0.62949699999999997</v>
      </c>
    </row>
    <row r="73" spans="1:28" x14ac:dyDescent="0.25">
      <c r="A73" s="4" t="s">
        <v>254</v>
      </c>
      <c r="B73" s="4">
        <v>24</v>
      </c>
      <c r="C73" s="4">
        <v>65</v>
      </c>
      <c r="D73" s="4">
        <v>846</v>
      </c>
      <c r="E73" s="4">
        <f t="shared" si="8"/>
        <v>43830</v>
      </c>
      <c r="F73" s="4">
        <f t="shared" si="9"/>
        <v>1826.25</v>
      </c>
      <c r="G73" s="4">
        <f t="shared" si="10"/>
        <v>5</v>
      </c>
      <c r="H73" s="4">
        <v>0.96243809999999996</v>
      </c>
      <c r="I73" s="62">
        <v>0.96404939999999995</v>
      </c>
      <c r="J73" s="62">
        <v>0.98697480000000004</v>
      </c>
      <c r="K73" s="62">
        <v>0.98756820000000001</v>
      </c>
      <c r="L73" s="62">
        <v>1.0102032000000001</v>
      </c>
      <c r="M73" s="147">
        <v>1.0131232999999999</v>
      </c>
      <c r="P73" s="4" t="s">
        <v>254</v>
      </c>
      <c r="Q73" s="4">
        <v>24</v>
      </c>
      <c r="R73" s="4">
        <v>65</v>
      </c>
      <c r="S73" s="4">
        <v>846</v>
      </c>
      <c r="T73" s="4">
        <f t="shared" si="11"/>
        <v>43830</v>
      </c>
      <c r="U73" s="4">
        <f t="shared" si="20"/>
        <v>1826.25</v>
      </c>
      <c r="V73" s="4">
        <f t="shared" si="13"/>
        <v>5</v>
      </c>
      <c r="W73" s="12">
        <v>0.59353400000000001</v>
      </c>
      <c r="X73" s="62">
        <v>0.59608000000000005</v>
      </c>
      <c r="Y73" s="59">
        <v>0.62914000000000003</v>
      </c>
      <c r="Z73" s="59">
        <v>0.65527599999999997</v>
      </c>
      <c r="AA73" s="59">
        <v>0.63317400000000001</v>
      </c>
      <c r="AB73" s="148">
        <v>0.63039599999999996</v>
      </c>
    </row>
  </sheetData>
  <mergeCells count="25">
    <mergeCell ref="AF29:AF32"/>
    <mergeCell ref="AF9:AF12"/>
    <mergeCell ref="AF13:AF16"/>
    <mergeCell ref="AF17:AF20"/>
    <mergeCell ref="AF21:AF24"/>
    <mergeCell ref="AF25:AF28"/>
    <mergeCell ref="AQ6:BM6"/>
    <mergeCell ref="AQ7:BE7"/>
    <mergeCell ref="BH7:BM7"/>
    <mergeCell ref="W7:AB7"/>
    <mergeCell ref="AF6:AN6"/>
    <mergeCell ref="A7:A8"/>
    <mergeCell ref="C7:C8"/>
    <mergeCell ref="D7:D8"/>
    <mergeCell ref="E7:E8"/>
    <mergeCell ref="F7:F8"/>
    <mergeCell ref="H7:M7"/>
    <mergeCell ref="P7:P8"/>
    <mergeCell ref="R7:R8"/>
    <mergeCell ref="S7:S8"/>
    <mergeCell ref="T7:T8"/>
    <mergeCell ref="U7:U8"/>
    <mergeCell ref="AG7:AG8"/>
    <mergeCell ref="AH7:AN7"/>
    <mergeCell ref="AF7:AF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Core Parameters</vt:lpstr>
      <vt:lpstr>Geometri</vt:lpstr>
      <vt:lpstr>Suhu Gap dan Cladding</vt:lpstr>
      <vt:lpstr>Fraksi Volume</vt:lpstr>
      <vt:lpstr>Variasi HD</vt:lpstr>
      <vt:lpstr>Nuklida FA1</vt:lpstr>
      <vt:lpstr>Nuklida FA2</vt:lpstr>
      <vt:lpstr>Hasil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Harun Ardiansyah</dc:creator>
  <cp:lastModifiedBy>Harun Ardiansyah</cp:lastModifiedBy>
  <dcterms:created xsi:type="dcterms:W3CDTF">2017-12-20T08:29:11Z</dcterms:created>
  <dcterms:modified xsi:type="dcterms:W3CDTF">2018-05-09T16:44:59Z</dcterms:modified>
</cp:coreProperties>
</file>