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un Ardiansyah\OneDrive\Skripsi Harun\Fixed Excels\"/>
    </mc:Choice>
  </mc:AlternateContent>
  <bookViews>
    <workbookView xWindow="0" yWindow="0" windowWidth="20490" windowHeight="7755" firstSheet="6" activeTab="7"/>
  </bookViews>
  <sheets>
    <sheet name="Core Parameters" sheetId="4" r:id="rId1"/>
    <sheet name="Geometri" sheetId="1" r:id="rId2"/>
    <sheet name="Suhu Gap dan Cladding" sheetId="8" r:id="rId3"/>
    <sheet name="Fraksi Volume" sheetId="9" r:id="rId4"/>
    <sheet name="HD FIX" sheetId="5" r:id="rId5"/>
    <sheet name="Nuklida FA1" sheetId="2" r:id="rId6"/>
    <sheet name="Nuklida FA2" sheetId="3" r:id="rId7"/>
    <sheet name="Hasil" sheetId="6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2" i="6" l="1"/>
  <c r="AS13" i="6" s="1"/>
  <c r="AS14" i="6" s="1"/>
  <c r="AS15" i="6" s="1"/>
  <c r="AS16" i="6" s="1"/>
  <c r="AS17" i="6" s="1"/>
  <c r="AS18" i="6" s="1"/>
  <c r="AS19" i="6" s="1"/>
  <c r="AS20" i="6" s="1"/>
  <c r="AS21" i="6" s="1"/>
  <c r="AS22" i="6" s="1"/>
  <c r="AS23" i="6" s="1"/>
  <c r="AS24" i="6" s="1"/>
  <c r="AS25" i="6" s="1"/>
  <c r="AS26" i="6" s="1"/>
  <c r="AS27" i="6" s="1"/>
  <c r="AS28" i="6" s="1"/>
  <c r="AS29" i="6" s="1"/>
  <c r="AS30" i="6" s="1"/>
  <c r="AS31" i="6" s="1"/>
  <c r="AS32" i="6" s="1"/>
  <c r="AS33" i="6" s="1"/>
  <c r="AS34" i="6" s="1"/>
  <c r="AS35" i="6" s="1"/>
  <c r="AS36" i="6" s="1"/>
  <c r="AS37" i="6" s="1"/>
  <c r="AS38" i="6" s="1"/>
  <c r="AS39" i="6" s="1"/>
  <c r="AS40" i="6" s="1"/>
  <c r="AS41" i="6" s="1"/>
  <c r="AS42" i="6" s="1"/>
  <c r="AS43" i="6" s="1"/>
  <c r="AS44" i="6" s="1"/>
  <c r="AS45" i="6" s="1"/>
  <c r="AS46" i="6" s="1"/>
  <c r="AS47" i="6" s="1"/>
  <c r="AP12" i="6"/>
  <c r="AP13" i="6" s="1"/>
  <c r="AP14" i="6" s="1"/>
  <c r="AP15" i="6" s="1"/>
  <c r="AP16" i="6" s="1"/>
  <c r="AP17" i="6" s="1"/>
  <c r="AP18" i="6" s="1"/>
  <c r="AP19" i="6" s="1"/>
  <c r="AP20" i="6" s="1"/>
  <c r="AP21" i="6" s="1"/>
  <c r="AP22" i="6" s="1"/>
  <c r="AP23" i="6" s="1"/>
  <c r="AP24" i="6" s="1"/>
  <c r="AP25" i="6" s="1"/>
  <c r="AP26" i="6" s="1"/>
  <c r="AP27" i="6" s="1"/>
  <c r="AP28" i="6" s="1"/>
  <c r="AP29" i="6" s="1"/>
  <c r="AP30" i="6" s="1"/>
  <c r="AP31" i="6" s="1"/>
  <c r="AP32" i="6" s="1"/>
  <c r="AP33" i="6" s="1"/>
  <c r="AP34" i="6" s="1"/>
  <c r="AP35" i="6" s="1"/>
  <c r="AP36" i="6" s="1"/>
  <c r="AP37" i="6" s="1"/>
  <c r="AP38" i="6" s="1"/>
  <c r="AP39" i="6" s="1"/>
  <c r="AP40" i="6" s="1"/>
  <c r="AP41" i="6" s="1"/>
  <c r="AP42" i="6" s="1"/>
  <c r="AP43" i="6" s="1"/>
  <c r="AP44" i="6" s="1"/>
  <c r="AP45" i="6" s="1"/>
  <c r="AP46" i="6" s="1"/>
  <c r="AP47" i="6" s="1"/>
  <c r="AS49" i="6" l="1"/>
  <c r="AS48" i="6"/>
  <c r="AP49" i="6"/>
  <c r="AP48" i="6"/>
  <c r="AC6" i="3" l="1"/>
  <c r="AD6" i="3"/>
  <c r="AE6" i="3"/>
  <c r="AF6" i="3"/>
  <c r="AG6" i="3"/>
  <c r="AH6" i="3"/>
  <c r="AI6" i="3"/>
  <c r="AJ6" i="3"/>
  <c r="AK6" i="3"/>
  <c r="AL6" i="3"/>
  <c r="AM6" i="3"/>
  <c r="AN6" i="3"/>
  <c r="AO6" i="3"/>
  <c r="AB6" i="3"/>
  <c r="V6" i="2"/>
  <c r="W6" i="2"/>
  <c r="X6" i="2"/>
  <c r="Y6" i="2"/>
  <c r="Z6" i="2"/>
  <c r="AA6" i="2"/>
  <c r="U6" i="2"/>
  <c r="B17" i="5"/>
  <c r="B15" i="5"/>
  <c r="B16" i="5" s="1"/>
  <c r="C11" i="5"/>
  <c r="C6" i="5"/>
  <c r="C17" i="5" s="1"/>
  <c r="C18" i="5" s="1"/>
  <c r="B6" i="5"/>
  <c r="B11" i="5" s="1"/>
  <c r="B12" i="5" s="1"/>
  <c r="C3" i="5"/>
  <c r="B3" i="5"/>
  <c r="B18" i="5" l="1"/>
  <c r="BB12" i="6" l="1"/>
  <c r="BB13" i="6" s="1"/>
  <c r="BB14" i="6" s="1"/>
  <c r="BB15" i="6" s="1"/>
  <c r="BB16" i="6" s="1"/>
  <c r="BB17" i="6" s="1"/>
  <c r="BB18" i="6" s="1"/>
  <c r="BB19" i="6" s="1"/>
  <c r="BB20" i="6" s="1"/>
  <c r="BB21" i="6" s="1"/>
  <c r="BB22" i="6" s="1"/>
  <c r="BB23" i="6" s="1"/>
  <c r="BB24" i="6" s="1"/>
  <c r="BB25" i="6" s="1"/>
  <c r="BB26" i="6" s="1"/>
  <c r="BB27" i="6" s="1"/>
  <c r="BB28" i="6" s="1"/>
  <c r="BB29" i="6" s="1"/>
  <c r="BB30" i="6" s="1"/>
  <c r="BB31" i="6" s="1"/>
  <c r="BB32" i="6" s="1"/>
  <c r="BB33" i="6" s="1"/>
  <c r="BB34" i="6" s="1"/>
  <c r="BB35" i="6" s="1"/>
  <c r="BB36" i="6" s="1"/>
  <c r="BB37" i="6" s="1"/>
  <c r="BB38" i="6" s="1"/>
  <c r="BB39" i="6" s="1"/>
  <c r="BB40" i="6" s="1"/>
  <c r="BB41" i="6" s="1"/>
  <c r="BB42" i="6" s="1"/>
  <c r="BB43" i="6" s="1"/>
  <c r="BB44" i="6" s="1"/>
  <c r="BB45" i="6" s="1"/>
  <c r="BB46" i="6" s="1"/>
  <c r="BB47" i="6" s="1"/>
  <c r="AY12" i="6"/>
  <c r="AY13" i="6" s="1"/>
  <c r="AY14" i="6" s="1"/>
  <c r="AY15" i="6" s="1"/>
  <c r="AY16" i="6" s="1"/>
  <c r="AY17" i="6" s="1"/>
  <c r="AY18" i="6" s="1"/>
  <c r="AY19" i="6" s="1"/>
  <c r="AY20" i="6" s="1"/>
  <c r="AY21" i="6" s="1"/>
  <c r="AY22" i="6" s="1"/>
  <c r="AY23" i="6" s="1"/>
  <c r="AY24" i="6" s="1"/>
  <c r="AY25" i="6" s="1"/>
  <c r="AY26" i="6" s="1"/>
  <c r="AY27" i="6" s="1"/>
  <c r="AY28" i="6" s="1"/>
  <c r="AY29" i="6" s="1"/>
  <c r="AY30" i="6" s="1"/>
  <c r="AY31" i="6" s="1"/>
  <c r="AY32" i="6" s="1"/>
  <c r="AY33" i="6" s="1"/>
  <c r="AY34" i="6" s="1"/>
  <c r="AY35" i="6" s="1"/>
  <c r="AY36" i="6" s="1"/>
  <c r="AY37" i="6" s="1"/>
  <c r="AY38" i="6" s="1"/>
  <c r="AY39" i="6" s="1"/>
  <c r="AY40" i="6" s="1"/>
  <c r="AY41" i="6" s="1"/>
  <c r="AY42" i="6" s="1"/>
  <c r="AY43" i="6" s="1"/>
  <c r="AY44" i="6" s="1"/>
  <c r="AY45" i="6" s="1"/>
  <c r="AY46" i="6" s="1"/>
  <c r="AY47" i="6" s="1"/>
  <c r="AV12" i="6"/>
  <c r="AV13" i="6" s="1"/>
  <c r="AV14" i="6" s="1"/>
  <c r="AV15" i="6" s="1"/>
  <c r="AV16" i="6" s="1"/>
  <c r="AV17" i="6" s="1"/>
  <c r="AV18" i="6" s="1"/>
  <c r="AV19" i="6" s="1"/>
  <c r="AV20" i="6" s="1"/>
  <c r="AV21" i="6" s="1"/>
  <c r="AV22" i="6" s="1"/>
  <c r="AV23" i="6" s="1"/>
  <c r="AV24" i="6" s="1"/>
  <c r="AV25" i="6" s="1"/>
  <c r="AV26" i="6" s="1"/>
  <c r="AV27" i="6" s="1"/>
  <c r="AV28" i="6" s="1"/>
  <c r="AV29" i="6" s="1"/>
  <c r="AV30" i="6" s="1"/>
  <c r="AV31" i="6" s="1"/>
  <c r="AV32" i="6" s="1"/>
  <c r="AV33" i="6" s="1"/>
  <c r="AV34" i="6" s="1"/>
  <c r="AV35" i="6" s="1"/>
  <c r="AV36" i="6" s="1"/>
  <c r="AV37" i="6" s="1"/>
  <c r="AV38" i="6" s="1"/>
  <c r="AV39" i="6" s="1"/>
  <c r="AV40" i="6" s="1"/>
  <c r="AV41" i="6" s="1"/>
  <c r="AV42" i="6" s="1"/>
  <c r="AV43" i="6" s="1"/>
  <c r="AV44" i="6" s="1"/>
  <c r="AV45" i="6" s="1"/>
  <c r="AV46" i="6" s="1"/>
  <c r="AV47" i="6" s="1"/>
  <c r="AY49" i="6" l="1"/>
  <c r="AY48" i="6"/>
  <c r="AV48" i="6"/>
  <c r="AV49" i="6"/>
  <c r="BB49" i="6"/>
  <c r="BB48" i="6"/>
  <c r="AC26" i="6"/>
  <c r="AC22" i="6"/>
  <c r="AC18" i="6"/>
  <c r="AC14" i="6"/>
  <c r="AC10" i="6"/>
  <c r="BG11" i="6" l="1"/>
  <c r="BH11" i="6"/>
  <c r="BI11" i="6"/>
  <c r="BJ11" i="6"/>
  <c r="BK11" i="6"/>
  <c r="BG12" i="6"/>
  <c r="BH12" i="6"/>
  <c r="BI12" i="6"/>
  <c r="BJ12" i="6"/>
  <c r="BK12" i="6"/>
  <c r="BG13" i="6"/>
  <c r="BH13" i="6"/>
  <c r="BI13" i="6"/>
  <c r="BJ13" i="6"/>
  <c r="BK13" i="6"/>
  <c r="BG14" i="6"/>
  <c r="BH14" i="6"/>
  <c r="BI14" i="6"/>
  <c r="BJ14" i="6"/>
  <c r="BK14" i="6"/>
  <c r="BG15" i="6"/>
  <c r="BH15" i="6"/>
  <c r="BI15" i="6"/>
  <c r="BJ15" i="6"/>
  <c r="BK15" i="6"/>
  <c r="BG16" i="6"/>
  <c r="BH16" i="6"/>
  <c r="BI16" i="6"/>
  <c r="BJ16" i="6"/>
  <c r="BK16" i="6"/>
  <c r="BG17" i="6"/>
  <c r="BH17" i="6"/>
  <c r="BI17" i="6"/>
  <c r="BJ17" i="6"/>
  <c r="BK17" i="6"/>
  <c r="BG18" i="6"/>
  <c r="BH18" i="6"/>
  <c r="BI18" i="6"/>
  <c r="BJ18" i="6"/>
  <c r="BK18" i="6"/>
  <c r="BG19" i="6"/>
  <c r="BH19" i="6"/>
  <c r="BI19" i="6"/>
  <c r="BJ19" i="6"/>
  <c r="BK19" i="6"/>
  <c r="BG20" i="6"/>
  <c r="BH20" i="6"/>
  <c r="BI20" i="6"/>
  <c r="BJ20" i="6"/>
  <c r="BK20" i="6"/>
  <c r="BG21" i="6"/>
  <c r="BH21" i="6"/>
  <c r="BI21" i="6"/>
  <c r="BJ21" i="6"/>
  <c r="BK21" i="6"/>
  <c r="BG22" i="6"/>
  <c r="BH22" i="6"/>
  <c r="BI22" i="6"/>
  <c r="BJ22" i="6"/>
  <c r="BK22" i="6"/>
  <c r="BG23" i="6"/>
  <c r="BH23" i="6"/>
  <c r="BI23" i="6"/>
  <c r="BJ23" i="6"/>
  <c r="BK23" i="6"/>
  <c r="BG24" i="6"/>
  <c r="BH24" i="6"/>
  <c r="BI24" i="6"/>
  <c r="BJ24" i="6"/>
  <c r="BK24" i="6"/>
  <c r="BG25" i="6"/>
  <c r="BH25" i="6"/>
  <c r="BI25" i="6"/>
  <c r="BJ25" i="6"/>
  <c r="BK25" i="6"/>
  <c r="BG26" i="6"/>
  <c r="BH26" i="6"/>
  <c r="BI26" i="6"/>
  <c r="BJ26" i="6"/>
  <c r="BK26" i="6"/>
  <c r="BG27" i="6"/>
  <c r="BH27" i="6"/>
  <c r="BI27" i="6"/>
  <c r="BJ27" i="6"/>
  <c r="BK27" i="6"/>
  <c r="BG28" i="6"/>
  <c r="BH28" i="6"/>
  <c r="BI28" i="6"/>
  <c r="BJ28" i="6"/>
  <c r="BK28" i="6"/>
  <c r="BG29" i="6"/>
  <c r="BH29" i="6"/>
  <c r="BI29" i="6"/>
  <c r="BJ29" i="6"/>
  <c r="BK29" i="6"/>
  <c r="BG30" i="6"/>
  <c r="BH30" i="6"/>
  <c r="BI30" i="6"/>
  <c r="BJ30" i="6"/>
  <c r="BK30" i="6"/>
  <c r="BG31" i="6"/>
  <c r="BH31" i="6"/>
  <c r="BI31" i="6"/>
  <c r="BJ31" i="6"/>
  <c r="BK31" i="6"/>
  <c r="BG32" i="6"/>
  <c r="BH32" i="6"/>
  <c r="BI32" i="6"/>
  <c r="BJ32" i="6"/>
  <c r="BK32" i="6"/>
  <c r="BG33" i="6"/>
  <c r="BH33" i="6"/>
  <c r="BI33" i="6"/>
  <c r="BJ33" i="6"/>
  <c r="BK33" i="6"/>
  <c r="BG34" i="6"/>
  <c r="BH34" i="6"/>
  <c r="BI34" i="6"/>
  <c r="BJ34" i="6"/>
  <c r="BK34" i="6"/>
  <c r="BG35" i="6"/>
  <c r="BH35" i="6"/>
  <c r="BI35" i="6"/>
  <c r="BJ35" i="6"/>
  <c r="BK35" i="6"/>
  <c r="BG36" i="6"/>
  <c r="BH36" i="6"/>
  <c r="BI36" i="6"/>
  <c r="BJ36" i="6"/>
  <c r="BK36" i="6"/>
  <c r="BG37" i="6"/>
  <c r="BH37" i="6"/>
  <c r="BI37" i="6"/>
  <c r="BJ37" i="6"/>
  <c r="BK37" i="6"/>
  <c r="BG38" i="6"/>
  <c r="BH38" i="6"/>
  <c r="BI38" i="6"/>
  <c r="BJ38" i="6"/>
  <c r="BK38" i="6"/>
  <c r="BG39" i="6"/>
  <c r="BH39" i="6"/>
  <c r="BI39" i="6"/>
  <c r="BJ39" i="6"/>
  <c r="BK39" i="6"/>
  <c r="BG40" i="6"/>
  <c r="BH40" i="6"/>
  <c r="BI40" i="6"/>
  <c r="BJ40" i="6"/>
  <c r="BK40" i="6"/>
  <c r="BG41" i="6"/>
  <c r="BH41" i="6"/>
  <c r="BI41" i="6"/>
  <c r="BJ41" i="6"/>
  <c r="BK41" i="6"/>
  <c r="BG42" i="6"/>
  <c r="BH42" i="6"/>
  <c r="BI42" i="6"/>
  <c r="BJ42" i="6"/>
  <c r="BK42" i="6"/>
  <c r="BG43" i="6"/>
  <c r="BH43" i="6"/>
  <c r="BI43" i="6"/>
  <c r="BJ43" i="6"/>
  <c r="BK43" i="6"/>
  <c r="BG44" i="6"/>
  <c r="BH44" i="6"/>
  <c r="BI44" i="6"/>
  <c r="BJ44" i="6"/>
  <c r="BK44" i="6"/>
  <c r="BG45" i="6"/>
  <c r="BH45" i="6"/>
  <c r="BI45" i="6"/>
  <c r="BJ45" i="6"/>
  <c r="BK45" i="6"/>
  <c r="BG46" i="6"/>
  <c r="BH46" i="6"/>
  <c r="BI46" i="6"/>
  <c r="BJ46" i="6"/>
  <c r="BK46" i="6"/>
  <c r="BG47" i="6"/>
  <c r="BH47" i="6"/>
  <c r="BI47" i="6"/>
  <c r="BJ47" i="6"/>
  <c r="BK47" i="6"/>
  <c r="BG48" i="6"/>
  <c r="BH48" i="6"/>
  <c r="BI48" i="6"/>
  <c r="BJ48" i="6"/>
  <c r="BK48" i="6"/>
  <c r="BK10" i="6"/>
  <c r="BJ10" i="6"/>
  <c r="BI10" i="6"/>
  <c r="BH10" i="6"/>
  <c r="BG10" i="6"/>
  <c r="BF11" i="6"/>
  <c r="BF12" i="6" s="1"/>
  <c r="BF13" i="6" s="1"/>
  <c r="BF14" i="6" s="1"/>
  <c r="BF15" i="6" s="1"/>
  <c r="BF16" i="6" s="1"/>
  <c r="BF17" i="6" s="1"/>
  <c r="BF18" i="6" s="1"/>
  <c r="BF19" i="6" s="1"/>
  <c r="BF20" i="6" s="1"/>
  <c r="BF21" i="6" s="1"/>
  <c r="BF22" i="6" s="1"/>
  <c r="BF23" i="6" s="1"/>
  <c r="BF24" i="6" s="1"/>
  <c r="BF25" i="6" s="1"/>
  <c r="BF26" i="6" s="1"/>
  <c r="BF27" i="6" s="1"/>
  <c r="BF28" i="6" s="1"/>
  <c r="BF29" i="6" s="1"/>
  <c r="BF30" i="6" s="1"/>
  <c r="BF31" i="6" s="1"/>
  <c r="BF32" i="6" s="1"/>
  <c r="BF33" i="6" s="1"/>
  <c r="BF34" i="6" s="1"/>
  <c r="BF35" i="6" s="1"/>
  <c r="BF36" i="6" s="1"/>
  <c r="BF37" i="6" s="1"/>
  <c r="BF38" i="6" s="1"/>
  <c r="BF39" i="6" s="1"/>
  <c r="BF40" i="6" s="1"/>
  <c r="BF41" i="6" s="1"/>
  <c r="BF42" i="6" s="1"/>
  <c r="BF43" i="6" s="1"/>
  <c r="BF44" i="6" s="1"/>
  <c r="BF45" i="6" s="1"/>
  <c r="BF46" i="6" s="1"/>
  <c r="BF47" i="6" l="1"/>
  <c r="BF48" i="6"/>
  <c r="C21" i="9"/>
  <c r="C11" i="9"/>
  <c r="M23" i="9"/>
  <c r="U18" i="8"/>
  <c r="O17" i="8"/>
  <c r="N17" i="8"/>
  <c r="M17" i="8"/>
  <c r="J17" i="8"/>
  <c r="I17" i="8"/>
  <c r="H17" i="8"/>
  <c r="G17" i="8"/>
  <c r="E17" i="8"/>
  <c r="C17" i="8"/>
  <c r="B9" i="8"/>
  <c r="G3" i="8" s="1"/>
  <c r="B6" i="8"/>
  <c r="T5" i="8" s="1"/>
  <c r="B5" i="8"/>
  <c r="T4" i="8"/>
  <c r="U17" i="8" s="1"/>
  <c r="U19" i="8" s="1"/>
  <c r="U21" i="8" s="1"/>
  <c r="T3" i="8"/>
  <c r="G2" i="8"/>
  <c r="C36" i="1"/>
  <c r="C33" i="1"/>
  <c r="C34" i="1" s="1"/>
  <c r="C35" i="1" s="1"/>
  <c r="C32" i="1"/>
  <c r="C24" i="1" s="1"/>
  <c r="G1" i="8" l="1"/>
  <c r="D17" i="8"/>
  <c r="U24" i="8"/>
  <c r="C28" i="1"/>
  <c r="C31" i="1"/>
  <c r="C27" i="1"/>
  <c r="C29" i="1"/>
  <c r="C25" i="1"/>
  <c r="C30" i="1"/>
  <c r="C26" i="1"/>
  <c r="P17" i="8" l="1"/>
  <c r="F17" i="8"/>
  <c r="B18" i="8" s="1"/>
  <c r="K17" i="8"/>
  <c r="L18" i="8" s="1"/>
  <c r="E18" i="8" l="1"/>
  <c r="G18" i="8"/>
  <c r="C18" i="8"/>
  <c r="D18" i="8" s="1"/>
  <c r="M18" i="8"/>
  <c r="N18" i="8" s="1"/>
  <c r="O18" i="8"/>
  <c r="P18" i="8" l="1"/>
  <c r="F18" i="8"/>
  <c r="Q18" i="8"/>
  <c r="H18" i="8"/>
  <c r="I18" i="8" s="1"/>
  <c r="K18" i="8" s="1"/>
  <c r="L19" i="8" s="1"/>
  <c r="J18" i="8"/>
  <c r="O19" i="8" l="1"/>
  <c r="M19" i="8"/>
  <c r="N19" i="8" s="1"/>
  <c r="B19" i="8"/>
  <c r="E19" i="8" l="1"/>
  <c r="G19" i="8"/>
  <c r="C19" i="8"/>
  <c r="D19" i="8" s="1"/>
  <c r="F19" i="8" s="1"/>
  <c r="P19" i="8"/>
  <c r="H19" i="8" l="1"/>
  <c r="I19" i="8" s="1"/>
  <c r="Q19" i="8"/>
  <c r="J19" i="8"/>
  <c r="K19" i="8" l="1"/>
  <c r="L20" i="8" l="1"/>
  <c r="B20" i="8"/>
  <c r="G20" i="8" l="1"/>
  <c r="C20" i="8"/>
  <c r="D20" i="8" s="1"/>
  <c r="F20" i="8" s="1"/>
  <c r="E20" i="8"/>
  <c r="O20" i="8"/>
  <c r="M20" i="8"/>
  <c r="N20" i="8" s="1"/>
  <c r="P20" i="8" l="1"/>
  <c r="J20" i="8"/>
  <c r="H20" i="8"/>
  <c r="I20" i="8" s="1"/>
  <c r="K20" i="8" s="1"/>
  <c r="L21" i="8" s="1"/>
  <c r="Q20" i="8"/>
  <c r="O21" i="8" l="1"/>
  <c r="M21" i="8"/>
  <c r="N21" i="8" s="1"/>
  <c r="P21" i="8" s="1"/>
  <c r="B21" i="8"/>
  <c r="G21" i="8" l="1"/>
  <c r="C21" i="8"/>
  <c r="D21" i="8" s="1"/>
  <c r="F21" i="8" s="1"/>
  <c r="E21" i="8"/>
  <c r="J21" i="8" l="1"/>
  <c r="H21" i="8"/>
  <c r="I21" i="8" s="1"/>
  <c r="K21" i="8" s="1"/>
  <c r="L22" i="8" s="1"/>
  <c r="Q21" i="8"/>
  <c r="B22" i="8" l="1"/>
  <c r="O22" i="8"/>
  <c r="M22" i="8"/>
  <c r="N22" i="8" s="1"/>
  <c r="P22" i="8" l="1"/>
  <c r="G22" i="8"/>
  <c r="E22" i="8"/>
  <c r="C22" i="8"/>
  <c r="D22" i="8" s="1"/>
  <c r="F22" i="8" s="1"/>
  <c r="J22" i="8" l="1"/>
  <c r="Q22" i="8"/>
  <c r="H22" i="8"/>
  <c r="I22" i="8" s="1"/>
  <c r="K22" i="8" s="1"/>
  <c r="L23" i="8" s="1"/>
  <c r="M23" i="8" l="1"/>
  <c r="N23" i="8" s="1"/>
  <c r="O23" i="8"/>
  <c r="B23" i="8"/>
  <c r="E23" i="8" l="1"/>
  <c r="C23" i="8"/>
  <c r="D23" i="8" s="1"/>
  <c r="F23" i="8" s="1"/>
  <c r="G23" i="8"/>
  <c r="P23" i="8"/>
  <c r="J23" i="8" l="1"/>
  <c r="Q23" i="8"/>
  <c r="H23" i="8"/>
  <c r="I23" i="8" s="1"/>
  <c r="K23" i="8" s="1"/>
  <c r="L24" i="8" s="1"/>
  <c r="M24" i="8" l="1"/>
  <c r="N24" i="8" s="1"/>
  <c r="O24" i="8"/>
  <c r="B24" i="8"/>
  <c r="G24" i="8" l="1"/>
  <c r="E24" i="8"/>
  <c r="C24" i="8"/>
  <c r="D24" i="8" s="1"/>
  <c r="F24" i="8" s="1"/>
  <c r="P24" i="8"/>
  <c r="J24" i="8" l="1"/>
  <c r="Q24" i="8"/>
  <c r="H24" i="8"/>
  <c r="I24" i="8" s="1"/>
  <c r="K24" i="8" s="1"/>
  <c r="L25" i="8" s="1"/>
  <c r="M25" i="8" l="1"/>
  <c r="N25" i="8" s="1"/>
  <c r="O25" i="8"/>
  <c r="B25" i="8"/>
  <c r="E25" i="8" l="1"/>
  <c r="G25" i="8"/>
  <c r="C25" i="8"/>
  <c r="D25" i="8" s="1"/>
  <c r="F25" i="8" s="1"/>
  <c r="P25" i="8"/>
  <c r="Q25" i="8" l="1"/>
  <c r="H25" i="8"/>
  <c r="I25" i="8" s="1"/>
  <c r="K25" i="8" s="1"/>
  <c r="L26" i="8" s="1"/>
  <c r="J25" i="8"/>
  <c r="M26" i="8" l="1"/>
  <c r="N26" i="8" s="1"/>
  <c r="O26" i="8"/>
  <c r="B26" i="8"/>
  <c r="E26" i="8" l="1"/>
  <c r="G26" i="8"/>
  <c r="C26" i="8"/>
  <c r="D26" i="8" s="1"/>
  <c r="F26" i="8" s="1"/>
  <c r="P26" i="8"/>
  <c r="Q26" i="8" l="1"/>
  <c r="J26" i="8"/>
  <c r="H26" i="8"/>
  <c r="I26" i="8" s="1"/>
  <c r="K26" i="8" s="1"/>
  <c r="L27" i="8" s="1"/>
  <c r="M27" i="8" l="1"/>
  <c r="N27" i="8" s="1"/>
  <c r="O27" i="8"/>
  <c r="B27" i="8"/>
  <c r="P27" i="8" l="1"/>
  <c r="E27" i="8"/>
  <c r="G27" i="8"/>
  <c r="C27" i="8"/>
  <c r="D27" i="8" s="1"/>
  <c r="F27" i="8" s="1"/>
  <c r="H27" i="8" l="1"/>
  <c r="I27" i="8" s="1"/>
  <c r="Q27" i="8"/>
  <c r="J27" i="8"/>
  <c r="K27" i="8" l="1"/>
  <c r="L28" i="8" l="1"/>
  <c r="B28" i="8"/>
  <c r="G28" i="8" l="1"/>
  <c r="C28" i="8"/>
  <c r="D28" i="8" s="1"/>
  <c r="F28" i="8" s="1"/>
  <c r="E28" i="8"/>
  <c r="O28" i="8"/>
  <c r="M28" i="8"/>
  <c r="N28" i="8" s="1"/>
  <c r="P28" i="8" l="1"/>
  <c r="H28" i="8"/>
  <c r="I28" i="8" s="1"/>
  <c r="J28" i="8"/>
  <c r="Q28" i="8"/>
  <c r="K28" i="8" l="1"/>
  <c r="L29" i="8" l="1"/>
  <c r="B29" i="8"/>
  <c r="E29" i="8" l="1"/>
  <c r="G29" i="8"/>
  <c r="C29" i="8"/>
  <c r="D29" i="8" s="1"/>
  <c r="F29" i="8" s="1"/>
  <c r="O29" i="8"/>
  <c r="M29" i="8"/>
  <c r="N29" i="8" s="1"/>
  <c r="Q29" i="8" l="1"/>
  <c r="H29" i="8"/>
  <c r="I29" i="8" s="1"/>
  <c r="J29" i="8"/>
  <c r="P29" i="8"/>
  <c r="K29" i="8" l="1"/>
  <c r="L30" i="8" l="1"/>
  <c r="B30" i="8"/>
  <c r="E30" i="8" l="1"/>
  <c r="G30" i="8"/>
  <c r="C30" i="8"/>
  <c r="D30" i="8" s="1"/>
  <c r="F30" i="8" s="1"/>
  <c r="M30" i="8"/>
  <c r="N30" i="8" s="1"/>
  <c r="P30" i="8" s="1"/>
  <c r="O30" i="8"/>
  <c r="Q30" i="8" l="1"/>
  <c r="H30" i="8"/>
  <c r="I30" i="8" s="1"/>
  <c r="J30" i="8"/>
  <c r="K30" i="8" l="1"/>
  <c r="L31" i="8" l="1"/>
  <c r="B31" i="8"/>
  <c r="E31" i="8" l="1"/>
  <c r="G31" i="8"/>
  <c r="C31" i="8"/>
  <c r="D31" i="8" s="1"/>
  <c r="F31" i="8" s="1"/>
  <c r="M31" i="8"/>
  <c r="N31" i="8" s="1"/>
  <c r="P31" i="8" s="1"/>
  <c r="O31" i="8"/>
  <c r="Q31" i="8" l="1"/>
  <c r="H31" i="8"/>
  <c r="I31" i="8" s="1"/>
  <c r="J31" i="8"/>
  <c r="K31" i="8" l="1"/>
  <c r="L32" i="8" l="1"/>
  <c r="B32" i="8"/>
  <c r="E32" i="8" l="1"/>
  <c r="G32" i="8"/>
  <c r="C32" i="8"/>
  <c r="D32" i="8" s="1"/>
  <c r="F32" i="8" s="1"/>
  <c r="M32" i="8"/>
  <c r="N32" i="8" s="1"/>
  <c r="P32" i="8" s="1"/>
  <c r="O32" i="8"/>
  <c r="Q32" i="8" l="1"/>
  <c r="H32" i="8"/>
  <c r="I32" i="8" s="1"/>
  <c r="J32" i="8"/>
  <c r="K32" i="8" l="1"/>
  <c r="L33" i="8" l="1"/>
  <c r="B33" i="8"/>
  <c r="E33" i="8" l="1"/>
  <c r="G33" i="8"/>
  <c r="C33" i="8"/>
  <c r="D33" i="8" s="1"/>
  <c r="F33" i="8" s="1"/>
  <c r="M33" i="8"/>
  <c r="N33" i="8" s="1"/>
  <c r="P33" i="8" s="1"/>
  <c r="O33" i="8"/>
  <c r="Q33" i="8" l="1"/>
  <c r="H33" i="8"/>
  <c r="I33" i="8" s="1"/>
  <c r="J33" i="8"/>
  <c r="K33" i="8" l="1"/>
  <c r="L34" i="8" l="1"/>
  <c r="B34" i="8"/>
  <c r="E34" i="8" l="1"/>
  <c r="G34" i="8"/>
  <c r="C34" i="8"/>
  <c r="D34" i="8" s="1"/>
  <c r="F34" i="8" s="1"/>
  <c r="M34" i="8"/>
  <c r="N34" i="8" s="1"/>
  <c r="P34" i="8" s="1"/>
  <c r="O34" i="8"/>
  <c r="Q34" i="8" l="1"/>
  <c r="H34" i="8"/>
  <c r="I34" i="8" s="1"/>
  <c r="J34" i="8"/>
  <c r="K34" i="8" l="1"/>
  <c r="L35" i="8" l="1"/>
  <c r="B35" i="8"/>
  <c r="E35" i="8" l="1"/>
  <c r="G35" i="8"/>
  <c r="C35" i="8"/>
  <c r="D35" i="8" s="1"/>
  <c r="F35" i="8" s="1"/>
  <c r="M35" i="8"/>
  <c r="N35" i="8" s="1"/>
  <c r="P35" i="8" s="1"/>
  <c r="O35" i="8"/>
  <c r="Q35" i="8" l="1"/>
  <c r="H35" i="8"/>
  <c r="I35" i="8" s="1"/>
  <c r="J35" i="8"/>
  <c r="K35" i="8" l="1"/>
  <c r="L36" i="8" l="1"/>
  <c r="B36" i="8"/>
  <c r="E36" i="8" l="1"/>
  <c r="G36" i="8"/>
  <c r="C36" i="8"/>
  <c r="D36" i="8" s="1"/>
  <c r="F36" i="8" s="1"/>
  <c r="M36" i="8"/>
  <c r="N36" i="8" s="1"/>
  <c r="P36" i="8" s="1"/>
  <c r="O36" i="8"/>
  <c r="Q36" i="8" l="1"/>
  <c r="H36" i="8"/>
  <c r="I36" i="8" s="1"/>
  <c r="J36" i="8"/>
  <c r="K36" i="8" l="1"/>
  <c r="L37" i="8" l="1"/>
  <c r="B37" i="8"/>
  <c r="E37" i="8" l="1"/>
  <c r="G37" i="8"/>
  <c r="C37" i="8"/>
  <c r="D37" i="8" s="1"/>
  <c r="F37" i="8" s="1"/>
  <c r="M37" i="8"/>
  <c r="N37" i="8" s="1"/>
  <c r="P37" i="8" s="1"/>
  <c r="O37" i="8"/>
  <c r="Q37" i="8" l="1"/>
  <c r="H37" i="8"/>
  <c r="I37" i="8" s="1"/>
  <c r="J37" i="8"/>
  <c r="K37" i="8" l="1"/>
  <c r="L38" i="8" l="1"/>
  <c r="B38" i="8"/>
  <c r="E38" i="8" l="1"/>
  <c r="G38" i="8"/>
  <c r="C38" i="8"/>
  <c r="D38" i="8" s="1"/>
  <c r="F38" i="8" s="1"/>
  <c r="M38" i="8"/>
  <c r="N38" i="8" s="1"/>
  <c r="P38" i="8" s="1"/>
  <c r="O38" i="8"/>
  <c r="Q38" i="8" l="1"/>
  <c r="H38" i="8"/>
  <c r="I38" i="8" s="1"/>
  <c r="J38" i="8"/>
  <c r="K38" i="8" l="1"/>
  <c r="L39" i="8" l="1"/>
  <c r="B39" i="8"/>
  <c r="E39" i="8" l="1"/>
  <c r="G39" i="8"/>
  <c r="C39" i="8"/>
  <c r="D39" i="8" s="1"/>
  <c r="F39" i="8" s="1"/>
  <c r="M39" i="8"/>
  <c r="N39" i="8" s="1"/>
  <c r="P39" i="8" s="1"/>
  <c r="O39" i="8"/>
  <c r="Q39" i="8" l="1"/>
  <c r="H39" i="8"/>
  <c r="I39" i="8" s="1"/>
  <c r="J39" i="8"/>
  <c r="K39" i="8" l="1"/>
  <c r="L40" i="8" l="1"/>
  <c r="B40" i="8"/>
  <c r="E40" i="8" l="1"/>
  <c r="G40" i="8"/>
  <c r="C40" i="8"/>
  <c r="D40" i="8" s="1"/>
  <c r="F40" i="8" s="1"/>
  <c r="M40" i="8"/>
  <c r="N40" i="8" s="1"/>
  <c r="P40" i="8" s="1"/>
  <c r="O40" i="8"/>
  <c r="Q40" i="8" l="1"/>
  <c r="H40" i="8"/>
  <c r="I40" i="8" s="1"/>
  <c r="J40" i="8"/>
  <c r="K40" i="8" l="1"/>
  <c r="L41" i="8" l="1"/>
  <c r="B41" i="8"/>
  <c r="E41" i="8" l="1"/>
  <c r="G41" i="8"/>
  <c r="C41" i="8"/>
  <c r="D41" i="8" s="1"/>
  <c r="F41" i="8" s="1"/>
  <c r="M41" i="8"/>
  <c r="N41" i="8" s="1"/>
  <c r="P41" i="8" s="1"/>
  <c r="O41" i="8"/>
  <c r="Q41" i="8" l="1"/>
  <c r="H41" i="8"/>
  <c r="I41" i="8" s="1"/>
  <c r="J41" i="8"/>
  <c r="K41" i="8" l="1"/>
  <c r="L42" i="8" l="1"/>
  <c r="B42" i="8"/>
  <c r="E42" i="8" l="1"/>
  <c r="G42" i="8"/>
  <c r="C42" i="8"/>
  <c r="D42" i="8" s="1"/>
  <c r="F42" i="8" s="1"/>
  <c r="M42" i="8"/>
  <c r="N42" i="8" s="1"/>
  <c r="P42" i="8" s="1"/>
  <c r="O42" i="8"/>
  <c r="Q42" i="8" l="1"/>
  <c r="H42" i="8"/>
  <c r="I42" i="8" s="1"/>
  <c r="J42" i="8"/>
  <c r="K42" i="8" l="1"/>
  <c r="L43" i="8" l="1"/>
  <c r="B43" i="8"/>
  <c r="E43" i="8" l="1"/>
  <c r="G43" i="8"/>
  <c r="C43" i="8"/>
  <c r="D43" i="8" s="1"/>
  <c r="F43" i="8" s="1"/>
  <c r="M43" i="8"/>
  <c r="N43" i="8" s="1"/>
  <c r="P43" i="8" s="1"/>
  <c r="O43" i="8"/>
  <c r="Q43" i="8" l="1"/>
  <c r="H43" i="8"/>
  <c r="I43" i="8" s="1"/>
  <c r="J43" i="8"/>
  <c r="K43" i="8" l="1"/>
  <c r="L44" i="8" l="1"/>
  <c r="B44" i="8"/>
  <c r="E44" i="8" l="1"/>
  <c r="G44" i="8"/>
  <c r="C44" i="8"/>
  <c r="D44" i="8" s="1"/>
  <c r="F44" i="8" s="1"/>
  <c r="M44" i="8"/>
  <c r="N44" i="8" s="1"/>
  <c r="P44" i="8" s="1"/>
  <c r="O44" i="8"/>
  <c r="Q44" i="8" l="1"/>
  <c r="H44" i="8"/>
  <c r="I44" i="8" s="1"/>
  <c r="J44" i="8"/>
  <c r="K44" i="8" l="1"/>
  <c r="L45" i="8" l="1"/>
  <c r="B45" i="8"/>
  <c r="E45" i="8" l="1"/>
  <c r="G45" i="8"/>
  <c r="C45" i="8"/>
  <c r="D45" i="8" s="1"/>
  <c r="F45" i="8" s="1"/>
  <c r="M45" i="8"/>
  <c r="N45" i="8" s="1"/>
  <c r="P45" i="8" s="1"/>
  <c r="O45" i="8"/>
  <c r="Q45" i="8" l="1"/>
  <c r="H45" i="8"/>
  <c r="I45" i="8" s="1"/>
  <c r="K45" i="8" s="1"/>
  <c r="L46" i="8" s="1"/>
  <c r="J45" i="8"/>
  <c r="O46" i="8" l="1"/>
  <c r="M46" i="8"/>
  <c r="N46" i="8" s="1"/>
  <c r="P46" i="8" s="1"/>
  <c r="B46" i="8"/>
  <c r="G46" i="8" l="1"/>
  <c r="E46" i="8"/>
  <c r="C46" i="8"/>
  <c r="D46" i="8" s="1"/>
  <c r="F46" i="8" s="1"/>
  <c r="J46" i="8" l="1"/>
  <c r="Q46" i="8"/>
  <c r="H46" i="8"/>
  <c r="I46" i="8" s="1"/>
  <c r="K46" i="8" s="1"/>
  <c r="L47" i="8" s="1"/>
  <c r="M47" i="8" l="1"/>
  <c r="N47" i="8" s="1"/>
  <c r="O47" i="8"/>
  <c r="B47" i="8"/>
  <c r="E47" i="8" l="1"/>
  <c r="G47" i="8"/>
  <c r="C47" i="8"/>
  <c r="D47" i="8" s="1"/>
  <c r="F47" i="8" s="1"/>
  <c r="P47" i="8"/>
  <c r="J47" i="8" l="1"/>
  <c r="Q47" i="8"/>
  <c r="H47" i="8"/>
  <c r="I47" i="8" s="1"/>
  <c r="K47" i="8" s="1"/>
  <c r="L48" i="8" s="1"/>
  <c r="M48" i="8" l="1"/>
  <c r="N48" i="8" s="1"/>
  <c r="O48" i="8"/>
  <c r="B48" i="8"/>
  <c r="E48" i="8" l="1"/>
  <c r="G48" i="8"/>
  <c r="C48" i="8"/>
  <c r="D48" i="8" s="1"/>
  <c r="F48" i="8" s="1"/>
  <c r="P48" i="8"/>
  <c r="J48" i="8" l="1"/>
  <c r="Q48" i="8"/>
  <c r="H48" i="8"/>
  <c r="I48" i="8" s="1"/>
  <c r="K48" i="8" s="1"/>
  <c r="L49" i="8" s="1"/>
  <c r="M49" i="8" l="1"/>
  <c r="N49" i="8" s="1"/>
  <c r="O49" i="8"/>
  <c r="B49" i="8"/>
  <c r="E49" i="8" l="1"/>
  <c r="G49" i="8"/>
  <c r="C49" i="8"/>
  <c r="D49" i="8" s="1"/>
  <c r="F49" i="8" s="1"/>
  <c r="P49" i="8"/>
  <c r="J49" i="8" l="1"/>
  <c r="Q49" i="8"/>
  <c r="H49" i="8"/>
  <c r="I49" i="8" s="1"/>
  <c r="K49" i="8" s="1"/>
  <c r="L50" i="8" s="1"/>
  <c r="M50" i="8" l="1"/>
  <c r="N50" i="8" s="1"/>
  <c r="O50" i="8"/>
  <c r="B50" i="8"/>
  <c r="E50" i="8" l="1"/>
  <c r="G50" i="8"/>
  <c r="C50" i="8"/>
  <c r="D50" i="8" s="1"/>
  <c r="F50" i="8" s="1"/>
  <c r="P50" i="8"/>
  <c r="J50" i="8" l="1"/>
  <c r="Q50" i="8"/>
  <c r="H50" i="8"/>
  <c r="I50" i="8" s="1"/>
  <c r="K50" i="8" s="1"/>
  <c r="L51" i="8" s="1"/>
  <c r="M51" i="8" l="1"/>
  <c r="N51" i="8" s="1"/>
  <c r="O51" i="8"/>
  <c r="B51" i="8"/>
  <c r="E51" i="8" l="1"/>
  <c r="G51" i="8"/>
  <c r="C51" i="8"/>
  <c r="D51" i="8" s="1"/>
  <c r="F51" i="8" s="1"/>
  <c r="P51" i="8"/>
  <c r="J51" i="8" l="1"/>
  <c r="Q51" i="8"/>
  <c r="H51" i="8"/>
  <c r="I51" i="8" s="1"/>
  <c r="K51" i="8" s="1"/>
  <c r="L52" i="8" s="1"/>
  <c r="M52" i="8" l="1"/>
  <c r="N52" i="8" s="1"/>
  <c r="O52" i="8"/>
  <c r="B52" i="8"/>
  <c r="P52" i="8" l="1"/>
  <c r="E52" i="8"/>
  <c r="G52" i="8"/>
  <c r="C52" i="8"/>
  <c r="D52" i="8" s="1"/>
  <c r="F52" i="8" s="1"/>
  <c r="J52" i="8" l="1"/>
  <c r="Q52" i="8"/>
  <c r="H52" i="8"/>
  <c r="I52" i="8" s="1"/>
  <c r="K52" i="8" l="1"/>
  <c r="L53" i="8" l="1"/>
  <c r="B53" i="8"/>
  <c r="E53" i="8" l="1"/>
  <c r="G53" i="8"/>
  <c r="C53" i="8"/>
  <c r="D53" i="8" s="1"/>
  <c r="F53" i="8" s="1"/>
  <c r="M53" i="8"/>
  <c r="N53" i="8" s="1"/>
  <c r="P53" i="8" s="1"/>
  <c r="O53" i="8"/>
  <c r="J53" i="8" l="1"/>
  <c r="Q53" i="8"/>
  <c r="H53" i="8"/>
  <c r="I53" i="8" s="1"/>
  <c r="K53" i="8" l="1"/>
  <c r="L54" i="8" l="1"/>
  <c r="B54" i="8"/>
  <c r="E54" i="8" l="1"/>
  <c r="G54" i="8"/>
  <c r="C54" i="8"/>
  <c r="D54" i="8" s="1"/>
  <c r="F54" i="8" s="1"/>
  <c r="M54" i="8"/>
  <c r="N54" i="8" s="1"/>
  <c r="P54" i="8" s="1"/>
  <c r="O54" i="8"/>
  <c r="J54" i="8" l="1"/>
  <c r="Q54" i="8"/>
  <c r="H54" i="8"/>
  <c r="I54" i="8" s="1"/>
  <c r="K54" i="8" s="1"/>
  <c r="L55" i="8" s="1"/>
  <c r="M55" i="8" l="1"/>
  <c r="N55" i="8" s="1"/>
  <c r="O55" i="8"/>
  <c r="B55" i="8"/>
  <c r="P55" i="8" l="1"/>
  <c r="E55" i="8"/>
  <c r="G55" i="8"/>
  <c r="C55" i="8"/>
  <c r="D55" i="8" s="1"/>
  <c r="F55" i="8" s="1"/>
  <c r="J55" i="8" l="1"/>
  <c r="Q55" i="8"/>
  <c r="H55" i="8"/>
  <c r="I55" i="8" s="1"/>
  <c r="K55" i="8" s="1"/>
  <c r="L56" i="8" s="1"/>
  <c r="M56" i="8" l="1"/>
  <c r="N56" i="8" s="1"/>
  <c r="O56" i="8"/>
  <c r="B56" i="8"/>
  <c r="E56" i="8" l="1"/>
  <c r="G56" i="8"/>
  <c r="C56" i="8"/>
  <c r="D56" i="8" s="1"/>
  <c r="F56" i="8" s="1"/>
  <c r="P56" i="8"/>
  <c r="J56" i="8" l="1"/>
  <c r="Q56" i="8"/>
  <c r="H56" i="8"/>
  <c r="I56" i="8" s="1"/>
  <c r="K56" i="8" s="1"/>
  <c r="L57" i="8" s="1"/>
  <c r="M57" i="8" l="1"/>
  <c r="N57" i="8" s="1"/>
  <c r="P57" i="8" s="1"/>
  <c r="O57" i="8"/>
  <c r="B57" i="8"/>
  <c r="E57" i="8" l="1"/>
  <c r="G57" i="8"/>
  <c r="C57" i="8"/>
  <c r="D57" i="8" s="1"/>
  <c r="F57" i="8" s="1"/>
  <c r="J57" i="8" l="1"/>
  <c r="Q57" i="8"/>
  <c r="H57" i="8"/>
  <c r="I57" i="8" s="1"/>
  <c r="K57" i="8" s="1"/>
  <c r="L58" i="8" s="1"/>
  <c r="M58" i="8" l="1"/>
  <c r="N58" i="8" s="1"/>
  <c r="O58" i="8"/>
  <c r="B58" i="8"/>
  <c r="E58" i="8" l="1"/>
  <c r="G58" i="8"/>
  <c r="C58" i="8"/>
  <c r="D58" i="8" s="1"/>
  <c r="F58" i="8" s="1"/>
  <c r="P58" i="8"/>
  <c r="J58" i="8" l="1"/>
  <c r="Q58" i="8"/>
  <c r="H58" i="8"/>
  <c r="I58" i="8" s="1"/>
  <c r="K58" i="8" s="1"/>
  <c r="L59" i="8" s="1"/>
  <c r="M59" i="8" l="1"/>
  <c r="N59" i="8" s="1"/>
  <c r="O59" i="8"/>
  <c r="B59" i="8"/>
  <c r="E59" i="8" l="1"/>
  <c r="G59" i="8"/>
  <c r="C59" i="8"/>
  <c r="D59" i="8" s="1"/>
  <c r="F59" i="8" s="1"/>
  <c r="P59" i="8"/>
  <c r="J59" i="8" l="1"/>
  <c r="Q59" i="8"/>
  <c r="H59" i="8"/>
  <c r="I59" i="8" s="1"/>
  <c r="K59" i="8" s="1"/>
  <c r="L60" i="8" s="1"/>
  <c r="M60" i="8" l="1"/>
  <c r="N60" i="8" s="1"/>
  <c r="O60" i="8"/>
  <c r="B60" i="8"/>
  <c r="E60" i="8" l="1"/>
  <c r="G60" i="8"/>
  <c r="C60" i="8"/>
  <c r="D60" i="8" s="1"/>
  <c r="F60" i="8" s="1"/>
  <c r="P60" i="8"/>
  <c r="J60" i="8" l="1"/>
  <c r="Q60" i="8"/>
  <c r="H60" i="8"/>
  <c r="I60" i="8" s="1"/>
  <c r="K60" i="8" s="1"/>
  <c r="L61" i="8" s="1"/>
  <c r="M61" i="8" l="1"/>
  <c r="N61" i="8" s="1"/>
  <c r="O61" i="8"/>
  <c r="B61" i="8"/>
  <c r="E61" i="8" l="1"/>
  <c r="G61" i="8"/>
  <c r="C61" i="8"/>
  <c r="D61" i="8" s="1"/>
  <c r="F61" i="8" s="1"/>
  <c r="P61" i="8"/>
  <c r="J61" i="8" l="1"/>
  <c r="Q61" i="8"/>
  <c r="H61" i="8"/>
  <c r="I61" i="8" s="1"/>
  <c r="K61" i="8" s="1"/>
  <c r="L62" i="8" s="1"/>
  <c r="M62" i="8" l="1"/>
  <c r="N62" i="8" s="1"/>
  <c r="O62" i="8"/>
  <c r="B62" i="8"/>
  <c r="E62" i="8" l="1"/>
  <c r="G62" i="8"/>
  <c r="C62" i="8"/>
  <c r="D62" i="8" s="1"/>
  <c r="F62" i="8" s="1"/>
  <c r="P62" i="8"/>
  <c r="J62" i="8" l="1"/>
  <c r="Q62" i="8"/>
  <c r="H62" i="8"/>
  <c r="I62" i="8" s="1"/>
  <c r="K62" i="8" s="1"/>
  <c r="L63" i="8" s="1"/>
  <c r="M63" i="8" l="1"/>
  <c r="N63" i="8" s="1"/>
  <c r="P63" i="8" s="1"/>
  <c r="O63" i="8"/>
  <c r="B63" i="8"/>
  <c r="E63" i="8" l="1"/>
  <c r="G63" i="8"/>
  <c r="C63" i="8"/>
  <c r="D63" i="8" s="1"/>
  <c r="F63" i="8" s="1"/>
  <c r="J63" i="8" l="1"/>
  <c r="Q63" i="8"/>
  <c r="H63" i="8"/>
  <c r="I63" i="8" s="1"/>
  <c r="K63" i="8" s="1"/>
  <c r="L64" i="8" s="1"/>
  <c r="M64" i="8" l="1"/>
  <c r="N64" i="8" s="1"/>
  <c r="O64" i="8"/>
  <c r="B64" i="8"/>
  <c r="E64" i="8" l="1"/>
  <c r="G64" i="8"/>
  <c r="C64" i="8"/>
  <c r="D64" i="8" s="1"/>
  <c r="F64" i="8" s="1"/>
  <c r="P64" i="8"/>
  <c r="J64" i="8" l="1"/>
  <c r="Q64" i="8"/>
  <c r="H64" i="8"/>
  <c r="I64" i="8" s="1"/>
  <c r="K64" i="8" s="1"/>
  <c r="L65" i="8" s="1"/>
  <c r="M65" i="8" l="1"/>
  <c r="N65" i="8" s="1"/>
  <c r="O65" i="8"/>
  <c r="B65" i="8"/>
  <c r="E65" i="8" l="1"/>
  <c r="G65" i="8"/>
  <c r="C65" i="8"/>
  <c r="D65" i="8" s="1"/>
  <c r="F65" i="8" s="1"/>
  <c r="P65" i="8"/>
  <c r="J65" i="8" l="1"/>
  <c r="Q65" i="8"/>
  <c r="H65" i="8"/>
  <c r="I65" i="8" s="1"/>
  <c r="K65" i="8" s="1"/>
  <c r="L66" i="8" s="1"/>
  <c r="M66" i="8" l="1"/>
  <c r="N66" i="8" s="1"/>
  <c r="O66" i="8"/>
  <c r="B66" i="8"/>
  <c r="E66" i="8" l="1"/>
  <c r="G66" i="8"/>
  <c r="C66" i="8"/>
  <c r="D66" i="8" s="1"/>
  <c r="F66" i="8" s="1"/>
  <c r="P66" i="8"/>
  <c r="C68" i="8" l="1"/>
  <c r="J66" i="8"/>
  <c r="Q66" i="8"/>
  <c r="H66" i="8"/>
  <c r="I66" i="8" s="1"/>
  <c r="K66" i="8" s="1"/>
  <c r="T26" i="8"/>
  <c r="B56" i="3" l="1"/>
  <c r="F16" i="1"/>
  <c r="Z5" i="6" l="1"/>
  <c r="Y5" i="6"/>
  <c r="X5" i="6"/>
  <c r="W5" i="6"/>
  <c r="V5" i="6"/>
  <c r="I6" i="3" l="1"/>
  <c r="G6" i="3"/>
  <c r="D70" i="3"/>
  <c r="D69" i="3"/>
  <c r="D68" i="3"/>
  <c r="D67" i="3"/>
  <c r="D66" i="3"/>
  <c r="D65" i="3"/>
  <c r="D64" i="3"/>
  <c r="D63" i="3"/>
  <c r="I6" i="2"/>
  <c r="G6" i="2"/>
  <c r="E24" i="9"/>
  <c r="L23" i="9"/>
  <c r="O23" i="9" s="1"/>
  <c r="F23" i="9"/>
  <c r="E23" i="9"/>
  <c r="E22" i="9"/>
  <c r="E20" i="9"/>
  <c r="F20" i="9" s="1"/>
  <c r="E19" i="9"/>
  <c r="C18" i="9"/>
  <c r="C17" i="9"/>
  <c r="C16" i="9"/>
  <c r="C15" i="9"/>
  <c r="J14" i="9"/>
  <c r="G14" i="9"/>
  <c r="H14" i="9" s="1"/>
  <c r="L14" i="9" s="1"/>
  <c r="C14" i="9"/>
  <c r="E14" i="9" s="1"/>
  <c r="F14" i="9" s="1"/>
  <c r="E12" i="9"/>
  <c r="G10" i="9"/>
  <c r="G20" i="9" s="1"/>
  <c r="H20" i="9" s="1"/>
  <c r="L20" i="9" s="1"/>
  <c r="O20" i="9" s="1"/>
  <c r="E10" i="9"/>
  <c r="F10" i="9" s="1"/>
  <c r="E9" i="9"/>
  <c r="C8" i="9"/>
  <c r="C7" i="9"/>
  <c r="C6" i="9"/>
  <c r="C5" i="9"/>
  <c r="J4" i="9"/>
  <c r="H4" i="9"/>
  <c r="L4" i="9" s="1"/>
  <c r="E4" i="9"/>
  <c r="F4" i="9" s="1"/>
  <c r="C4" i="9"/>
  <c r="F22" i="1"/>
  <c r="F19" i="1"/>
  <c r="O4" i="9" l="1"/>
  <c r="M4" i="9"/>
  <c r="M20" i="9"/>
  <c r="O14" i="9"/>
  <c r="M14" i="9"/>
  <c r="N14" i="9" s="1"/>
  <c r="D71" i="3"/>
  <c r="F31" i="3" s="1"/>
  <c r="N23" i="9"/>
  <c r="I4" i="9"/>
  <c r="J6" i="2" s="1"/>
  <c r="P14" i="9"/>
  <c r="Q20" i="9" s="1"/>
  <c r="H10" i="9"/>
  <c r="L10" i="9" s="1"/>
  <c r="O10" i="9" s="1"/>
  <c r="I14" i="9"/>
  <c r="J6" i="3" s="1"/>
  <c r="N4" i="9" l="1"/>
  <c r="N20" i="9"/>
  <c r="M10" i="9"/>
  <c r="N10" i="9" s="1"/>
  <c r="H35" i="3"/>
  <c r="H39" i="3"/>
  <c r="H41" i="3"/>
  <c r="H38" i="3"/>
  <c r="H34" i="3"/>
  <c r="H36" i="3"/>
  <c r="H40" i="3"/>
  <c r="H37" i="3"/>
  <c r="P4" i="9"/>
  <c r="Q4" i="9" s="1"/>
  <c r="Q23" i="9"/>
  <c r="Q14" i="9"/>
  <c r="R14" i="9" s="1"/>
  <c r="S14" i="9" s="1"/>
  <c r="K6" i="3" s="1"/>
  <c r="W6" i="3" l="1"/>
  <c r="S6" i="3"/>
  <c r="O6" i="3"/>
  <c r="Z6" i="3"/>
  <c r="V6" i="3"/>
  <c r="R6" i="3"/>
  <c r="N6" i="3"/>
  <c r="T6" i="3"/>
  <c r="L6" i="3"/>
  <c r="Y6" i="3"/>
  <c r="U6" i="3"/>
  <c r="Q6" i="3"/>
  <c r="M6" i="3"/>
  <c r="X6" i="3"/>
  <c r="P6" i="3"/>
  <c r="Q10" i="9"/>
  <c r="R4" i="9" s="1"/>
  <c r="S4" i="9" s="1"/>
  <c r="K6" i="2" s="1"/>
  <c r="L6" i="2" s="1"/>
  <c r="Q6" i="2" l="1"/>
  <c r="M6" i="2"/>
  <c r="N6" i="2"/>
  <c r="S6" i="2"/>
  <c r="P6" i="2"/>
  <c r="O6" i="2"/>
  <c r="R6" i="2"/>
  <c r="L5" i="6"/>
  <c r="J5" i="6"/>
  <c r="I5" i="6"/>
  <c r="H5" i="6"/>
  <c r="S10" i="6"/>
  <c r="E10" i="6"/>
  <c r="F10" i="6" s="1"/>
  <c r="G10" i="6" s="1"/>
  <c r="K5" i="6"/>
  <c r="E11" i="6" l="1"/>
  <c r="F11" i="6" s="1"/>
  <c r="G11" i="6" s="1"/>
  <c r="S11" i="6"/>
  <c r="T10" i="6"/>
  <c r="U10" i="6" s="1"/>
  <c r="E12" i="6" l="1"/>
  <c r="E13" i="6" s="1"/>
  <c r="T11" i="6"/>
  <c r="U11" i="6" s="1"/>
  <c r="S12" i="6"/>
  <c r="F7" i="4"/>
  <c r="F6" i="4"/>
  <c r="D5" i="4"/>
  <c r="D4" i="4"/>
  <c r="F12" i="6" l="1"/>
  <c r="G12" i="6" s="1"/>
  <c r="S13" i="6"/>
  <c r="T12" i="6"/>
  <c r="U12" i="6" s="1"/>
  <c r="E14" i="6"/>
  <c r="F13" i="6"/>
  <c r="G13" i="6" s="1"/>
  <c r="F8" i="4"/>
  <c r="F9" i="4" s="1"/>
  <c r="E15" i="6" l="1"/>
  <c r="F14" i="6"/>
  <c r="G14" i="6" s="1"/>
  <c r="S14" i="6"/>
  <c r="T13" i="6"/>
  <c r="U13" i="6" s="1"/>
  <c r="F15" i="6" l="1"/>
  <c r="G15" i="6" s="1"/>
  <c r="E16" i="6"/>
  <c r="S15" i="6"/>
  <c r="T14" i="6"/>
  <c r="U14" i="6" s="1"/>
  <c r="F16" i="6" l="1"/>
  <c r="G16" i="6" s="1"/>
  <c r="E17" i="6"/>
  <c r="S16" i="6"/>
  <c r="T15" i="6"/>
  <c r="U15" i="6" s="1"/>
  <c r="AE22" i="3"/>
  <c r="AE21" i="3"/>
  <c r="Y21" i="3"/>
  <c r="AE20" i="3"/>
  <c r="Y20" i="3"/>
  <c r="S20" i="3"/>
  <c r="AE19" i="3"/>
  <c r="Y19" i="3"/>
  <c r="S19" i="3"/>
  <c r="AE18" i="3"/>
  <c r="W18" i="3"/>
  <c r="S18" i="3"/>
  <c r="AE17" i="3"/>
  <c r="Y17" i="3"/>
  <c r="S17" i="3"/>
  <c r="M17" i="3"/>
  <c r="AE16" i="3"/>
  <c r="Y16" i="3"/>
  <c r="S16" i="3"/>
  <c r="M16" i="3"/>
  <c r="AE15" i="3"/>
  <c r="Y15" i="3"/>
  <c r="S15" i="3"/>
  <c r="M15" i="3"/>
  <c r="AE14" i="3"/>
  <c r="Y14" i="3"/>
  <c r="S14" i="3"/>
  <c r="M14" i="3"/>
  <c r="AE13" i="3"/>
  <c r="Y13" i="3"/>
  <c r="S13" i="3"/>
  <c r="P11" i="3" s="1"/>
  <c r="M13" i="3"/>
  <c r="W18" i="2"/>
  <c r="Y18" i="2" s="1"/>
  <c r="U19" i="3" l="1"/>
  <c r="U13" i="3"/>
  <c r="J11" i="3"/>
  <c r="O13" i="3" s="1"/>
  <c r="E18" i="6"/>
  <c r="F17" i="6"/>
  <c r="G17" i="6" s="1"/>
  <c r="S17" i="6"/>
  <c r="T16" i="6"/>
  <c r="U16" i="6" s="1"/>
  <c r="AB11" i="3"/>
  <c r="AG17" i="3" s="1"/>
  <c r="AG22" i="3"/>
  <c r="AG16" i="3"/>
  <c r="AG15" i="3"/>
  <c r="AG14" i="3"/>
  <c r="AG20" i="3"/>
  <c r="AG18" i="3"/>
  <c r="U20" i="3"/>
  <c r="U18" i="3"/>
  <c r="U14" i="3"/>
  <c r="U15" i="3"/>
  <c r="U16" i="3"/>
  <c r="U17" i="3"/>
  <c r="Y18" i="3"/>
  <c r="V11" i="3" s="1"/>
  <c r="AG21" i="3" l="1"/>
  <c r="AG19" i="3"/>
  <c r="O17" i="3"/>
  <c r="O15" i="3"/>
  <c r="O16" i="3"/>
  <c r="AG13" i="3"/>
  <c r="O14" i="3"/>
  <c r="F18" i="6"/>
  <c r="G18" i="6" s="1"/>
  <c r="E19" i="6"/>
  <c r="S18" i="6"/>
  <c r="T17" i="6"/>
  <c r="U17" i="6" s="1"/>
  <c r="AA21" i="3"/>
  <c r="AA20" i="3"/>
  <c r="AA17" i="3"/>
  <c r="AA16" i="3"/>
  <c r="AA15" i="3"/>
  <c r="AA14" i="3"/>
  <c r="AA19" i="3"/>
  <c r="AA13" i="3"/>
  <c r="AA18" i="3"/>
  <c r="S19" i="6" l="1"/>
  <c r="T18" i="6"/>
  <c r="U18" i="6" s="1"/>
  <c r="F19" i="6"/>
  <c r="G19" i="6" s="1"/>
  <c r="E20" i="6"/>
  <c r="Y16" i="2"/>
  <c r="Y17" i="2"/>
  <c r="Y19" i="2"/>
  <c r="Y20" i="2"/>
  <c r="Y21" i="2"/>
  <c r="Y15" i="2"/>
  <c r="AE15" i="2"/>
  <c r="AE18" i="2"/>
  <c r="AE19" i="2"/>
  <c r="AE20" i="2"/>
  <c r="AE21" i="2"/>
  <c r="AE22" i="2"/>
  <c r="Y13" i="2"/>
  <c r="Y14" i="2"/>
  <c r="S18" i="2"/>
  <c r="S19" i="2"/>
  <c r="S20" i="2"/>
  <c r="S17" i="2"/>
  <c r="AE17" i="2"/>
  <c r="AE16" i="2"/>
  <c r="AE14" i="2"/>
  <c r="AE13" i="2"/>
  <c r="S16" i="2"/>
  <c r="S15" i="2"/>
  <c r="S14" i="2"/>
  <c r="S13" i="2"/>
  <c r="M14" i="2"/>
  <c r="M15" i="2"/>
  <c r="M16" i="2"/>
  <c r="M17" i="2"/>
  <c r="M13" i="2"/>
  <c r="AB11" i="2" l="1"/>
  <c r="P11" i="2"/>
  <c r="V11" i="2"/>
  <c r="F20" i="6"/>
  <c r="G20" i="6" s="1"/>
  <c r="E21" i="6"/>
  <c r="S20" i="6"/>
  <c r="T19" i="6"/>
  <c r="U19" i="6" s="1"/>
  <c r="J11" i="2"/>
  <c r="O14" i="2" s="1"/>
  <c r="AA17" i="2" l="1"/>
  <c r="AA14" i="2"/>
  <c r="AA19" i="2"/>
  <c r="AA13" i="2"/>
  <c r="AA15" i="2"/>
  <c r="AA20" i="2"/>
  <c r="AA16" i="2"/>
  <c r="AA21" i="2"/>
  <c r="AA18" i="2"/>
  <c r="U15" i="2"/>
  <c r="U18" i="2"/>
  <c r="U17" i="2"/>
  <c r="U19" i="2"/>
  <c r="U13" i="2"/>
  <c r="U14" i="2"/>
  <c r="U20" i="2"/>
  <c r="U16" i="2"/>
  <c r="AG17" i="2"/>
  <c r="AG15" i="2"/>
  <c r="AG13" i="2"/>
  <c r="AG16" i="2"/>
  <c r="AG19" i="2"/>
  <c r="AG20" i="2"/>
  <c r="AG22" i="2"/>
  <c r="AG21" i="2"/>
  <c r="AG18" i="2"/>
  <c r="AG14" i="2"/>
  <c r="E22" i="6"/>
  <c r="F21" i="6"/>
  <c r="G21" i="6" s="1"/>
  <c r="T20" i="6"/>
  <c r="U20" i="6" s="1"/>
  <c r="S21" i="6"/>
  <c r="O16" i="2"/>
  <c r="O13" i="2"/>
  <c r="O17" i="2"/>
  <c r="O15" i="2"/>
  <c r="F22" i="6" l="1"/>
  <c r="G22" i="6" s="1"/>
  <c r="E23" i="6"/>
  <c r="T21" i="6"/>
  <c r="U21" i="6" s="1"/>
  <c r="S22" i="6"/>
  <c r="F54" i="4"/>
  <c r="F53" i="4"/>
  <c r="F51" i="4"/>
  <c r="B49" i="4"/>
  <c r="D45" i="4"/>
  <c r="D44" i="4"/>
  <c r="D43" i="4"/>
  <c r="D35" i="4"/>
  <c r="D34" i="4"/>
  <c r="D29" i="4"/>
  <c r="D28" i="4"/>
  <c r="D27" i="4"/>
  <c r="D26" i="4"/>
  <c r="D24" i="4"/>
  <c r="D17" i="4"/>
  <c r="D15" i="4"/>
  <c r="D14" i="4"/>
  <c r="D13" i="4"/>
  <c r="E24" i="6" l="1"/>
  <c r="F23" i="6"/>
  <c r="G23" i="6" s="1"/>
  <c r="S23" i="6"/>
  <c r="T22" i="6"/>
  <c r="U22" i="6" s="1"/>
  <c r="F22" i="3"/>
  <c r="H25" i="3" s="1"/>
  <c r="H13" i="3"/>
  <c r="C28" i="3"/>
  <c r="C27" i="3"/>
  <c r="B20" i="3"/>
  <c r="B19" i="3"/>
  <c r="B18" i="3"/>
  <c r="B17" i="3"/>
  <c r="B16" i="3"/>
  <c r="B20" i="2"/>
  <c r="B19" i="2"/>
  <c r="B18" i="2"/>
  <c r="B17" i="2"/>
  <c r="B16" i="2"/>
  <c r="H13" i="2"/>
  <c r="B52" i="3"/>
  <c r="D52" i="3" s="1"/>
  <c r="B51" i="3"/>
  <c r="D51" i="3" s="1"/>
  <c r="B50" i="3"/>
  <c r="D50" i="3" s="1"/>
  <c r="B49" i="3"/>
  <c r="D49" i="3" s="1"/>
  <c r="B48" i="3"/>
  <c r="D48" i="3" s="1"/>
  <c r="B47" i="3"/>
  <c r="D47" i="3" s="1"/>
  <c r="B46" i="3"/>
  <c r="D46" i="3" s="1"/>
  <c r="D18" i="3" l="1"/>
  <c r="D17" i="3"/>
  <c r="D19" i="3"/>
  <c r="D21" i="3" s="1"/>
  <c r="D16" i="3"/>
  <c r="D20" i="3"/>
  <c r="E25" i="6"/>
  <c r="F24" i="6"/>
  <c r="G24" i="6" s="1"/>
  <c r="T23" i="6"/>
  <c r="U23" i="6" s="1"/>
  <c r="S24" i="6"/>
  <c r="D19" i="2"/>
  <c r="D16" i="2"/>
  <c r="D20" i="2"/>
  <c r="D17" i="2"/>
  <c r="D18" i="2"/>
  <c r="H26" i="3"/>
  <c r="C29" i="3"/>
  <c r="B45" i="3"/>
  <c r="D45" i="3" s="1"/>
  <c r="D53" i="3" s="1"/>
  <c r="J22" i="3" s="1"/>
  <c r="L32" i="3" s="1"/>
  <c r="T24" i="6" l="1"/>
  <c r="U24" i="6" s="1"/>
  <c r="S25" i="6"/>
  <c r="E26" i="6"/>
  <c r="F25" i="6"/>
  <c r="G25" i="6" s="1"/>
  <c r="L31" i="3"/>
  <c r="L26" i="3"/>
  <c r="L29" i="3"/>
  <c r="L30" i="3"/>
  <c r="L28" i="3"/>
  <c r="L25" i="3"/>
  <c r="L27" i="3"/>
  <c r="D21" i="2"/>
  <c r="S26" i="6" l="1"/>
  <c r="T25" i="6"/>
  <c r="U25" i="6" s="1"/>
  <c r="E27" i="6"/>
  <c r="F26" i="6"/>
  <c r="G26" i="6" s="1"/>
  <c r="S27" i="6" l="1"/>
  <c r="T26" i="6"/>
  <c r="U26" i="6" s="1"/>
  <c r="F27" i="6"/>
  <c r="G27" i="6" s="1"/>
  <c r="E28" i="6"/>
  <c r="B35" i="2"/>
  <c r="B34" i="2"/>
  <c r="B33" i="2"/>
  <c r="B32" i="2"/>
  <c r="B31" i="2"/>
  <c r="B30" i="2"/>
  <c r="B29" i="2"/>
  <c r="F21" i="2"/>
  <c r="E29" i="6" l="1"/>
  <c r="F28" i="6"/>
  <c r="G28" i="6" s="1"/>
  <c r="S28" i="6"/>
  <c r="T27" i="6"/>
  <c r="U27" i="6" s="1"/>
  <c r="H25" i="2"/>
  <c r="H24" i="2"/>
  <c r="D32" i="2"/>
  <c r="D29" i="2"/>
  <c r="D33" i="2"/>
  <c r="D31" i="2"/>
  <c r="D30" i="2"/>
  <c r="D34" i="2"/>
  <c r="B28" i="2"/>
  <c r="D35" i="2"/>
  <c r="C21" i="1"/>
  <c r="C20" i="1"/>
  <c r="F13" i="1"/>
  <c r="C13" i="1"/>
  <c r="C12" i="1"/>
  <c r="F11" i="1"/>
  <c r="F6" i="1"/>
  <c r="C6" i="1"/>
  <c r="E25" i="1" s="1"/>
  <c r="F4" i="1"/>
  <c r="T28" i="6" l="1"/>
  <c r="U28" i="6" s="1"/>
  <c r="S29" i="6"/>
  <c r="E30" i="6"/>
  <c r="F29" i="6"/>
  <c r="G29" i="6" s="1"/>
  <c r="D28" i="2"/>
  <c r="D36" i="2" s="1"/>
  <c r="M29" i="2" s="1"/>
  <c r="C14" i="1"/>
  <c r="T29" i="6" l="1"/>
  <c r="U29" i="6" s="1"/>
  <c r="S30" i="6"/>
  <c r="E31" i="6"/>
  <c r="F30" i="6"/>
  <c r="G30" i="6" s="1"/>
  <c r="O38" i="2"/>
  <c r="O39" i="2"/>
  <c r="O33" i="2"/>
  <c r="O34" i="2"/>
  <c r="O36" i="2"/>
  <c r="O37" i="2"/>
  <c r="O35" i="2"/>
  <c r="O32" i="2"/>
  <c r="C15" i="1"/>
  <c r="E32" i="6" l="1"/>
  <c r="F31" i="6"/>
  <c r="G31" i="6" s="1"/>
  <c r="S31" i="6"/>
  <c r="T30" i="6"/>
  <c r="U30" i="6" s="1"/>
  <c r="S32" i="6" l="1"/>
  <c r="T31" i="6"/>
  <c r="U31" i="6" s="1"/>
  <c r="E33" i="6"/>
  <c r="F32" i="6"/>
  <c r="G32" i="6" s="1"/>
  <c r="T32" i="6" l="1"/>
  <c r="U32" i="6" s="1"/>
  <c r="S33" i="6"/>
  <c r="F33" i="6"/>
  <c r="G33" i="6" s="1"/>
  <c r="E34" i="6"/>
  <c r="E35" i="6" l="1"/>
  <c r="F34" i="6"/>
  <c r="G34" i="6" s="1"/>
  <c r="S34" i="6"/>
  <c r="T33" i="6"/>
  <c r="U33" i="6" s="1"/>
  <c r="E36" i="6" l="1"/>
  <c r="F35" i="6"/>
  <c r="G35" i="6" s="1"/>
  <c r="S35" i="6"/>
  <c r="T34" i="6"/>
  <c r="U34" i="6" s="1"/>
  <c r="S36" i="6" l="1"/>
  <c r="T35" i="6"/>
  <c r="U35" i="6" s="1"/>
  <c r="F36" i="6"/>
  <c r="G36" i="6" s="1"/>
  <c r="E37" i="6"/>
  <c r="S37" i="6" l="1"/>
  <c r="T36" i="6"/>
  <c r="U36" i="6" s="1"/>
  <c r="E38" i="6"/>
  <c r="F37" i="6"/>
  <c r="G37" i="6" s="1"/>
  <c r="E39" i="6" l="1"/>
  <c r="F38" i="6"/>
  <c r="G38" i="6" s="1"/>
  <c r="S38" i="6"/>
  <c r="T37" i="6"/>
  <c r="U37" i="6" s="1"/>
  <c r="F39" i="6" l="1"/>
  <c r="G39" i="6" s="1"/>
  <c r="E40" i="6"/>
  <c r="T38" i="6"/>
  <c r="U38" i="6" s="1"/>
  <c r="S39" i="6"/>
  <c r="S40" i="6" l="1"/>
  <c r="T39" i="6"/>
  <c r="U39" i="6" s="1"/>
  <c r="E41" i="6"/>
  <c r="F40" i="6"/>
  <c r="G40" i="6" s="1"/>
  <c r="S41" i="6" l="1"/>
  <c r="T40" i="6"/>
  <c r="U40" i="6" s="1"/>
  <c r="E42" i="6"/>
  <c r="F41" i="6"/>
  <c r="G41" i="6" s="1"/>
  <c r="F42" i="6" l="1"/>
  <c r="G42" i="6" s="1"/>
  <c r="E43" i="6"/>
  <c r="S42" i="6"/>
  <c r="T41" i="6"/>
  <c r="U41" i="6" s="1"/>
  <c r="F43" i="6" l="1"/>
  <c r="G43" i="6" s="1"/>
  <c r="E44" i="6"/>
  <c r="T42" i="6"/>
  <c r="U42" i="6" s="1"/>
  <c r="S43" i="6"/>
  <c r="S44" i="6" l="1"/>
  <c r="T43" i="6"/>
  <c r="U43" i="6" s="1"/>
  <c r="E45" i="6"/>
  <c r="F44" i="6"/>
  <c r="G44" i="6" s="1"/>
  <c r="E46" i="6" l="1"/>
  <c r="F45" i="6"/>
  <c r="G45" i="6" s="1"/>
  <c r="T44" i="6"/>
  <c r="U44" i="6" s="1"/>
  <c r="S45" i="6"/>
  <c r="S46" i="6" l="1"/>
  <c r="T45" i="6"/>
  <c r="U45" i="6" s="1"/>
  <c r="F46" i="6"/>
  <c r="G46" i="6" s="1"/>
  <c r="E47" i="6"/>
  <c r="S47" i="6" l="1"/>
  <c r="T46" i="6"/>
  <c r="U46" i="6" s="1"/>
  <c r="F47" i="6"/>
  <c r="G47" i="6" s="1"/>
  <c r="E48" i="6"/>
  <c r="E49" i="6" l="1"/>
  <c r="F48" i="6"/>
  <c r="G48" i="6" s="1"/>
  <c r="S48" i="6"/>
  <c r="T47" i="6"/>
  <c r="U47" i="6" s="1"/>
  <c r="T48" i="6" l="1"/>
  <c r="U48" i="6" s="1"/>
  <c r="S49" i="6"/>
  <c r="F49" i="6"/>
  <c r="G49" i="6" s="1"/>
  <c r="E50" i="6"/>
  <c r="S50" i="6" l="1"/>
  <c r="T49" i="6"/>
  <c r="U49" i="6" s="1"/>
  <c r="E51" i="6"/>
  <c r="F50" i="6"/>
  <c r="G50" i="6" s="1"/>
  <c r="E52" i="6" l="1"/>
  <c r="F51" i="6"/>
  <c r="G51" i="6" s="1"/>
  <c r="S51" i="6"/>
  <c r="T50" i="6"/>
  <c r="U50" i="6" s="1"/>
  <c r="T51" i="6" l="1"/>
  <c r="U51" i="6" s="1"/>
  <c r="S52" i="6"/>
  <c r="E53" i="6"/>
  <c r="F52" i="6"/>
  <c r="G52" i="6" s="1"/>
  <c r="S53" i="6" l="1"/>
  <c r="T52" i="6"/>
  <c r="U52" i="6" s="1"/>
  <c r="E54" i="6"/>
  <c r="F53" i="6"/>
  <c r="G53" i="6" s="1"/>
  <c r="E55" i="6" l="1"/>
  <c r="F54" i="6"/>
  <c r="G54" i="6" s="1"/>
  <c r="S54" i="6"/>
  <c r="T53" i="6"/>
  <c r="U53" i="6" s="1"/>
  <c r="E56" i="6" l="1"/>
  <c r="F55" i="6"/>
  <c r="G55" i="6" s="1"/>
  <c r="T54" i="6"/>
  <c r="U54" i="6" s="1"/>
  <c r="S55" i="6"/>
  <c r="S56" i="6" l="1"/>
  <c r="T55" i="6"/>
  <c r="U55" i="6" s="1"/>
  <c r="E57" i="6"/>
  <c r="F56" i="6"/>
  <c r="G56" i="6" s="1"/>
  <c r="E58" i="6" l="1"/>
  <c r="F57" i="6"/>
  <c r="G57" i="6" s="1"/>
  <c r="S57" i="6"/>
  <c r="T56" i="6"/>
  <c r="U56" i="6" s="1"/>
  <c r="F58" i="6" l="1"/>
  <c r="G58" i="6" s="1"/>
  <c r="E59" i="6"/>
  <c r="S58" i="6"/>
  <c r="T57" i="6"/>
  <c r="U57" i="6" s="1"/>
  <c r="S59" i="6" l="1"/>
  <c r="T58" i="6"/>
  <c r="U58" i="6" s="1"/>
  <c r="F59" i="6"/>
  <c r="G59" i="6" s="1"/>
  <c r="E60" i="6"/>
  <c r="E61" i="6" l="1"/>
  <c r="F60" i="6"/>
  <c r="G60" i="6" s="1"/>
  <c r="S60" i="6"/>
  <c r="T59" i="6"/>
  <c r="U59" i="6" s="1"/>
  <c r="F61" i="6" l="1"/>
  <c r="G61" i="6" s="1"/>
  <c r="E62" i="6"/>
  <c r="S61" i="6"/>
  <c r="T60" i="6"/>
  <c r="U60" i="6" s="1"/>
  <c r="F62" i="6" l="1"/>
  <c r="G62" i="6" s="1"/>
  <c r="E63" i="6"/>
  <c r="S62" i="6"/>
  <c r="T61" i="6"/>
  <c r="U61" i="6" s="1"/>
  <c r="S63" i="6" l="1"/>
  <c r="T62" i="6"/>
  <c r="U62" i="6" s="1"/>
  <c r="E64" i="6"/>
  <c r="F63" i="6"/>
  <c r="G63" i="6" s="1"/>
  <c r="E65" i="6" l="1"/>
  <c r="F64" i="6"/>
  <c r="G64" i="6" s="1"/>
  <c r="T63" i="6"/>
  <c r="U63" i="6" s="1"/>
  <c r="S64" i="6"/>
  <c r="T64" i="6" l="1"/>
  <c r="U64" i="6" s="1"/>
  <c r="S65" i="6"/>
  <c r="F65" i="6"/>
  <c r="G65" i="6" s="1"/>
  <c r="E66" i="6"/>
  <c r="S66" i="6" l="1"/>
  <c r="T65" i="6"/>
  <c r="U65" i="6" s="1"/>
  <c r="F66" i="6"/>
  <c r="G66" i="6" s="1"/>
  <c r="E67" i="6"/>
  <c r="E68" i="6" l="1"/>
  <c r="F67" i="6"/>
  <c r="G67" i="6" s="1"/>
  <c r="S67" i="6"/>
  <c r="T66" i="6"/>
  <c r="U66" i="6" s="1"/>
  <c r="T67" i="6" l="1"/>
  <c r="U67" i="6" s="1"/>
  <c r="S68" i="6"/>
  <c r="E69" i="6"/>
  <c r="F68" i="6"/>
  <c r="G68" i="6" s="1"/>
  <c r="S69" i="6" l="1"/>
  <c r="T68" i="6"/>
  <c r="U68" i="6" s="1"/>
  <c r="E70" i="6"/>
  <c r="F69" i="6"/>
  <c r="G69" i="6" s="1"/>
  <c r="E71" i="6" l="1"/>
  <c r="F70" i="6"/>
  <c r="G70" i="6" s="1"/>
  <c r="S70" i="6"/>
  <c r="T69" i="6"/>
  <c r="U69" i="6" s="1"/>
  <c r="T70" i="6" l="1"/>
  <c r="U70" i="6" s="1"/>
  <c r="S71" i="6"/>
  <c r="E72" i="6"/>
  <c r="F71" i="6"/>
  <c r="G71" i="6" s="1"/>
  <c r="T71" i="6" l="1"/>
  <c r="U71" i="6" s="1"/>
  <c r="S72" i="6"/>
  <c r="E73" i="6"/>
  <c r="F72" i="6"/>
  <c r="G72" i="6" s="1"/>
  <c r="E74" i="6" l="1"/>
  <c r="F74" i="6" s="1"/>
  <c r="G74" i="6" s="1"/>
  <c r="F73" i="6"/>
  <c r="G73" i="6" s="1"/>
  <c r="S73" i="6"/>
  <c r="T72" i="6"/>
  <c r="U72" i="6" s="1"/>
  <c r="S74" i="6" l="1"/>
  <c r="T73" i="6"/>
  <c r="U73" i="6" s="1"/>
  <c r="T74" i="6" l="1"/>
  <c r="U74" i="6" s="1"/>
</calcChain>
</file>

<file path=xl/sharedStrings.xml><?xml version="1.0" encoding="utf-8"?>
<sst xmlns="http://schemas.openxmlformats.org/spreadsheetml/2006/main" count="1071" uniqueCount="395">
  <si>
    <t>Pin Region</t>
  </si>
  <si>
    <t>Buckling Geometri</t>
  </si>
  <si>
    <t>Jenis</t>
  </si>
  <si>
    <t>Nilai (cm)</t>
  </si>
  <si>
    <t>nilai (cm)</t>
  </si>
  <si>
    <t>Diameter Luar Pin</t>
  </si>
  <si>
    <t>Jari-jari Aktif</t>
  </si>
  <si>
    <t>Diameter Dalam Pin</t>
  </si>
  <si>
    <t>Tinggi Aktif</t>
  </si>
  <si>
    <t>Tebal Clad</t>
  </si>
  <si>
    <t>Bg2</t>
  </si>
  <si>
    <t>Diameter Gap</t>
  </si>
  <si>
    <t>Fuel Assembly</t>
  </si>
  <si>
    <t>Diameter Fuel</t>
  </si>
  <si>
    <t>Pitch</t>
  </si>
  <si>
    <t>Sisi Dalam</t>
  </si>
  <si>
    <t>Batas Utama R-X</t>
  </si>
  <si>
    <t>Sisi Luar</t>
  </si>
  <si>
    <t>Tebal FA</t>
  </si>
  <si>
    <t>Pitch Ekuivalen</t>
  </si>
  <si>
    <t>tinggi FA</t>
  </si>
  <si>
    <t>Jari - Jari Cladding</t>
  </si>
  <si>
    <t>Mean Chord Length</t>
  </si>
  <si>
    <t>Jari - jari Gap</t>
  </si>
  <si>
    <t>Jari - Jari Fuel</t>
  </si>
  <si>
    <t>Diameter luar</t>
  </si>
  <si>
    <t>Diameter dalam</t>
  </si>
  <si>
    <t>Fuel</t>
  </si>
  <si>
    <t>Tebal Reflektor</t>
  </si>
  <si>
    <t>Gap</t>
  </si>
  <si>
    <t>Clad</t>
  </si>
  <si>
    <t>Moderator</t>
  </si>
  <si>
    <t>Sub-Region</t>
  </si>
  <si>
    <t>Jumlah Pin Rod</t>
  </si>
  <si>
    <t>Data Dasar</t>
  </si>
  <si>
    <t>Parameter</t>
  </si>
  <si>
    <t>Nilai</t>
  </si>
  <si>
    <t>Satuan</t>
  </si>
  <si>
    <t>Sumber</t>
  </si>
  <si>
    <t>Avogadro</t>
  </si>
  <si>
    <t>partikel/mol</t>
  </si>
  <si>
    <t>Data NIST</t>
  </si>
  <si>
    <t>g/cm3</t>
  </si>
  <si>
    <t>Densitas Operasi UO2</t>
  </si>
  <si>
    <t>Suhu Rata2 Bahan Bakar</t>
  </si>
  <si>
    <t>K</t>
  </si>
  <si>
    <t>Densitas Moderator</t>
  </si>
  <si>
    <t>Suhu Rata2 Moderator</t>
  </si>
  <si>
    <t>Densitas GAP</t>
  </si>
  <si>
    <t>Suhu Rata2 GAP</t>
  </si>
  <si>
    <t>Tekanan Operasi</t>
  </si>
  <si>
    <t>psia</t>
  </si>
  <si>
    <t>Suhu rata2 cladding</t>
  </si>
  <si>
    <t>Pu-238</t>
  </si>
  <si>
    <t>Pu-239</t>
  </si>
  <si>
    <t>Pu-240</t>
  </si>
  <si>
    <t>Pu-241</t>
  </si>
  <si>
    <t>Pu-242</t>
  </si>
  <si>
    <t>FUE1A010</t>
  </si>
  <si>
    <t>Nuklida</t>
  </si>
  <si>
    <t>Kode</t>
  </si>
  <si>
    <t>Jumlah</t>
  </si>
  <si>
    <t>U-235</t>
  </si>
  <si>
    <t>XU050000</t>
  </si>
  <si>
    <t>U-238</t>
  </si>
  <si>
    <t>XU080000</t>
  </si>
  <si>
    <t>O</t>
  </si>
  <si>
    <t>XO060000</t>
  </si>
  <si>
    <t>GAP</t>
  </si>
  <si>
    <t>GAP1A020</t>
  </si>
  <si>
    <t>Mr He</t>
  </si>
  <si>
    <t>Cladding</t>
  </si>
  <si>
    <t>Densitas</t>
  </si>
  <si>
    <t>He</t>
  </si>
  <si>
    <t>XHE40000</t>
  </si>
  <si>
    <t>Komposisi Cladding</t>
  </si>
  <si>
    <t>Persentase</t>
  </si>
  <si>
    <t>Ar</t>
  </si>
  <si>
    <t>Zr</t>
  </si>
  <si>
    <t>Mr Clad</t>
  </si>
  <si>
    <t>Sn</t>
  </si>
  <si>
    <t>Fe</t>
  </si>
  <si>
    <t>Cr</t>
  </si>
  <si>
    <t>Ni</t>
  </si>
  <si>
    <t>XZRN0000</t>
  </si>
  <si>
    <t>XSNN0000</t>
  </si>
  <si>
    <t>XFEN0000</t>
  </si>
  <si>
    <t>Struktur Fuel Assembly</t>
  </si>
  <si>
    <t>XCRN0000</t>
  </si>
  <si>
    <t>AISI 304 L stainless steel</t>
  </si>
  <si>
    <t>XNIN0000</t>
  </si>
  <si>
    <t>g/cc</t>
  </si>
  <si>
    <t>MOD1A040</t>
  </si>
  <si>
    <t>Komposisi</t>
  </si>
  <si>
    <t>Mr H2O</t>
  </si>
  <si>
    <t>C</t>
  </si>
  <si>
    <t>Mn</t>
  </si>
  <si>
    <t>H</t>
  </si>
  <si>
    <t>XH01H000</t>
  </si>
  <si>
    <t>P</t>
  </si>
  <si>
    <t>S</t>
  </si>
  <si>
    <t>SFA1A050</t>
  </si>
  <si>
    <t>Si</t>
  </si>
  <si>
    <t>Mr Struktur</t>
  </si>
  <si>
    <t>XC020000</t>
  </si>
  <si>
    <t>XMN50000</t>
  </si>
  <si>
    <t>XP0N0000</t>
  </si>
  <si>
    <t>XS0N0000</t>
  </si>
  <si>
    <t>XSIN0000</t>
  </si>
  <si>
    <t>MOX</t>
  </si>
  <si>
    <t>Pu-Vector</t>
  </si>
  <si>
    <t>Jumlah Nuklida</t>
  </si>
  <si>
    <t>Mr MOX</t>
  </si>
  <si>
    <t>Enrich (e) UO2</t>
  </si>
  <si>
    <t>1-e (UO2)</t>
  </si>
  <si>
    <t>% Massa Pu</t>
  </si>
  <si>
    <t>% Massa U</t>
  </si>
  <si>
    <t>XPU80000</t>
  </si>
  <si>
    <t>XPU90000</t>
  </si>
  <si>
    <t>XPU00000</t>
  </si>
  <si>
    <t>XPU10000</t>
  </si>
  <si>
    <t>XPU20000</t>
  </si>
  <si>
    <t>Gd2O3</t>
  </si>
  <si>
    <t>Mr Gd</t>
  </si>
  <si>
    <t>Mr O</t>
  </si>
  <si>
    <t>Nuklida Gd</t>
  </si>
  <si>
    <t>Gd-152</t>
  </si>
  <si>
    <t>Gd-154</t>
  </si>
  <si>
    <t>Gd-155</t>
  </si>
  <si>
    <t>Gd-156</t>
  </si>
  <si>
    <t>Gd-157</t>
  </si>
  <si>
    <t>Gd-158</t>
  </si>
  <si>
    <t>Gd-160</t>
  </si>
  <si>
    <t>Reflektor</t>
  </si>
  <si>
    <t>XGD20000</t>
  </si>
  <si>
    <t>XGD40000</t>
  </si>
  <si>
    <t>XGD50000</t>
  </si>
  <si>
    <t>XGD60000</t>
  </si>
  <si>
    <t>XGD70000</t>
  </si>
  <si>
    <t>XGD80000</t>
  </si>
  <si>
    <t>XGD00000</t>
  </si>
  <si>
    <t>Mr MOX-Gd2O3</t>
  </si>
  <si>
    <t>Densitas Gd2O3</t>
  </si>
  <si>
    <t>Nilai (BU)</t>
  </si>
  <si>
    <t>Nilai SI</t>
  </si>
  <si>
    <t>Nilai yang dipakai</t>
  </si>
  <si>
    <t>Core</t>
  </si>
  <si>
    <t>Diameter</t>
  </si>
  <si>
    <t>Inch</t>
  </si>
  <si>
    <t>cm</t>
  </si>
  <si>
    <t>Active Fuel Height</t>
  </si>
  <si>
    <t>Array Batang BBN</t>
  </si>
  <si>
    <t>17x17</t>
  </si>
  <si>
    <t>Panjang</t>
  </si>
  <si>
    <t>FA Pitch</t>
  </si>
  <si>
    <t>Fuel Rod Pitch</t>
  </si>
  <si>
    <t>Jumlah Spacer</t>
  </si>
  <si>
    <t>Tinggi Spacer Grid</t>
  </si>
  <si>
    <t>Jumlah BBN Rod</t>
  </si>
  <si>
    <t>Jumlah Guide Tube per FA</t>
  </si>
  <si>
    <t>Jumlah Instrumentation Tubes per FA</t>
  </si>
  <si>
    <t>Tebal Struktur FA</t>
  </si>
  <si>
    <t>Fuel Rods</t>
  </si>
  <si>
    <t>Material Cladding</t>
  </si>
  <si>
    <t>MS*</t>
  </si>
  <si>
    <t>Zircalloy-4</t>
  </si>
  <si>
    <t>Diameter Luar Cladding</t>
  </si>
  <si>
    <t>Diameter Dalam Cladding</t>
  </si>
  <si>
    <t>Tebal Cladding</t>
  </si>
  <si>
    <t>Panjang Fuel Rod</t>
  </si>
  <si>
    <t>Fill Gas</t>
  </si>
  <si>
    <t>Helium</t>
  </si>
  <si>
    <t>Fuel Pellet</t>
  </si>
  <si>
    <t>96% TD</t>
  </si>
  <si>
    <t>Material</t>
  </si>
  <si>
    <t>UO2 (Sintered)</t>
  </si>
  <si>
    <t>Control Rod Assemblies</t>
  </si>
  <si>
    <t>Material Penyerap bagian Atas</t>
  </si>
  <si>
    <t>B4C</t>
  </si>
  <si>
    <t>Material Penyerap bagian Bawah</t>
  </si>
  <si>
    <t>Ag-In-Cd</t>
  </si>
  <si>
    <t>304 Stainless Steel</t>
  </si>
  <si>
    <t>Guide Tube</t>
  </si>
  <si>
    <t>Diameter Luar</t>
  </si>
  <si>
    <t>Diameter Dalam (diatas Dashpot)</t>
  </si>
  <si>
    <t>Diameter Dalam (di dalam Dashpot)</t>
  </si>
  <si>
    <t>Basic Core Parameter</t>
  </si>
  <si>
    <t>Daya Termal Teras</t>
  </si>
  <si>
    <t>MWt</t>
  </si>
  <si>
    <t>Panjang Fuel Cycle (sebelum harus refueling)</t>
  </si>
  <si>
    <t>Months</t>
  </si>
  <si>
    <t>Discharge burn-Up Rata-Rata</t>
  </si>
  <si>
    <t>MWd/ton</t>
  </si>
  <si>
    <t>Peak Linear Power</t>
  </si>
  <si>
    <t>kw/ft</t>
  </si>
  <si>
    <t>MW/cm</t>
  </si>
  <si>
    <t>Peak Linear Power per FA</t>
  </si>
  <si>
    <t>Tekanan Sistem Reaktor</t>
  </si>
  <si>
    <t>Suhu Fuel Pin</t>
  </si>
  <si>
    <t>F</t>
  </si>
  <si>
    <t>Note</t>
  </si>
  <si>
    <t>Suhu Inlet Coolant</t>
  </si>
  <si>
    <t>TD = Theoretical Density = 10.96 g/cm3</t>
  </si>
  <si>
    <t>Suhu Gap</t>
  </si>
  <si>
    <t>=</t>
  </si>
  <si>
    <t>Angka sementara. Belum yakin nilainya</t>
  </si>
  <si>
    <t>Suhu Cladding</t>
  </si>
  <si>
    <t>Persentasi*Ar</t>
  </si>
  <si>
    <t>Densitas (g/cm3)</t>
  </si>
  <si>
    <t>Clad (CLA1A030) &amp; Guide Tube/CR (GCR1A030)</t>
  </si>
  <si>
    <t>D9 (SS316/Austenitic Steel)</t>
  </si>
  <si>
    <t>Mo</t>
  </si>
  <si>
    <t>Ti</t>
  </si>
  <si>
    <t>HT9 (SS410/Ferritic Steel similar to SS-400s)</t>
  </si>
  <si>
    <t>V</t>
  </si>
  <si>
    <t>Zr-2.5%Nb Alloy</t>
  </si>
  <si>
    <t>Nb</t>
  </si>
  <si>
    <t>N</t>
  </si>
  <si>
    <t>XMON0000</t>
  </si>
  <si>
    <t>XTIN0000</t>
  </si>
  <si>
    <t>W-184</t>
  </si>
  <si>
    <t>XW040000</t>
  </si>
  <si>
    <t>XV0N0000</t>
  </si>
  <si>
    <t>XNB30000</t>
  </si>
  <si>
    <t>XN040000</t>
  </si>
  <si>
    <t>XH010000</t>
  </si>
  <si>
    <t>REFLEKTOR</t>
  </si>
  <si>
    <t>REFL00R0</t>
  </si>
  <si>
    <t>Mr C</t>
  </si>
  <si>
    <t>Fraksi Massa MOX</t>
  </si>
  <si>
    <t>Volume Bahan Bakar</t>
  </si>
  <si>
    <t>cm3</t>
  </si>
  <si>
    <t>Massa Bahan Bakar</t>
  </si>
  <si>
    <t>g</t>
  </si>
  <si>
    <t>Ton</t>
  </si>
  <si>
    <t>FA 1</t>
  </si>
  <si>
    <t>FA 2</t>
  </si>
  <si>
    <t>H/D</t>
  </si>
  <si>
    <t>Diameter (cm)</t>
  </si>
  <si>
    <t>Tinggi (cm)</t>
  </si>
  <si>
    <t>Volume (cm3)</t>
  </si>
  <si>
    <t>Jari-jari Bahan Bakar</t>
  </si>
  <si>
    <t>Jumlah FA</t>
  </si>
  <si>
    <t>Jumlah Fuel Rod/FA</t>
  </si>
  <si>
    <t>Densitas Bahan Bakar (g/cm3)</t>
  </si>
  <si>
    <t>Massa Bahan Bakar (g)</t>
  </si>
  <si>
    <t>Massa Konstan BBN (g)</t>
  </si>
  <si>
    <t>Massa Total BBN (g)</t>
  </si>
  <si>
    <t xml:space="preserve">Jumlah Node Arah Z </t>
  </si>
  <si>
    <t>Ukuran per Node</t>
  </si>
  <si>
    <t>Volume Node</t>
  </si>
  <si>
    <t>varhd3</t>
  </si>
  <si>
    <t>% Pu</t>
  </si>
  <si>
    <t>Tinggi</t>
  </si>
  <si>
    <t>Inventori Aktinida (g)</t>
  </si>
  <si>
    <t>Nama</t>
  </si>
  <si>
    <t>Step</t>
  </si>
  <si>
    <t>Rentang (Jam)</t>
  </si>
  <si>
    <t>Jam</t>
  </si>
  <si>
    <t>Hari</t>
  </si>
  <si>
    <t>Tahun</t>
  </si>
  <si>
    <t>K-Efektif</t>
  </si>
  <si>
    <t>Conversion Ratio</t>
  </si>
  <si>
    <t>Aktinida</t>
  </si>
  <si>
    <t>Benchmark</t>
  </si>
  <si>
    <t>note:</t>
  </si>
  <si>
    <t>U-236</t>
  </si>
  <si>
    <t>BO1C</t>
  </si>
  <si>
    <t>step 2 diskip</t>
  </si>
  <si>
    <t>EO1C</t>
  </si>
  <si>
    <t>step 1 diskip</t>
  </si>
  <si>
    <t>EO2C</t>
  </si>
  <si>
    <t>EO3C</t>
  </si>
  <si>
    <t>Jenis Cladding</t>
  </si>
  <si>
    <t>D9</t>
  </si>
  <si>
    <t>HT9</t>
  </si>
  <si>
    <t>varclad1</t>
  </si>
  <si>
    <t>varclad2</t>
  </si>
  <si>
    <t>varclad3</t>
  </si>
  <si>
    <t>varclad4</t>
  </si>
  <si>
    <t>R=165</t>
  </si>
  <si>
    <t>y\x</t>
  </si>
  <si>
    <t>R</t>
  </si>
  <si>
    <t>Relative Values</t>
  </si>
  <si>
    <t>Real Values</t>
  </si>
  <si>
    <t>Mesh Axial</t>
  </si>
  <si>
    <t>Top</t>
  </si>
  <si>
    <t>Bottom</t>
  </si>
  <si>
    <t>Reflektor SS304L</t>
  </si>
  <si>
    <t>Susunan 1/4 FA</t>
  </si>
  <si>
    <t>Jumlah Fuel Pin</t>
  </si>
  <si>
    <t>Jumlah CR</t>
  </si>
  <si>
    <t>Jumlah Guide Tube</t>
  </si>
  <si>
    <t>Tw</t>
  </si>
  <si>
    <t>2.pi().Rcli</t>
  </si>
  <si>
    <t>Suhu Rata2 Coolant</t>
  </si>
  <si>
    <t>Tfl</t>
  </si>
  <si>
    <t>b</t>
  </si>
  <si>
    <t>Suhu Rata2 Gap</t>
  </si>
  <si>
    <t>c</t>
  </si>
  <si>
    <t>Suhu Outlet Coolant</t>
  </si>
  <si>
    <t>Suhu rata2 Cladding</t>
  </si>
  <si>
    <t>m</t>
  </si>
  <si>
    <t>Peak Linear Power Per Fuel Pin</t>
  </si>
  <si>
    <t>W/cm</t>
  </si>
  <si>
    <t>q'</t>
  </si>
  <si>
    <t>Luas Area Konveksi</t>
  </si>
  <si>
    <t>m2</t>
  </si>
  <si>
    <t>pi</t>
  </si>
  <si>
    <t>Mass Flow</t>
  </si>
  <si>
    <t>kg/s</t>
  </si>
  <si>
    <t>Jari - Jari Cladding Dalam</t>
  </si>
  <si>
    <t>Rcli</t>
  </si>
  <si>
    <t>Coolant Velocity</t>
  </si>
  <si>
    <t>m/s</t>
  </si>
  <si>
    <t>Tebal Gap</t>
  </si>
  <si>
    <t>delta</t>
  </si>
  <si>
    <t>Properties of Water at Tfl,avg</t>
  </si>
  <si>
    <t>Konstanta Stephan-Boltzmann</t>
  </si>
  <si>
    <t>sigma kecil</t>
  </si>
  <si>
    <t>Fuel Emmisivity</t>
  </si>
  <si>
    <t>epsilon f</t>
  </si>
  <si>
    <t>asumsi sama dengan UO2</t>
  </si>
  <si>
    <t>Tekanan</t>
  </si>
  <si>
    <t>Cladding Emissivity</t>
  </si>
  <si>
    <t>epsilon c</t>
  </si>
  <si>
    <t>asumsi sama dengan Zr-1%Nb Alloy</t>
  </si>
  <si>
    <t>kg/m3</t>
  </si>
  <si>
    <t>A</t>
  </si>
  <si>
    <t>Viskositas (miu)</t>
  </si>
  <si>
    <t>Pa.s</t>
  </si>
  <si>
    <t>Cp</t>
  </si>
  <si>
    <t>kJ/kg.K</t>
  </si>
  <si>
    <t>Hitung Suhu GAP</t>
  </si>
  <si>
    <t>Konduktivitas</t>
  </si>
  <si>
    <t>W/m.K</t>
  </si>
  <si>
    <t>Iterasi</t>
  </si>
  <si>
    <t>Kiri</t>
  </si>
  <si>
    <t>Tengah</t>
  </si>
  <si>
    <t>Kanan</t>
  </si>
  <si>
    <t>Error</t>
  </si>
  <si>
    <t>Tcli</t>
  </si>
  <si>
    <t>B</t>
  </si>
  <si>
    <t>Hasil</t>
  </si>
  <si>
    <t>Perhitungan h (heat coefficient)</t>
  </si>
  <si>
    <t>Re</t>
  </si>
  <si>
    <t>Pr</t>
  </si>
  <si>
    <t>Nu</t>
  </si>
  <si>
    <t>h</t>
  </si>
  <si>
    <t>Perhitung Tclo</t>
  </si>
  <si>
    <t>Tclo</t>
  </si>
  <si>
    <t>Suhu Rata2 Cladding</t>
  </si>
  <si>
    <t>Tgap</t>
  </si>
  <si>
    <t>Fuel Assembly 1</t>
  </si>
  <si>
    <t>Komponen</t>
  </si>
  <si>
    <t>Penyusun</t>
  </si>
  <si>
    <t>Pengkayaan (Wt)</t>
  </si>
  <si>
    <t>Ar Isotop</t>
  </si>
  <si>
    <t>Ar Unsur</t>
  </si>
  <si>
    <t>Mr</t>
  </si>
  <si>
    <t>Abundance</t>
  </si>
  <si>
    <t>Mr Fuel (g/mol)</t>
  </si>
  <si>
    <t>Densitas (g/cc)</t>
  </si>
  <si>
    <t>Asumsi Massa (g)</t>
  </si>
  <si>
    <t>Massa Komponen (g)</t>
  </si>
  <si>
    <t>Volume Komponen (cc)</t>
  </si>
  <si>
    <t>Volume Total (cc)</t>
  </si>
  <si>
    <t>Fraksi Volume</t>
  </si>
  <si>
    <t>Densitas Campuran (versi volume) (g/cc)</t>
  </si>
  <si>
    <t>PuO2</t>
  </si>
  <si>
    <t>UO2</t>
  </si>
  <si>
    <t>Fuel Assembly 2</t>
  </si>
  <si>
    <t>Gd</t>
  </si>
  <si>
    <t>Tebal Aksial</t>
  </si>
  <si>
    <t>Tebal Radial</t>
  </si>
  <si>
    <t>SS304L</t>
  </si>
  <si>
    <t>XP010000</t>
  </si>
  <si>
    <t>W/(cm2.K4)</t>
  </si>
  <si>
    <t>k/delta g</t>
  </si>
  <si>
    <t>Burn Up Steps</t>
  </si>
  <si>
    <t>Average</t>
  </si>
  <si>
    <t>varfuel14</t>
  </si>
  <si>
    <t>Mol Komponen</t>
  </si>
  <si>
    <t>Fraksi Mol</t>
  </si>
  <si>
    <t>BOC</t>
  </si>
  <si>
    <t>EO4C</t>
  </si>
  <si>
    <t>Axial Power Density of Best Design (varclad1)</t>
  </si>
  <si>
    <t>Untuk HIST</t>
  </si>
  <si>
    <t>Volume BBN tiap Node</t>
  </si>
  <si>
    <t>Fraksi BBN di Node</t>
  </si>
  <si>
    <t>Awal Tahun Ke-0</t>
  </si>
  <si>
    <t>Akhir Tahun Ke-1</t>
  </si>
  <si>
    <t>Akhir Tahun Ke-3</t>
  </si>
  <si>
    <t>Akhir Tahun Ke-5</t>
  </si>
  <si>
    <t>Akhir Tahun Ke-7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</si>
</sst>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0E+00"/>
    <numFmt numFmtId="165" formatCode="0.00000E+00"/>
    <numFmt numFmtId="166" formatCode="0.000"/>
    <numFmt numFmtId="167" formatCode="0.000000000000"/>
    <numFmt numFmtId="168" formatCode="0.00000000"/>
    <numFmt numFmtId="169" formatCode="0.0000000"/>
    <numFmt numFmtId="170" formatCode="0.0000000000000"/>
    <numFmt numFmtId="171" formatCode="0.000000"/>
    <numFmt numFmtId="172" formatCode="0.0000E+00"/>
    <numFmt numFmtId="173" formatCode="0.00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22222"/>
      <name val="Arial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11" fontId="0" fillId="0" borderId="1" xfId="0" applyNumberFormat="1" applyBorder="1"/>
    <xf numFmtId="0" fontId="0" fillId="0" borderId="1" xfId="0" applyFill="1" applyBorder="1"/>
    <xf numFmtId="0" fontId="0" fillId="0" borderId="2" xfId="0" applyFill="1" applyBorder="1"/>
    <xf numFmtId="0" fontId="1" fillId="0" borderId="1" xfId="0" applyFont="1" applyBorder="1" applyAlignment="1">
      <alignment horizontal="center"/>
    </xf>
    <xf numFmtId="0" fontId="0" fillId="0" borderId="0" xfId="0" applyBorder="1"/>
    <xf numFmtId="164" fontId="0" fillId="0" borderId="1" xfId="0" applyNumberFormat="1" applyBorder="1"/>
    <xf numFmtId="0" fontId="1" fillId="0" borderId="1" xfId="0" applyFont="1" applyBorder="1" applyAlignment="1"/>
    <xf numFmtId="0" fontId="1" fillId="0" borderId="0" xfId="0" applyFont="1" applyBorder="1" applyAlignment="1">
      <alignment horizontal="center"/>
    </xf>
    <xf numFmtId="0" fontId="0" fillId="0" borderId="8" xfId="0" applyBorder="1"/>
    <xf numFmtId="0" fontId="0" fillId="0" borderId="12" xfId="0" applyBorder="1"/>
    <xf numFmtId="0" fontId="0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165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NumberFormat="1" applyBorder="1"/>
    <xf numFmtId="0" fontId="0" fillId="0" borderId="1" xfId="0" applyBorder="1" applyAlignment="1">
      <alignment horizontal="center" vertical="center"/>
    </xf>
    <xf numFmtId="9" fontId="1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0" fontId="0" fillId="3" borderId="0" xfId="0" applyFill="1"/>
    <xf numFmtId="0" fontId="1" fillId="0" borderId="1" xfId="0" applyFont="1" applyBorder="1" applyAlignment="1">
      <alignment horizontal="center"/>
    </xf>
    <xf numFmtId="166" fontId="0" fillId="0" borderId="1" xfId="0" applyNumberFormat="1" applyBorder="1"/>
    <xf numFmtId="0" fontId="0" fillId="5" borderId="0" xfId="0" applyFill="1"/>
    <xf numFmtId="0" fontId="3" fillId="0" borderId="1" xfId="0" applyFont="1" applyBorder="1"/>
    <xf numFmtId="0" fontId="0" fillId="0" borderId="11" xfId="0" applyBorder="1" applyAlignment="1"/>
    <xf numFmtId="0" fontId="0" fillId="0" borderId="1" xfId="0" applyFont="1" applyFill="1" applyBorder="1" applyAlignment="1">
      <alignment horizontal="center"/>
    </xf>
    <xf numFmtId="0" fontId="0" fillId="0" borderId="14" xfId="0" applyBorder="1"/>
    <xf numFmtId="0" fontId="0" fillId="0" borderId="0" xfId="0" applyFont="1" applyBorder="1" applyAlignment="1">
      <alignment horizontal="center"/>
    </xf>
    <xf numFmtId="0" fontId="4" fillId="0" borderId="2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3" xfId="0" applyFont="1" applyFill="1" applyBorder="1" applyAlignment="1">
      <alignment vertical="center"/>
    </xf>
    <xf numFmtId="167" fontId="0" fillId="3" borderId="1" xfId="0" applyNumberFormat="1" applyFill="1" applyBorder="1"/>
    <xf numFmtId="168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0" xfId="0" applyAlignment="1"/>
    <xf numFmtId="0" fontId="0" fillId="0" borderId="1" xfId="0" applyFill="1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0" xfId="0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69" fontId="0" fillId="0" borderId="1" xfId="0" applyNumberFormat="1" applyFill="1" applyBorder="1"/>
    <xf numFmtId="171" fontId="0" fillId="0" borderId="1" xfId="0" applyNumberFormat="1" applyFill="1" applyBorder="1"/>
    <xf numFmtId="0" fontId="0" fillId="0" borderId="1" xfId="0" applyNumberFormat="1" applyFill="1" applyBorder="1"/>
    <xf numFmtId="172" fontId="0" fillId="0" borderId="1" xfId="0" applyNumberFormat="1" applyBorder="1"/>
    <xf numFmtId="11" fontId="0" fillId="0" borderId="0" xfId="0" applyNumberFormat="1"/>
    <xf numFmtId="169" fontId="0" fillId="0" borderId="0" xfId="0" applyNumberFormat="1" applyFill="1"/>
    <xf numFmtId="171" fontId="0" fillId="0" borderId="0" xfId="0" applyNumberFormat="1" applyFill="1"/>
    <xf numFmtId="169" fontId="0" fillId="3" borderId="1" xfId="0" applyNumberFormat="1" applyFill="1" applyBorder="1"/>
    <xf numFmtId="0" fontId="0" fillId="0" borderId="7" xfId="0" applyBorder="1" applyAlignment="1"/>
    <xf numFmtId="169" fontId="0" fillId="0" borderId="3" xfId="0" applyNumberFormat="1" applyFill="1" applyBorder="1"/>
    <xf numFmtId="169" fontId="0" fillId="0" borderId="4" xfId="0" applyNumberFormat="1" applyFill="1" applyBorder="1"/>
    <xf numFmtId="171" fontId="0" fillId="0" borderId="3" xfId="0" applyNumberFormat="1" applyFill="1" applyBorder="1"/>
    <xf numFmtId="0" fontId="0" fillId="0" borderId="0" xfId="0" applyBorder="1" applyAlignment="1"/>
    <xf numFmtId="169" fontId="0" fillId="3" borderId="4" xfId="0" applyNumberFormat="1" applyFill="1" applyBorder="1"/>
    <xf numFmtId="169" fontId="0" fillId="3" borderId="3" xfId="0" applyNumberFormat="1" applyFill="1" applyBorder="1"/>
    <xf numFmtId="0" fontId="0" fillId="0" borderId="0" xfId="0" applyNumberFormat="1"/>
    <xf numFmtId="164" fontId="0" fillId="0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15" xfId="0" applyBorder="1"/>
    <xf numFmtId="0" fontId="0" fillId="6" borderId="7" xfId="0" applyFill="1" applyBorder="1"/>
    <xf numFmtId="0" fontId="0" fillId="3" borderId="7" xfId="0" applyFill="1" applyBorder="1"/>
    <xf numFmtId="0" fontId="0" fillId="6" borderId="0" xfId="0" applyFill="1" applyBorder="1"/>
    <xf numFmtId="0" fontId="0" fillId="3" borderId="0" xfId="0" applyFill="1" applyBorder="1"/>
    <xf numFmtId="0" fontId="0" fillId="3" borderId="12" xfId="0" applyFill="1" applyBorder="1"/>
    <xf numFmtId="0" fontId="0" fillId="3" borderId="8" xfId="0" applyFill="1" applyBorder="1"/>
    <xf numFmtId="0" fontId="0" fillId="6" borderId="12" xfId="0" applyFill="1" applyBorder="1"/>
    <xf numFmtId="0" fontId="0" fillId="6" borderId="8" xfId="0" applyFill="1" applyBorder="1"/>
    <xf numFmtId="0" fontId="0" fillId="0" borderId="12" xfId="0" applyFill="1" applyBorder="1"/>
    <xf numFmtId="0" fontId="0" fillId="0" borderId="9" xfId="0" applyBorder="1"/>
    <xf numFmtId="0" fontId="0" fillId="6" borderId="10" xfId="0" applyFill="1" applyBorder="1"/>
    <xf numFmtId="0" fontId="0" fillId="3" borderId="10" xfId="0" applyFill="1" applyBorder="1"/>
    <xf numFmtId="0" fontId="0" fillId="0" borderId="12" xfId="0" applyNumberFormat="1" applyFill="1" applyBorder="1"/>
    <xf numFmtId="0" fontId="0" fillId="0" borderId="0" xfId="0" applyNumberFormat="1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2" xfId="0" applyFont="1" applyFill="1" applyBorder="1" applyAlignment="1">
      <alignment horizontal="center"/>
    </xf>
    <xf numFmtId="0" fontId="1" fillId="0" borderId="0" xfId="0" applyFont="1"/>
    <xf numFmtId="166" fontId="0" fillId="0" borderId="1" xfId="0" applyNumberFormat="1" applyFill="1" applyBorder="1"/>
    <xf numFmtId="169" fontId="0" fillId="0" borderId="0" xfId="0" applyNumberFormat="1"/>
    <xf numFmtId="0" fontId="0" fillId="0" borderId="0" xfId="0" applyFill="1" applyBorder="1"/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6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/>
    <xf numFmtId="168" fontId="0" fillId="0" borderId="0" xfId="0" applyNumberFormat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Border="1" applyAlignment="1">
      <alignment horizontal="right" vertical="center"/>
    </xf>
    <xf numFmtId="0" fontId="0" fillId="0" borderId="3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11" fontId="0" fillId="0" borderId="1" xfId="0" applyNumberFormat="1" applyFont="1" applyBorder="1" applyAlignment="1">
      <alignment horizontal="right"/>
    </xf>
    <xf numFmtId="11" fontId="0" fillId="0" borderId="1" xfId="0" applyNumberFormat="1" applyFont="1" applyBorder="1" applyAlignment="1"/>
    <xf numFmtId="0" fontId="0" fillId="0" borderId="1" xfId="0" applyNumberFormat="1" applyFont="1" applyFill="1" applyBorder="1" applyAlignment="1">
      <alignment horizontal="right"/>
    </xf>
    <xf numFmtId="0" fontId="0" fillId="0" borderId="3" xfId="0" applyNumberFormat="1" applyFont="1" applyFill="1" applyBorder="1" applyAlignment="1">
      <alignment horizontal="right"/>
    </xf>
    <xf numFmtId="11" fontId="0" fillId="0" borderId="1" xfId="0" applyNumberFormat="1" applyFont="1" applyFill="1" applyBorder="1" applyAlignment="1"/>
    <xf numFmtId="11" fontId="0" fillId="0" borderId="1" xfId="0" applyNumberFormat="1" applyFont="1" applyFill="1" applyBorder="1" applyAlignment="1">
      <alignment horizontal="right"/>
    </xf>
    <xf numFmtId="0" fontId="0" fillId="0" borderId="0" xfId="0" applyNumberFormat="1" applyBorder="1"/>
    <xf numFmtId="169" fontId="0" fillId="0" borderId="1" xfId="0" applyNumberFormat="1" applyBorder="1"/>
    <xf numFmtId="11" fontId="0" fillId="0" borderId="1" xfId="0" applyNumberFormat="1" applyFill="1" applyBorder="1"/>
    <xf numFmtId="171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/>
    <xf numFmtId="171" fontId="0" fillId="0" borderId="3" xfId="0" applyNumberFormat="1" applyFont="1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7" borderId="1" xfId="0" applyFill="1" applyBorder="1"/>
    <xf numFmtId="0" fontId="0" fillId="8" borderId="1" xfId="0" applyFill="1" applyBorder="1"/>
    <xf numFmtId="164" fontId="0" fillId="0" borderId="0" xfId="0" applyNumberFormat="1" applyBorder="1"/>
    <xf numFmtId="169" fontId="0" fillId="0" borderId="1" xfId="0" applyNumberFormat="1" applyFont="1" applyBorder="1"/>
    <xf numFmtId="17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14" xfId="0" applyNumberFormat="1" applyBorder="1"/>
    <xf numFmtId="0" fontId="1" fillId="3" borderId="1" xfId="0" applyFont="1" applyFill="1" applyBorder="1" applyAlignment="1">
      <alignment horizontal="center" vertical="center"/>
    </xf>
    <xf numFmtId="4" fontId="0" fillId="0" borderId="1" xfId="0" applyNumberFormat="1" applyFont="1" applyBorder="1"/>
    <xf numFmtId="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0" fillId="0" borderId="1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8" fontId="0" fillId="0" borderId="14" xfId="0" applyNumberFormat="1" applyFont="1" applyFill="1" applyBorder="1" applyAlignment="1">
      <alignment horizontal="center" vertical="center"/>
    </xf>
    <xf numFmtId="168" fontId="0" fillId="0" borderId="2" xfId="0" applyNumberFormat="1" applyFont="1" applyFill="1" applyBorder="1" applyAlignment="1">
      <alignment horizontal="center" vertical="center"/>
    </xf>
    <xf numFmtId="168" fontId="0" fillId="0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0" fontId="0" fillId="0" borderId="1" xfId="0" applyNumberFormat="1" applyBorder="1" applyAlignment="1">
      <alignment horizontal="center"/>
    </xf>
    <xf numFmtId="173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Hasil!$H$9</c:f>
              <c:strCache>
                <c:ptCount val="1"/>
                <c:pt idx="0">
                  <c:v>Benchmark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Hasil!$G$10:$G$74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Hasil!$H$10:$H$74</c:f>
              <c:numCache>
                <c:formatCode>General</c:formatCode>
                <c:ptCount val="65"/>
                <c:pt idx="0">
                  <c:v>1.1035820999999999</c:v>
                </c:pt>
                <c:pt idx="1">
                  <c:v>1.0720516</c:v>
                </c:pt>
                <c:pt idx="2">
                  <c:v>1.0714644</c:v>
                </c:pt>
                <c:pt idx="3">
                  <c:v>1.0695281999999999</c:v>
                </c:pt>
                <c:pt idx="4">
                  <c:v>1.0671405</c:v>
                </c:pt>
                <c:pt idx="5">
                  <c:v>1.0629377</c:v>
                </c:pt>
                <c:pt idx="6">
                  <c:v>1.0602526999999999</c:v>
                </c:pt>
                <c:pt idx="7">
                  <c:v>1.0544766999999999</c:v>
                </c:pt>
                <c:pt idx="8">
                  <c:v>1.0504937999999999</c:v>
                </c:pt>
                <c:pt idx="9">
                  <c:v>1.0487412</c:v>
                </c:pt>
                <c:pt idx="10">
                  <c:v>1.0501573</c:v>
                </c:pt>
                <c:pt idx="11">
                  <c:v>1.0563487</c:v>
                </c:pt>
                <c:pt idx="12">
                  <c:v>1.0669028</c:v>
                </c:pt>
                <c:pt idx="13">
                  <c:v>1.0802451</c:v>
                </c:pt>
                <c:pt idx="14">
                  <c:v>1.0899519</c:v>
                </c:pt>
                <c:pt idx="15">
                  <c:v>1.0890678</c:v>
                </c:pt>
                <c:pt idx="16">
                  <c:v>1.0850519000000001</c:v>
                </c:pt>
                <c:pt idx="17">
                  <c:v>1.0851443000000001</c:v>
                </c:pt>
                <c:pt idx="18">
                  <c:v>1.0796911</c:v>
                </c:pt>
                <c:pt idx="19">
                  <c:v>1.0745792000000001</c:v>
                </c:pt>
                <c:pt idx="20">
                  <c:v>1.0712229</c:v>
                </c:pt>
                <c:pt idx="21">
                  <c:v>1.0697478</c:v>
                </c:pt>
                <c:pt idx="22">
                  <c:v>1.0698274000000001</c:v>
                </c:pt>
                <c:pt idx="23">
                  <c:v>1.0695101</c:v>
                </c:pt>
                <c:pt idx="24">
                  <c:v>1.0673044</c:v>
                </c:pt>
                <c:pt idx="25">
                  <c:v>1.0648493999999999</c:v>
                </c:pt>
                <c:pt idx="26">
                  <c:v>1.0614775000000001</c:v>
                </c:pt>
                <c:pt idx="27">
                  <c:v>1.0575437999999999</c:v>
                </c:pt>
                <c:pt idx="28">
                  <c:v>1.0540456</c:v>
                </c:pt>
                <c:pt idx="29">
                  <c:v>1.0503513</c:v>
                </c:pt>
                <c:pt idx="30">
                  <c:v>1.0474490000000001</c:v>
                </c:pt>
                <c:pt idx="31">
                  <c:v>1.0447061</c:v>
                </c:pt>
                <c:pt idx="32">
                  <c:v>1.0425732000000001</c:v>
                </c:pt>
                <c:pt idx="33">
                  <c:v>1.0401376</c:v>
                </c:pt>
                <c:pt idx="34">
                  <c:v>1.0378569</c:v>
                </c:pt>
                <c:pt idx="35">
                  <c:v>1.0353406999999999</c:v>
                </c:pt>
                <c:pt idx="36">
                  <c:v>1.0330321</c:v>
                </c:pt>
                <c:pt idx="37">
                  <c:v>1.0311634999999999</c:v>
                </c:pt>
                <c:pt idx="38">
                  <c:v>1.0291526</c:v>
                </c:pt>
                <c:pt idx="39">
                  <c:v>1.0268739</c:v>
                </c:pt>
                <c:pt idx="40">
                  <c:v>1.0250367</c:v>
                </c:pt>
                <c:pt idx="41">
                  <c:v>1.0250587</c:v>
                </c:pt>
                <c:pt idx="42">
                  <c:v>1.0225519000000001</c:v>
                </c:pt>
                <c:pt idx="43">
                  <c:v>1.020472</c:v>
                </c:pt>
                <c:pt idx="44">
                  <c:v>1.0181636000000001</c:v>
                </c:pt>
                <c:pt idx="45">
                  <c:v>1.0158895999999999</c:v>
                </c:pt>
                <c:pt idx="46">
                  <c:v>1.0137388000000001</c:v>
                </c:pt>
                <c:pt idx="47">
                  <c:v>1.0113713</c:v>
                </c:pt>
                <c:pt idx="48">
                  <c:v>1.0090014</c:v>
                </c:pt>
                <c:pt idx="49">
                  <c:v>1.0065010000000001</c:v>
                </c:pt>
                <c:pt idx="50">
                  <c:v>1.0039393000000001</c:v>
                </c:pt>
                <c:pt idx="51">
                  <c:v>1.0015129</c:v>
                </c:pt>
                <c:pt idx="52">
                  <c:v>0.99908710000000001</c:v>
                </c:pt>
                <c:pt idx="53">
                  <c:v>0.99624159999999995</c:v>
                </c:pt>
                <c:pt idx="54">
                  <c:v>0.9936526</c:v>
                </c:pt>
                <c:pt idx="55">
                  <c:v>0.99117449999999996</c:v>
                </c:pt>
                <c:pt idx="56">
                  <c:v>0.9884406</c:v>
                </c:pt>
                <c:pt idx="57">
                  <c:v>0.98535010000000001</c:v>
                </c:pt>
                <c:pt idx="58">
                  <c:v>0.98233159999999997</c:v>
                </c:pt>
                <c:pt idx="59">
                  <c:v>0.97935530000000004</c:v>
                </c:pt>
                <c:pt idx="60">
                  <c:v>0.97600469999999995</c:v>
                </c:pt>
                <c:pt idx="61">
                  <c:v>0.97261629999999999</c:v>
                </c:pt>
                <c:pt idx="62">
                  <c:v>0.96926179999999995</c:v>
                </c:pt>
                <c:pt idx="63">
                  <c:v>0.96584119999999996</c:v>
                </c:pt>
                <c:pt idx="64">
                  <c:v>0.96243809999999996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Hasil!$I$9</c:f>
              <c:strCache>
                <c:ptCount val="1"/>
                <c:pt idx="0">
                  <c:v>Zircalloy-4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Hasil!$G$10:$G$74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Hasil!$I$10:$I$74</c:f>
              <c:numCache>
                <c:formatCode>0.0000000</c:formatCode>
                <c:ptCount val="65"/>
                <c:pt idx="0">
                  <c:v>1.0745932</c:v>
                </c:pt>
                <c:pt idx="1">
                  <c:v>1.0656914</c:v>
                </c:pt>
                <c:pt idx="2">
                  <c:v>1.0656106000000001</c:v>
                </c:pt>
                <c:pt idx="3">
                  <c:v>1.0648196000000001</c:v>
                </c:pt>
                <c:pt idx="4">
                  <c:v>1.0638406</c:v>
                </c:pt>
                <c:pt idx="5">
                  <c:v>1.0618764999999999</c:v>
                </c:pt>
                <c:pt idx="6">
                  <c:v>1.0602205</c:v>
                </c:pt>
                <c:pt idx="7">
                  <c:v>1.0562358000000001</c:v>
                </c:pt>
                <c:pt idx="8">
                  <c:v>1.0532428</c:v>
                </c:pt>
                <c:pt idx="9">
                  <c:v>1.0508776</c:v>
                </c:pt>
                <c:pt idx="10">
                  <c:v>1.0489609</c:v>
                </c:pt>
                <c:pt idx="11">
                  <c:v>1.0474032</c:v>
                </c:pt>
                <c:pt idx="12">
                  <c:v>1.0461530999999999</c:v>
                </c:pt>
                <c:pt idx="13">
                  <c:v>1.0451379000000001</c:v>
                </c:pt>
                <c:pt idx="14">
                  <c:v>1.0442697000000001</c:v>
                </c:pt>
                <c:pt idx="15">
                  <c:v>1.0436566</c:v>
                </c:pt>
                <c:pt idx="16">
                  <c:v>1.0430387000000001</c:v>
                </c:pt>
                <c:pt idx="17">
                  <c:v>1.0430428</c:v>
                </c:pt>
                <c:pt idx="18">
                  <c:v>1.0426381</c:v>
                </c:pt>
                <c:pt idx="19">
                  <c:v>1.0421115000000001</c:v>
                </c:pt>
                <c:pt idx="20">
                  <c:v>1.0415988</c:v>
                </c:pt>
                <c:pt idx="21">
                  <c:v>1.0408980999999999</c:v>
                </c:pt>
                <c:pt idx="22">
                  <c:v>1.0400794</c:v>
                </c:pt>
                <c:pt idx="23">
                  <c:v>1.0391518</c:v>
                </c:pt>
                <c:pt idx="24">
                  <c:v>1.0381351000000001</c:v>
                </c:pt>
                <c:pt idx="25">
                  <c:v>1.0369192</c:v>
                </c:pt>
                <c:pt idx="26">
                  <c:v>1.0356278000000001</c:v>
                </c:pt>
                <c:pt idx="27">
                  <c:v>1.0344168</c:v>
                </c:pt>
                <c:pt idx="28">
                  <c:v>1.0332698</c:v>
                </c:pt>
                <c:pt idx="29">
                  <c:v>1.0317752</c:v>
                </c:pt>
                <c:pt idx="30">
                  <c:v>1.0304869000000001</c:v>
                </c:pt>
                <c:pt idx="31">
                  <c:v>1.0292337</c:v>
                </c:pt>
                <c:pt idx="32">
                  <c:v>1.0279588</c:v>
                </c:pt>
                <c:pt idx="33">
                  <c:v>1.0266869999999999</c:v>
                </c:pt>
                <c:pt idx="34">
                  <c:v>1.0253702</c:v>
                </c:pt>
                <c:pt idx="35">
                  <c:v>1.024044</c:v>
                </c:pt>
                <c:pt idx="36">
                  <c:v>1.0227782999999999</c:v>
                </c:pt>
                <c:pt idx="37">
                  <c:v>1.0214380000000001</c:v>
                </c:pt>
                <c:pt idx="38">
                  <c:v>1.0200549000000001</c:v>
                </c:pt>
                <c:pt idx="39">
                  <c:v>1.0187457</c:v>
                </c:pt>
                <c:pt idx="40">
                  <c:v>1.0173752</c:v>
                </c:pt>
                <c:pt idx="41">
                  <c:v>1.0173873</c:v>
                </c:pt>
                <c:pt idx="42">
                  <c:v>1.0160203000000001</c:v>
                </c:pt>
                <c:pt idx="43">
                  <c:v>1.0146637999999999</c:v>
                </c:pt>
                <c:pt idx="44">
                  <c:v>1.0133046999999999</c:v>
                </c:pt>
                <c:pt idx="45">
                  <c:v>1.0120106</c:v>
                </c:pt>
                <c:pt idx="46">
                  <c:v>1.0106820999999999</c:v>
                </c:pt>
                <c:pt idx="47">
                  <c:v>1.0094205000000001</c:v>
                </c:pt>
                <c:pt idx="48">
                  <c:v>1.008127</c:v>
                </c:pt>
                <c:pt idx="49">
                  <c:v>1.0068051</c:v>
                </c:pt>
                <c:pt idx="50">
                  <c:v>1.0055107999999999</c:v>
                </c:pt>
                <c:pt idx="51">
                  <c:v>1.0042127000000001</c:v>
                </c:pt>
                <c:pt idx="52">
                  <c:v>1.0029273000000001</c:v>
                </c:pt>
                <c:pt idx="53">
                  <c:v>1.0014189</c:v>
                </c:pt>
                <c:pt idx="54">
                  <c:v>1.0002622999999999</c:v>
                </c:pt>
                <c:pt idx="55">
                  <c:v>0.99881200000000003</c:v>
                </c:pt>
                <c:pt idx="56">
                  <c:v>0.99764600000000003</c:v>
                </c:pt>
                <c:pt idx="57">
                  <c:v>0.99633769999999999</c:v>
                </c:pt>
                <c:pt idx="58">
                  <c:v>0.99509420000000004</c:v>
                </c:pt>
                <c:pt idx="59">
                  <c:v>0.99395199999999995</c:v>
                </c:pt>
                <c:pt idx="60">
                  <c:v>0.99254730000000002</c:v>
                </c:pt>
                <c:pt idx="61">
                  <c:v>0.99136219999999997</c:v>
                </c:pt>
                <c:pt idx="62">
                  <c:v>0.99005889999999996</c:v>
                </c:pt>
                <c:pt idx="63">
                  <c:v>0.98900189999999999</c:v>
                </c:pt>
                <c:pt idx="64">
                  <c:v>0.98756820000000001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Hasil!$J$9</c:f>
              <c:strCache>
                <c:ptCount val="1"/>
                <c:pt idx="0">
                  <c:v>D9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Hasil!$G$10:$G$74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Hasil!$J$10:$J$74</c:f>
              <c:numCache>
                <c:formatCode>0.0000000</c:formatCode>
                <c:ptCount val="65"/>
                <c:pt idx="0">
                  <c:v>1.0434277999999999</c:v>
                </c:pt>
                <c:pt idx="1">
                  <c:v>1.0352528999999999</c:v>
                </c:pt>
                <c:pt idx="2">
                  <c:v>1.0351634000000001</c:v>
                </c:pt>
                <c:pt idx="3">
                  <c:v>1.0343659999999999</c:v>
                </c:pt>
                <c:pt idx="4">
                  <c:v>1.0333798000000001</c:v>
                </c:pt>
                <c:pt idx="5">
                  <c:v>1.0314095999999999</c:v>
                </c:pt>
                <c:pt idx="6">
                  <c:v>1.029771</c:v>
                </c:pt>
                <c:pt idx="7">
                  <c:v>1.0258323</c:v>
                </c:pt>
                <c:pt idx="8">
                  <c:v>1.0228535999999999</c:v>
                </c:pt>
                <c:pt idx="9">
                  <c:v>1.0204690000000001</c:v>
                </c:pt>
                <c:pt idx="10">
                  <c:v>1.0184972999999999</c:v>
                </c:pt>
                <c:pt idx="11">
                  <c:v>1.0168600999999999</c:v>
                </c:pt>
                <c:pt idx="12">
                  <c:v>1.0155129000000001</c:v>
                </c:pt>
                <c:pt idx="13">
                  <c:v>1.0143852</c:v>
                </c:pt>
                <c:pt idx="14">
                  <c:v>1.0134151</c:v>
                </c:pt>
                <c:pt idx="15">
                  <c:v>1.0126637999999999</c:v>
                </c:pt>
                <c:pt idx="16">
                  <c:v>1.011927</c:v>
                </c:pt>
                <c:pt idx="17">
                  <c:v>1.0119324000000001</c:v>
                </c:pt>
                <c:pt idx="18">
                  <c:v>1.0113927</c:v>
                </c:pt>
                <c:pt idx="19">
                  <c:v>1.0107436999999999</c:v>
                </c:pt>
                <c:pt idx="20">
                  <c:v>1.0101335</c:v>
                </c:pt>
                <c:pt idx="21">
                  <c:v>1.0093386</c:v>
                </c:pt>
                <c:pt idx="22">
                  <c:v>1.0084713999999999</c:v>
                </c:pt>
                <c:pt idx="23">
                  <c:v>1.0074707000000001</c:v>
                </c:pt>
                <c:pt idx="24">
                  <c:v>1.0064256</c:v>
                </c:pt>
                <c:pt idx="25">
                  <c:v>1.0051745000000001</c:v>
                </c:pt>
                <c:pt idx="26">
                  <c:v>1.0038686999999999</c:v>
                </c:pt>
                <c:pt idx="27">
                  <c:v>1.0026382</c:v>
                </c:pt>
                <c:pt idx="28">
                  <c:v>1.0014643999999999</c:v>
                </c:pt>
                <c:pt idx="29" formatCode="General">
                  <c:v>0.99996189999999996</c:v>
                </c:pt>
                <c:pt idx="30" formatCode="General">
                  <c:v>0.9986505</c:v>
                </c:pt>
                <c:pt idx="31" formatCode="General">
                  <c:v>0.99738090000000001</c:v>
                </c:pt>
                <c:pt idx="32" formatCode="General">
                  <c:v>0.99610319999999997</c:v>
                </c:pt>
                <c:pt idx="33" formatCode="General">
                  <c:v>0.99485330000000005</c:v>
                </c:pt>
                <c:pt idx="34" formatCode="General">
                  <c:v>0.99352149999999995</c:v>
                </c:pt>
                <c:pt idx="35" formatCode="General">
                  <c:v>0.99220470000000005</c:v>
                </c:pt>
                <c:pt idx="36" formatCode="General">
                  <c:v>0.99094539999999998</c:v>
                </c:pt>
                <c:pt idx="37" formatCode="General">
                  <c:v>0.98962760000000005</c:v>
                </c:pt>
                <c:pt idx="38" formatCode="General">
                  <c:v>0.98821859999999995</c:v>
                </c:pt>
                <c:pt idx="39" formatCode="General">
                  <c:v>0.98688330000000002</c:v>
                </c:pt>
                <c:pt idx="40" formatCode="General">
                  <c:v>0.98555340000000002</c:v>
                </c:pt>
                <c:pt idx="41" formatCode="General">
                  <c:v>0.98556699999999997</c:v>
                </c:pt>
                <c:pt idx="42" formatCode="General">
                  <c:v>0.98419990000000002</c:v>
                </c:pt>
                <c:pt idx="43" formatCode="General">
                  <c:v>0.98286229999999997</c:v>
                </c:pt>
                <c:pt idx="44" formatCode="General">
                  <c:v>0.98153250000000003</c:v>
                </c:pt>
                <c:pt idx="45" formatCode="General">
                  <c:v>0.98018280000000002</c:v>
                </c:pt>
                <c:pt idx="46" formatCode="General">
                  <c:v>0.97891059999999996</c:v>
                </c:pt>
                <c:pt idx="47" formatCode="General">
                  <c:v>0.97770630000000003</c:v>
                </c:pt>
                <c:pt idx="48" formatCode="General">
                  <c:v>0.9763288</c:v>
                </c:pt>
                <c:pt idx="49" formatCode="General">
                  <c:v>0.97504900000000005</c:v>
                </c:pt>
                <c:pt idx="50" formatCode="General">
                  <c:v>0.97379649999999995</c:v>
                </c:pt>
                <c:pt idx="51" formatCode="General">
                  <c:v>0.97250460000000005</c:v>
                </c:pt>
                <c:pt idx="52" formatCode="General">
                  <c:v>0.97123179999999998</c:v>
                </c:pt>
                <c:pt idx="53" formatCode="General">
                  <c:v>0.96968509999999997</c:v>
                </c:pt>
                <c:pt idx="54" formatCode="General">
                  <c:v>0.96841509999999997</c:v>
                </c:pt>
                <c:pt idx="55" formatCode="General">
                  <c:v>0.96720090000000003</c:v>
                </c:pt>
                <c:pt idx="56" formatCode="General">
                  <c:v>0.96595450000000005</c:v>
                </c:pt>
                <c:pt idx="57" formatCode="General">
                  <c:v>0.96475820000000001</c:v>
                </c:pt>
                <c:pt idx="58" formatCode="General">
                  <c:v>0.96349379999999996</c:v>
                </c:pt>
                <c:pt idx="59" formatCode="General">
                  <c:v>0.96225559999999999</c:v>
                </c:pt>
                <c:pt idx="60" formatCode="General">
                  <c:v>0.9610147</c:v>
                </c:pt>
                <c:pt idx="61" formatCode="General">
                  <c:v>0.95978770000000002</c:v>
                </c:pt>
                <c:pt idx="62" formatCode="General">
                  <c:v>0.95851710000000001</c:v>
                </c:pt>
                <c:pt idx="63" formatCode="General">
                  <c:v>0.95730970000000004</c:v>
                </c:pt>
                <c:pt idx="64" formatCode="General">
                  <c:v>0.95620000000000005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Hasil!$K$9</c:f>
              <c:strCache>
                <c:ptCount val="1"/>
                <c:pt idx="0">
                  <c:v>HT9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Hasil!$G$10:$G$74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Hasil!$K$10:$K$74</c:f>
              <c:numCache>
                <c:formatCode>General</c:formatCode>
                <c:ptCount val="65"/>
                <c:pt idx="0">
                  <c:v>1.0519617000000001</c:v>
                </c:pt>
                <c:pt idx="1">
                  <c:v>1.0436364</c:v>
                </c:pt>
                <c:pt idx="2">
                  <c:v>1.0435506000000001</c:v>
                </c:pt>
                <c:pt idx="3">
                  <c:v>1.0427512000000001</c:v>
                </c:pt>
                <c:pt idx="4">
                  <c:v>1.0417639999999999</c:v>
                </c:pt>
                <c:pt idx="5">
                  <c:v>1.0397897</c:v>
                </c:pt>
                <c:pt idx="6">
                  <c:v>1.0381426</c:v>
                </c:pt>
                <c:pt idx="7">
                  <c:v>1.0341899000000001</c:v>
                </c:pt>
                <c:pt idx="8">
                  <c:v>1.0312009</c:v>
                </c:pt>
                <c:pt idx="9">
                  <c:v>1.0288184</c:v>
                </c:pt>
                <c:pt idx="10">
                  <c:v>1.0268600000000001</c:v>
                </c:pt>
                <c:pt idx="11">
                  <c:v>1.0252275</c:v>
                </c:pt>
                <c:pt idx="12">
                  <c:v>1.0239077999999999</c:v>
                </c:pt>
                <c:pt idx="13">
                  <c:v>1.0228010000000001</c:v>
                </c:pt>
                <c:pt idx="14">
                  <c:v>1.0218457000000001</c:v>
                </c:pt>
                <c:pt idx="15">
                  <c:v>1.0211359</c:v>
                </c:pt>
                <c:pt idx="16">
                  <c:v>1.0204161</c:v>
                </c:pt>
                <c:pt idx="17">
                  <c:v>1.0204214</c:v>
                </c:pt>
                <c:pt idx="18">
                  <c:v>1.0199106</c:v>
                </c:pt>
                <c:pt idx="19">
                  <c:v>1.0192714</c:v>
                </c:pt>
                <c:pt idx="20">
                  <c:v>1.0186827000000001</c:v>
                </c:pt>
                <c:pt idx="21">
                  <c:v>1.0178992</c:v>
                </c:pt>
                <c:pt idx="22">
                  <c:v>1.0170379000000001</c:v>
                </c:pt>
                <c:pt idx="23">
                  <c:v>1.0160524</c:v>
                </c:pt>
                <c:pt idx="24">
                  <c:v>1.0150043</c:v>
                </c:pt>
                <c:pt idx="25">
                  <c:v>1.0137299</c:v>
                </c:pt>
                <c:pt idx="26">
                  <c:v>1.0124340999999999</c:v>
                </c:pt>
                <c:pt idx="27">
                  <c:v>1.0112002</c:v>
                </c:pt>
                <c:pt idx="28">
                  <c:v>1.0100279000000001</c:v>
                </c:pt>
                <c:pt idx="29">
                  <c:v>1.0085150000000001</c:v>
                </c:pt>
                <c:pt idx="30">
                  <c:v>1.0072086</c:v>
                </c:pt>
                <c:pt idx="31">
                  <c:v>1.0059396</c:v>
                </c:pt>
                <c:pt idx="32">
                  <c:v>1.0046598</c:v>
                </c:pt>
                <c:pt idx="33">
                  <c:v>1.0033771</c:v>
                </c:pt>
                <c:pt idx="34">
                  <c:v>1.0020477999999999</c:v>
                </c:pt>
                <c:pt idx="35">
                  <c:v>1.0007439</c:v>
                </c:pt>
                <c:pt idx="36" formatCode="0.0000000">
                  <c:v>0.99944949999999999</c:v>
                </c:pt>
                <c:pt idx="37" formatCode="0.0000000">
                  <c:v>0.99813209999999997</c:v>
                </c:pt>
                <c:pt idx="38" formatCode="0.0000000">
                  <c:v>0.99673780000000001</c:v>
                </c:pt>
                <c:pt idx="39" formatCode="0.0000000">
                  <c:v>0.99536210000000003</c:v>
                </c:pt>
                <c:pt idx="40" formatCode="0.0000000">
                  <c:v>0.99405290000000002</c:v>
                </c:pt>
                <c:pt idx="41" formatCode="0.0000000">
                  <c:v>0.99404930000000002</c:v>
                </c:pt>
                <c:pt idx="42" formatCode="0.0000000">
                  <c:v>0.99272749999999998</c:v>
                </c:pt>
                <c:pt idx="43" formatCode="0.0000000">
                  <c:v>0.9913151</c:v>
                </c:pt>
                <c:pt idx="44" formatCode="0.0000000">
                  <c:v>0.98999760000000003</c:v>
                </c:pt>
                <c:pt idx="45" formatCode="0.0000000">
                  <c:v>0.9886665</c:v>
                </c:pt>
                <c:pt idx="46" formatCode="0.0000000">
                  <c:v>0.98737989999999998</c:v>
                </c:pt>
                <c:pt idx="47" formatCode="0.0000000">
                  <c:v>0.98610030000000004</c:v>
                </c:pt>
                <c:pt idx="48" formatCode="0.0000000">
                  <c:v>0.98481739999999995</c:v>
                </c:pt>
                <c:pt idx="49" formatCode="0.0000000">
                  <c:v>0.98346199999999995</c:v>
                </c:pt>
                <c:pt idx="50" formatCode="0.0000000">
                  <c:v>0.982294</c:v>
                </c:pt>
                <c:pt idx="51" formatCode="0.0000000">
                  <c:v>0.98085409999999995</c:v>
                </c:pt>
                <c:pt idx="52" formatCode="0.0000000">
                  <c:v>0.97962669999999996</c:v>
                </c:pt>
                <c:pt idx="53" formatCode="0.0000000">
                  <c:v>0.97820790000000002</c:v>
                </c:pt>
                <c:pt idx="54" formatCode="0.0000000">
                  <c:v>0.97679919999999998</c:v>
                </c:pt>
                <c:pt idx="55" formatCode="0.0000000">
                  <c:v>0.97562459999999995</c:v>
                </c:pt>
                <c:pt idx="56" formatCode="0.0000000">
                  <c:v>0.97431889999999999</c:v>
                </c:pt>
                <c:pt idx="57" formatCode="0.0000000">
                  <c:v>0.9731109</c:v>
                </c:pt>
                <c:pt idx="58" formatCode="0.0000000">
                  <c:v>0.97187170000000001</c:v>
                </c:pt>
                <c:pt idx="59" formatCode="0.0000000">
                  <c:v>0.9706205</c:v>
                </c:pt>
                <c:pt idx="60" formatCode="0.0000000">
                  <c:v>0.96937450000000003</c:v>
                </c:pt>
                <c:pt idx="61" formatCode="0.0000000">
                  <c:v>0.96808760000000005</c:v>
                </c:pt>
                <c:pt idx="62" formatCode="0.0000000">
                  <c:v>0.96687420000000002</c:v>
                </c:pt>
                <c:pt idx="63" formatCode="0.0000000">
                  <c:v>0.96569649999999996</c:v>
                </c:pt>
                <c:pt idx="64" formatCode="0.0000000">
                  <c:v>0.96447150000000004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Hasil!$L$9</c:f>
              <c:strCache>
                <c:ptCount val="1"/>
                <c:pt idx="0">
                  <c:v>Zr-2.5%Nb Alloy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Hasil!$G$10:$G$74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Hasil!$L$10:$L$74</c:f>
              <c:numCache>
                <c:formatCode>0.0000000</c:formatCode>
                <c:ptCount val="65"/>
                <c:pt idx="0">
                  <c:v>1.0736502000000001</c:v>
                </c:pt>
                <c:pt idx="1">
                  <c:v>1.0647696</c:v>
                </c:pt>
                <c:pt idx="2">
                  <c:v>1.0646909</c:v>
                </c:pt>
                <c:pt idx="3">
                  <c:v>1.0638962999999999</c:v>
                </c:pt>
                <c:pt idx="4">
                  <c:v>1.0629188000000001</c:v>
                </c:pt>
                <c:pt idx="5">
                  <c:v>1.0609468</c:v>
                </c:pt>
                <c:pt idx="6">
                  <c:v>1.0592919999999999</c:v>
                </c:pt>
                <c:pt idx="7">
                  <c:v>1.0553083000000001</c:v>
                </c:pt>
                <c:pt idx="8">
                  <c:v>1.0523164</c:v>
                </c:pt>
                <c:pt idx="9">
                  <c:v>1.0499574</c:v>
                </c:pt>
                <c:pt idx="10">
                  <c:v>1.0480398</c:v>
                </c:pt>
                <c:pt idx="11">
                  <c:v>1.0464756</c:v>
                </c:pt>
                <c:pt idx="12">
                  <c:v>1.0452222</c:v>
                </c:pt>
                <c:pt idx="13">
                  <c:v>1.0442089000000001</c:v>
                </c:pt>
                <c:pt idx="14">
                  <c:v>1.0433311000000001</c:v>
                </c:pt>
                <c:pt idx="15">
                  <c:v>1.0427249999999999</c:v>
                </c:pt>
                <c:pt idx="16">
                  <c:v>1.0421054000000001</c:v>
                </c:pt>
                <c:pt idx="17">
                  <c:v>1.0421096000000001</c:v>
                </c:pt>
                <c:pt idx="18">
                  <c:v>1.0416969</c:v>
                </c:pt>
                <c:pt idx="19">
                  <c:v>1.0411786000000001</c:v>
                </c:pt>
                <c:pt idx="20">
                  <c:v>1.0406629999999999</c:v>
                </c:pt>
                <c:pt idx="21">
                  <c:v>1.0399635</c:v>
                </c:pt>
                <c:pt idx="22">
                  <c:v>1.039147</c:v>
                </c:pt>
                <c:pt idx="23">
                  <c:v>1.0382187</c:v>
                </c:pt>
                <c:pt idx="24">
                  <c:v>1.0372024</c:v>
                </c:pt>
                <c:pt idx="25">
                  <c:v>1.0359882</c:v>
                </c:pt>
                <c:pt idx="26">
                  <c:v>1.0346979000000001</c:v>
                </c:pt>
                <c:pt idx="27">
                  <c:v>1.0334897000000001</c:v>
                </c:pt>
                <c:pt idx="28">
                  <c:v>1.0323420999999999</c:v>
                </c:pt>
                <c:pt idx="29">
                  <c:v>1.0308487</c:v>
                </c:pt>
                <c:pt idx="30">
                  <c:v>1.0295619</c:v>
                </c:pt>
                <c:pt idx="31">
                  <c:v>1.0283087</c:v>
                </c:pt>
                <c:pt idx="32">
                  <c:v>1.0270357999999999</c:v>
                </c:pt>
                <c:pt idx="33">
                  <c:v>1.0257654</c:v>
                </c:pt>
                <c:pt idx="34">
                  <c:v>1.0244496000000001</c:v>
                </c:pt>
                <c:pt idx="35">
                  <c:v>1.0231247999999999</c:v>
                </c:pt>
                <c:pt idx="36">
                  <c:v>1.0218602000000001</c:v>
                </c:pt>
                <c:pt idx="37">
                  <c:v>1.0205215000000001</c:v>
                </c:pt>
                <c:pt idx="38">
                  <c:v>1.0191416</c:v>
                </c:pt>
                <c:pt idx="39">
                  <c:v>1.0177902999999999</c:v>
                </c:pt>
                <c:pt idx="40">
                  <c:v>1.0164731</c:v>
                </c:pt>
                <c:pt idx="41">
                  <c:v>1.0164869999999999</c:v>
                </c:pt>
                <c:pt idx="42">
                  <c:v>1.0151057999999999</c:v>
                </c:pt>
                <c:pt idx="43">
                  <c:v>1.0137546</c:v>
                </c:pt>
                <c:pt idx="44">
                  <c:v>1.0124166000000001</c:v>
                </c:pt>
                <c:pt idx="45">
                  <c:v>1.0110752999999999</c:v>
                </c:pt>
                <c:pt idx="46">
                  <c:v>1.0097845000000001</c:v>
                </c:pt>
                <c:pt idx="47">
                  <c:v>1.0085118</c:v>
                </c:pt>
                <c:pt idx="48">
                  <c:v>1.0073299</c:v>
                </c:pt>
                <c:pt idx="49">
                  <c:v>1.0058674999999999</c:v>
                </c:pt>
                <c:pt idx="50">
                  <c:v>1.0046451000000001</c:v>
                </c:pt>
                <c:pt idx="51">
                  <c:v>1.0032995</c:v>
                </c:pt>
                <c:pt idx="52">
                  <c:v>1.0020313999999999</c:v>
                </c:pt>
                <c:pt idx="53">
                  <c:v>1.0005185999999999</c:v>
                </c:pt>
                <c:pt idx="54" formatCode="General">
                  <c:v>0.99925070000000005</c:v>
                </c:pt>
                <c:pt idx="55" formatCode="General">
                  <c:v>0.99795650000000002</c:v>
                </c:pt>
                <c:pt idx="56" formatCode="General">
                  <c:v>0.99670669999999995</c:v>
                </c:pt>
                <c:pt idx="57" formatCode="General">
                  <c:v>0.99547560000000002</c:v>
                </c:pt>
                <c:pt idx="58" formatCode="General">
                  <c:v>0.99419829999999998</c:v>
                </c:pt>
                <c:pt idx="59" formatCode="General">
                  <c:v>0.99296030000000002</c:v>
                </c:pt>
                <c:pt idx="60" formatCode="General">
                  <c:v>0.99170530000000001</c:v>
                </c:pt>
                <c:pt idx="61" formatCode="General">
                  <c:v>0.9904328</c:v>
                </c:pt>
                <c:pt idx="62" formatCode="General">
                  <c:v>0.98923320000000003</c:v>
                </c:pt>
                <c:pt idx="63" formatCode="General">
                  <c:v>0.98799559999999997</c:v>
                </c:pt>
                <c:pt idx="64" formatCode="General">
                  <c:v>0.98674280000000003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08624"/>
        <c:axId val="381006992"/>
      </c:scatterChart>
      <c:valAx>
        <c:axId val="38100862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Tahun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1006992"/>
        <c:crosses val="autoZero"/>
        <c:crossBetween val="midCat"/>
        <c:majorUnit val="0.5"/>
      </c:valAx>
      <c:valAx>
        <c:axId val="381006992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K-Efektif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100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Hasil!$V$9</c:f>
              <c:strCache>
                <c:ptCount val="1"/>
                <c:pt idx="0">
                  <c:v>Benchmark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Hasil!$U$10:$U$74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Hasil!$V$10:$V$74</c:f>
              <c:numCache>
                <c:formatCode>0.00E+00</c:formatCode>
                <c:ptCount val="65"/>
                <c:pt idx="0">
                  <c:v>0.45779999999999998</c:v>
                </c:pt>
                <c:pt idx="1">
                  <c:v>0.46750000000000003</c:v>
                </c:pt>
                <c:pt idx="2">
                  <c:v>0.46768999999999999</c:v>
                </c:pt>
                <c:pt idx="3">
                  <c:v>0.46812199999999998</c:v>
                </c:pt>
                <c:pt idx="4">
                  <c:v>0.46866799999999997</c:v>
                </c:pt>
                <c:pt idx="5">
                  <c:v>0.46968700000000002</c:v>
                </c:pt>
                <c:pt idx="6">
                  <c:v>0.47053800000000001</c:v>
                </c:pt>
                <c:pt idx="7">
                  <c:v>0.47313899999999998</c:v>
                </c:pt>
                <c:pt idx="8">
                  <c:v>0.476165</c:v>
                </c:pt>
                <c:pt idx="9">
                  <c:v>0.47926999999999997</c:v>
                </c:pt>
                <c:pt idx="10">
                  <c:v>0.481964</c:v>
                </c:pt>
                <c:pt idx="11">
                  <c:v>0.48386400000000002</c:v>
                </c:pt>
                <c:pt idx="12">
                  <c:v>0.48480299999999998</c:v>
                </c:pt>
                <c:pt idx="13">
                  <c:v>0.48515399999999997</c:v>
                </c:pt>
                <c:pt idx="14">
                  <c:v>0.48647699999999999</c:v>
                </c:pt>
                <c:pt idx="15">
                  <c:v>0.49041499999999999</c:v>
                </c:pt>
                <c:pt idx="16">
                  <c:v>0.494755</c:v>
                </c:pt>
                <c:pt idx="17">
                  <c:v>0.49478699999999998</c:v>
                </c:pt>
                <c:pt idx="18">
                  <c:v>0.49871199999999999</c:v>
                </c:pt>
                <c:pt idx="19">
                  <c:v>0.50217500000000004</c:v>
                </c:pt>
                <c:pt idx="20">
                  <c:v>0.50441499999999995</c:v>
                </c:pt>
                <c:pt idx="21">
                  <c:v>0.50558099999999995</c:v>
                </c:pt>
                <c:pt idx="22">
                  <c:v>0.50606300000000004</c:v>
                </c:pt>
                <c:pt idx="23">
                  <c:v>0.50723499999999999</c:v>
                </c:pt>
                <c:pt idx="24">
                  <c:v>0.50968100000000005</c:v>
                </c:pt>
                <c:pt idx="25">
                  <c:v>0.51217699999999999</c:v>
                </c:pt>
                <c:pt idx="26">
                  <c:v>0.51513799999999998</c:v>
                </c:pt>
                <c:pt idx="27">
                  <c:v>0.51829999999999998</c:v>
                </c:pt>
                <c:pt idx="28">
                  <c:v>0.52097400000000005</c:v>
                </c:pt>
                <c:pt idx="29">
                  <c:v>0.52371900000000005</c:v>
                </c:pt>
                <c:pt idx="30">
                  <c:v>0.52587200000000001</c:v>
                </c:pt>
                <c:pt idx="31">
                  <c:v>0.52785099999999996</c:v>
                </c:pt>
                <c:pt idx="32">
                  <c:v>0.52928600000000003</c:v>
                </c:pt>
                <c:pt idx="33">
                  <c:v>0.53100599999999998</c:v>
                </c:pt>
                <c:pt idx="34">
                  <c:v>0.53264400000000001</c:v>
                </c:pt>
                <c:pt idx="35">
                  <c:v>0.53441000000000005</c:v>
                </c:pt>
                <c:pt idx="36">
                  <c:v>0.53593999999999997</c:v>
                </c:pt>
                <c:pt idx="37">
                  <c:v>0.53699799999999998</c:v>
                </c:pt>
                <c:pt idx="38">
                  <c:v>0.53817300000000001</c:v>
                </c:pt>
                <c:pt idx="39">
                  <c:v>0.53965399999999997</c:v>
                </c:pt>
                <c:pt idx="40">
                  <c:v>0.54067100000000001</c:v>
                </c:pt>
                <c:pt idx="41">
                  <c:v>0.54073499999999997</c:v>
                </c:pt>
                <c:pt idx="42">
                  <c:v>0.54238299999999995</c:v>
                </c:pt>
                <c:pt idx="43">
                  <c:v>0.54359900000000005</c:v>
                </c:pt>
                <c:pt idx="44">
                  <c:v>0.54525100000000004</c:v>
                </c:pt>
                <c:pt idx="45">
                  <c:v>0.54680399999999996</c:v>
                </c:pt>
                <c:pt idx="46">
                  <c:v>0.54811500000000002</c:v>
                </c:pt>
                <c:pt idx="47">
                  <c:v>0.54981800000000003</c:v>
                </c:pt>
                <c:pt idx="48">
                  <c:v>0.55155299999999996</c:v>
                </c:pt>
                <c:pt idx="49">
                  <c:v>0.55346099999999998</c:v>
                </c:pt>
                <c:pt idx="50">
                  <c:v>0.55540800000000001</c:v>
                </c:pt>
                <c:pt idx="51">
                  <c:v>0.55720800000000004</c:v>
                </c:pt>
                <c:pt idx="52">
                  <c:v>0.55902200000000002</c:v>
                </c:pt>
                <c:pt idx="53">
                  <c:v>0.56111</c:v>
                </c:pt>
                <c:pt idx="54">
                  <c:v>0.56318699999999999</c:v>
                </c:pt>
                <c:pt idx="55">
                  <c:v>0.56511199999999995</c:v>
                </c:pt>
                <c:pt idx="56">
                  <c:v>0.56748900000000002</c:v>
                </c:pt>
                <c:pt idx="57">
                  <c:v>0.57041500000000001</c:v>
                </c:pt>
                <c:pt idx="58">
                  <c:v>0.573237</c:v>
                </c:pt>
                <c:pt idx="59">
                  <c:v>0.57601400000000003</c:v>
                </c:pt>
                <c:pt idx="60">
                  <c:v>0.57943999999999996</c:v>
                </c:pt>
                <c:pt idx="61">
                  <c:v>0.58291999999999999</c:v>
                </c:pt>
                <c:pt idx="62">
                  <c:v>0.58638599999999996</c:v>
                </c:pt>
                <c:pt idx="63">
                  <c:v>0.58995399999999998</c:v>
                </c:pt>
                <c:pt idx="64">
                  <c:v>0.59353400000000001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Hasil!$W$9</c:f>
              <c:strCache>
                <c:ptCount val="1"/>
                <c:pt idx="0">
                  <c:v>Zircalloy-4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Hasil!$U$10:$U$74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Hasil!$W$10:$W$74</c:f>
              <c:numCache>
                <c:formatCode>0.000000</c:formatCode>
                <c:ptCount val="65"/>
                <c:pt idx="0">
                  <c:v>0.622004</c:v>
                </c:pt>
                <c:pt idx="1">
                  <c:v>0.62578400000000001</c:v>
                </c:pt>
                <c:pt idx="2">
                  <c:v>0.62583999999999995</c:v>
                </c:pt>
                <c:pt idx="3">
                  <c:v>0.62611899999999998</c:v>
                </c:pt>
                <c:pt idx="4">
                  <c:v>0.62646999999999997</c:v>
                </c:pt>
                <c:pt idx="5">
                  <c:v>0.62717800000000001</c:v>
                </c:pt>
                <c:pt idx="6">
                  <c:v>0.62783299999999997</c:v>
                </c:pt>
                <c:pt idx="7">
                  <c:v>0.62948499999999996</c:v>
                </c:pt>
                <c:pt idx="8">
                  <c:v>0.63078100000000004</c:v>
                </c:pt>
                <c:pt idx="9">
                  <c:v>0.63183</c:v>
                </c:pt>
                <c:pt idx="10">
                  <c:v>0.63271200000000005</c:v>
                </c:pt>
                <c:pt idx="11">
                  <c:v>0.63344900000000004</c:v>
                </c:pt>
                <c:pt idx="12">
                  <c:v>0.63407599999999997</c:v>
                </c:pt>
                <c:pt idx="13">
                  <c:v>0.63461999999999996</c:v>
                </c:pt>
                <c:pt idx="14">
                  <c:v>0.6351</c:v>
                </c:pt>
                <c:pt idx="15">
                  <c:v>0.63549299999999997</c:v>
                </c:pt>
                <c:pt idx="16">
                  <c:v>0.63588199999999995</c:v>
                </c:pt>
                <c:pt idx="17">
                  <c:v>0.63588</c:v>
                </c:pt>
                <c:pt idx="18">
                  <c:v>0.63619199999999998</c:v>
                </c:pt>
                <c:pt idx="19">
                  <c:v>0.63653000000000004</c:v>
                </c:pt>
                <c:pt idx="20">
                  <c:v>0.63685599999999998</c:v>
                </c:pt>
                <c:pt idx="21">
                  <c:v>0.63722699999999999</c:v>
                </c:pt>
                <c:pt idx="22">
                  <c:v>0.63762600000000003</c:v>
                </c:pt>
                <c:pt idx="23">
                  <c:v>0.63803900000000002</c:v>
                </c:pt>
                <c:pt idx="24">
                  <c:v>0.63846000000000003</c:v>
                </c:pt>
                <c:pt idx="25">
                  <c:v>0.63893</c:v>
                </c:pt>
                <c:pt idx="26">
                  <c:v>0.63940799999999998</c:v>
                </c:pt>
                <c:pt idx="27">
                  <c:v>0.63985300000000001</c:v>
                </c:pt>
                <c:pt idx="28">
                  <c:v>0.640262</c:v>
                </c:pt>
                <c:pt idx="29">
                  <c:v>0.64077700000000004</c:v>
                </c:pt>
                <c:pt idx="30">
                  <c:v>0.64120999999999995</c:v>
                </c:pt>
                <c:pt idx="31">
                  <c:v>0.64162399999999997</c:v>
                </c:pt>
                <c:pt idx="32">
                  <c:v>0.64205800000000002</c:v>
                </c:pt>
                <c:pt idx="33">
                  <c:v>0.64246599999999998</c:v>
                </c:pt>
                <c:pt idx="34">
                  <c:v>0.64288400000000001</c:v>
                </c:pt>
                <c:pt idx="35">
                  <c:v>0.64332199999999995</c:v>
                </c:pt>
                <c:pt idx="36">
                  <c:v>0.643733</c:v>
                </c:pt>
                <c:pt idx="37">
                  <c:v>0.64415699999999998</c:v>
                </c:pt>
                <c:pt idx="38">
                  <c:v>0.64461599999999997</c:v>
                </c:pt>
                <c:pt idx="39">
                  <c:v>0.64503200000000005</c:v>
                </c:pt>
                <c:pt idx="40">
                  <c:v>0.64545399999999997</c:v>
                </c:pt>
                <c:pt idx="41">
                  <c:v>0.645459</c:v>
                </c:pt>
                <c:pt idx="42">
                  <c:v>0.64589099999999999</c:v>
                </c:pt>
                <c:pt idx="43">
                  <c:v>0.64632900000000004</c:v>
                </c:pt>
                <c:pt idx="44">
                  <c:v>0.64676100000000003</c:v>
                </c:pt>
                <c:pt idx="45">
                  <c:v>0.64717000000000002</c:v>
                </c:pt>
                <c:pt idx="46">
                  <c:v>0.64757399999999998</c:v>
                </c:pt>
                <c:pt idx="47">
                  <c:v>0.64796500000000001</c:v>
                </c:pt>
                <c:pt idx="48">
                  <c:v>0.64838399999999996</c:v>
                </c:pt>
                <c:pt idx="49">
                  <c:v>0.64881299999999997</c:v>
                </c:pt>
                <c:pt idx="50">
                  <c:v>0.64922500000000005</c:v>
                </c:pt>
                <c:pt idx="51">
                  <c:v>0.64964900000000003</c:v>
                </c:pt>
                <c:pt idx="52">
                  <c:v>0.65006699999999995</c:v>
                </c:pt>
                <c:pt idx="53">
                  <c:v>0.65056899999999995</c:v>
                </c:pt>
                <c:pt idx="54">
                  <c:v>0.65094399999999997</c:v>
                </c:pt>
                <c:pt idx="55">
                  <c:v>0.65140799999999999</c:v>
                </c:pt>
                <c:pt idx="56">
                  <c:v>0.65181699999999998</c:v>
                </c:pt>
                <c:pt idx="57">
                  <c:v>0.65226300000000004</c:v>
                </c:pt>
                <c:pt idx="58">
                  <c:v>0.65268300000000001</c:v>
                </c:pt>
                <c:pt idx="59">
                  <c:v>0.65306699999999995</c:v>
                </c:pt>
                <c:pt idx="60">
                  <c:v>0.65353700000000003</c:v>
                </c:pt>
                <c:pt idx="61">
                  <c:v>0.65395599999999998</c:v>
                </c:pt>
                <c:pt idx="62">
                  <c:v>0.65441099999999996</c:v>
                </c:pt>
                <c:pt idx="63">
                  <c:v>0.65478099999999995</c:v>
                </c:pt>
                <c:pt idx="64">
                  <c:v>0.65527599999999997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Hasil!$X$9</c:f>
              <c:strCache>
                <c:ptCount val="1"/>
                <c:pt idx="0">
                  <c:v>D9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Hasil!$U$10:$U$74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Hasil!$X$10:$X$74</c:f>
              <c:numCache>
                <c:formatCode>0.000000</c:formatCode>
                <c:ptCount val="65"/>
                <c:pt idx="0">
                  <c:v>0.63389499999999999</c:v>
                </c:pt>
                <c:pt idx="1">
                  <c:v>0.63754900000000003</c:v>
                </c:pt>
                <c:pt idx="2">
                  <c:v>0.63760700000000003</c:v>
                </c:pt>
                <c:pt idx="3">
                  <c:v>0.63790199999999997</c:v>
                </c:pt>
                <c:pt idx="4">
                  <c:v>0.63827100000000003</c:v>
                </c:pt>
                <c:pt idx="5">
                  <c:v>0.639015</c:v>
                </c:pt>
                <c:pt idx="6">
                  <c:v>0.63969500000000001</c:v>
                </c:pt>
                <c:pt idx="7">
                  <c:v>0.64138499999999998</c:v>
                </c:pt>
                <c:pt idx="8">
                  <c:v>0.64271</c:v>
                </c:pt>
                <c:pt idx="9">
                  <c:v>0.64378199999999997</c:v>
                </c:pt>
                <c:pt idx="10">
                  <c:v>0.64469100000000001</c:v>
                </c:pt>
                <c:pt idx="11">
                  <c:v>0.64546000000000003</c:v>
                </c:pt>
                <c:pt idx="12">
                  <c:v>0.646119</c:v>
                </c:pt>
                <c:pt idx="13">
                  <c:v>0.64669900000000002</c:v>
                </c:pt>
                <c:pt idx="14">
                  <c:v>0.64720599999999995</c:v>
                </c:pt>
                <c:pt idx="15">
                  <c:v>0.64763800000000005</c:v>
                </c:pt>
                <c:pt idx="16">
                  <c:v>0.64805800000000002</c:v>
                </c:pt>
                <c:pt idx="17">
                  <c:v>0.64805599999999997</c:v>
                </c:pt>
                <c:pt idx="18">
                  <c:v>0.64840200000000003</c:v>
                </c:pt>
                <c:pt idx="19">
                  <c:v>0.64877499999999999</c:v>
                </c:pt>
                <c:pt idx="20">
                  <c:v>0.64912899999999996</c:v>
                </c:pt>
                <c:pt idx="21">
                  <c:v>0.64952799999999999</c:v>
                </c:pt>
                <c:pt idx="22">
                  <c:v>0.64994399999999997</c:v>
                </c:pt>
                <c:pt idx="23">
                  <c:v>0.65038700000000005</c:v>
                </c:pt>
                <c:pt idx="24">
                  <c:v>0.65082600000000002</c:v>
                </c:pt>
                <c:pt idx="25">
                  <c:v>0.65131799999999995</c:v>
                </c:pt>
                <c:pt idx="26">
                  <c:v>0.651814</c:v>
                </c:pt>
                <c:pt idx="27">
                  <c:v>0.65227599999999997</c:v>
                </c:pt>
                <c:pt idx="28">
                  <c:v>0.65271199999999996</c:v>
                </c:pt>
                <c:pt idx="29">
                  <c:v>0.65324300000000002</c:v>
                </c:pt>
                <c:pt idx="30">
                  <c:v>0.65370200000000001</c:v>
                </c:pt>
                <c:pt idx="31">
                  <c:v>0.65414600000000001</c:v>
                </c:pt>
                <c:pt idx="32">
                  <c:v>0.65459500000000004</c:v>
                </c:pt>
                <c:pt idx="33">
                  <c:v>0.65501399999999999</c:v>
                </c:pt>
                <c:pt idx="34">
                  <c:v>0.65546199999999999</c:v>
                </c:pt>
                <c:pt idx="35">
                  <c:v>0.65591699999999997</c:v>
                </c:pt>
                <c:pt idx="36">
                  <c:v>0.65633900000000001</c:v>
                </c:pt>
                <c:pt idx="37">
                  <c:v>0.65678800000000004</c:v>
                </c:pt>
                <c:pt idx="38">
                  <c:v>0.65727800000000003</c:v>
                </c:pt>
                <c:pt idx="39">
                  <c:v>0.65772900000000001</c:v>
                </c:pt>
                <c:pt idx="40">
                  <c:v>0.65816600000000003</c:v>
                </c:pt>
                <c:pt idx="41">
                  <c:v>0.65817000000000003</c:v>
                </c:pt>
                <c:pt idx="42">
                  <c:v>0.65861700000000001</c:v>
                </c:pt>
                <c:pt idx="43">
                  <c:v>0.65907000000000004</c:v>
                </c:pt>
                <c:pt idx="44">
                  <c:v>0.65951899999999997</c:v>
                </c:pt>
                <c:pt idx="45">
                  <c:v>0.65996999999999995</c:v>
                </c:pt>
                <c:pt idx="46">
                  <c:v>0.66037699999999999</c:v>
                </c:pt>
                <c:pt idx="47">
                  <c:v>0.66076500000000005</c:v>
                </c:pt>
                <c:pt idx="48">
                  <c:v>0.66122199999999998</c:v>
                </c:pt>
                <c:pt idx="49">
                  <c:v>0.661663</c:v>
                </c:pt>
                <c:pt idx="50">
                  <c:v>0.66207800000000006</c:v>
                </c:pt>
                <c:pt idx="51">
                  <c:v>0.66250299999999995</c:v>
                </c:pt>
                <c:pt idx="52">
                  <c:v>0.66293800000000003</c:v>
                </c:pt>
                <c:pt idx="53">
                  <c:v>0.66347199999999995</c:v>
                </c:pt>
                <c:pt idx="54">
                  <c:v>0.66389799999999999</c:v>
                </c:pt>
                <c:pt idx="55">
                  <c:v>0.66431200000000001</c:v>
                </c:pt>
                <c:pt idx="56">
                  <c:v>0.66474200000000006</c:v>
                </c:pt>
                <c:pt idx="57">
                  <c:v>0.665157</c:v>
                </c:pt>
                <c:pt idx="58">
                  <c:v>0.66560200000000003</c:v>
                </c:pt>
                <c:pt idx="59">
                  <c:v>0.66603299999999999</c:v>
                </c:pt>
                <c:pt idx="60">
                  <c:v>0.66646700000000003</c:v>
                </c:pt>
                <c:pt idx="61">
                  <c:v>0.66690199999999999</c:v>
                </c:pt>
                <c:pt idx="62">
                  <c:v>0.66735599999999995</c:v>
                </c:pt>
                <c:pt idx="63">
                  <c:v>0.66779200000000005</c:v>
                </c:pt>
                <c:pt idx="64">
                  <c:v>0.66819300000000004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Hasil!$Y$9</c:f>
              <c:strCache>
                <c:ptCount val="1"/>
                <c:pt idx="0">
                  <c:v>HT9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Hasil!$U$10:$U$74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Hasil!$Y$10:$Y$74</c:f>
              <c:numCache>
                <c:formatCode>0.00E+00</c:formatCode>
                <c:ptCount val="65"/>
                <c:pt idx="0">
                  <c:v>0.63181299999999996</c:v>
                </c:pt>
                <c:pt idx="1">
                  <c:v>0.63549</c:v>
                </c:pt>
                <c:pt idx="2">
                  <c:v>0.63554600000000006</c:v>
                </c:pt>
                <c:pt idx="3">
                  <c:v>0.63583900000000004</c:v>
                </c:pt>
                <c:pt idx="4">
                  <c:v>0.63620500000000002</c:v>
                </c:pt>
                <c:pt idx="5">
                  <c:v>0.63694099999999998</c:v>
                </c:pt>
                <c:pt idx="6">
                  <c:v>0.63761599999999996</c:v>
                </c:pt>
                <c:pt idx="7">
                  <c:v>0.63929599999999998</c:v>
                </c:pt>
                <c:pt idx="8">
                  <c:v>0.64061500000000005</c:v>
                </c:pt>
                <c:pt idx="9">
                  <c:v>0.64168000000000003</c:v>
                </c:pt>
                <c:pt idx="10">
                  <c:v>0.64258000000000004</c:v>
                </c:pt>
                <c:pt idx="11">
                  <c:v>0.643343</c:v>
                </c:pt>
                <c:pt idx="12">
                  <c:v>0.64399200000000001</c:v>
                </c:pt>
                <c:pt idx="13">
                  <c:v>0.64456100000000005</c:v>
                </c:pt>
                <c:pt idx="14">
                  <c:v>0.64506399999999997</c:v>
                </c:pt>
                <c:pt idx="15">
                  <c:v>0.64548000000000005</c:v>
                </c:pt>
                <c:pt idx="16">
                  <c:v>0.645895</c:v>
                </c:pt>
                <c:pt idx="17">
                  <c:v>0.64589200000000002</c:v>
                </c:pt>
                <c:pt idx="18">
                  <c:v>0.64622900000000005</c:v>
                </c:pt>
                <c:pt idx="19">
                  <c:v>0.64659599999999995</c:v>
                </c:pt>
                <c:pt idx="20">
                  <c:v>0.64694099999999999</c:v>
                </c:pt>
                <c:pt idx="21">
                  <c:v>0.64733600000000002</c:v>
                </c:pt>
                <c:pt idx="22">
                  <c:v>0.64774799999999999</c:v>
                </c:pt>
                <c:pt idx="23">
                  <c:v>0.64818299999999995</c:v>
                </c:pt>
                <c:pt idx="24">
                  <c:v>0.64861800000000003</c:v>
                </c:pt>
                <c:pt idx="25">
                  <c:v>0.64911300000000005</c:v>
                </c:pt>
                <c:pt idx="26">
                  <c:v>0.64960499999999999</c:v>
                </c:pt>
                <c:pt idx="27">
                  <c:v>0.65006399999999998</c:v>
                </c:pt>
                <c:pt idx="28">
                  <c:v>0.65049199999999996</c:v>
                </c:pt>
                <c:pt idx="29">
                  <c:v>0.65102099999999996</c:v>
                </c:pt>
                <c:pt idx="30">
                  <c:v>0.65147699999999997</c:v>
                </c:pt>
                <c:pt idx="31">
                  <c:v>0.65190899999999996</c:v>
                </c:pt>
                <c:pt idx="32">
                  <c:v>0.65235699999999996</c:v>
                </c:pt>
                <c:pt idx="33">
                  <c:v>0.652783</c:v>
                </c:pt>
                <c:pt idx="34">
                  <c:v>0.653223</c:v>
                </c:pt>
                <c:pt idx="35">
                  <c:v>0.65366900000000006</c:v>
                </c:pt>
                <c:pt idx="36">
                  <c:v>0.65409899999999999</c:v>
                </c:pt>
                <c:pt idx="37">
                  <c:v>0.65454100000000004</c:v>
                </c:pt>
                <c:pt idx="38">
                  <c:v>0.65502199999999999</c:v>
                </c:pt>
                <c:pt idx="39">
                  <c:v>0.65547699999999998</c:v>
                </c:pt>
                <c:pt idx="40">
                  <c:v>0.65590199999999999</c:v>
                </c:pt>
                <c:pt idx="41">
                  <c:v>0.65591200000000005</c:v>
                </c:pt>
                <c:pt idx="42">
                  <c:v>0.65633900000000001</c:v>
                </c:pt>
                <c:pt idx="43">
                  <c:v>0.65681</c:v>
                </c:pt>
                <c:pt idx="44">
                  <c:v>0.65725100000000003</c:v>
                </c:pt>
                <c:pt idx="45">
                  <c:v>0.65769</c:v>
                </c:pt>
                <c:pt idx="46">
                  <c:v>0.65809600000000001</c:v>
                </c:pt>
                <c:pt idx="47">
                  <c:v>0.65850699999999995</c:v>
                </c:pt>
                <c:pt idx="48">
                  <c:v>0.65892799999999996</c:v>
                </c:pt>
                <c:pt idx="49">
                  <c:v>0.65938699999999995</c:v>
                </c:pt>
                <c:pt idx="50">
                  <c:v>0.65977200000000003</c:v>
                </c:pt>
                <c:pt idx="51">
                  <c:v>0.660242</c:v>
                </c:pt>
                <c:pt idx="52">
                  <c:v>0.66066499999999995</c:v>
                </c:pt>
                <c:pt idx="53">
                  <c:v>0.66114499999999998</c:v>
                </c:pt>
                <c:pt idx="54">
                  <c:v>0.66161400000000004</c:v>
                </c:pt>
                <c:pt idx="55">
                  <c:v>0.66201100000000002</c:v>
                </c:pt>
                <c:pt idx="56">
                  <c:v>0.66245799999999999</c:v>
                </c:pt>
                <c:pt idx="57">
                  <c:v>0.66288000000000002</c:v>
                </c:pt>
                <c:pt idx="58">
                  <c:v>0.66330999999999996</c:v>
                </c:pt>
                <c:pt idx="59">
                  <c:v>0.66374</c:v>
                </c:pt>
                <c:pt idx="60">
                  <c:v>0.66417400000000004</c:v>
                </c:pt>
                <c:pt idx="61">
                  <c:v>0.66463099999999997</c:v>
                </c:pt>
                <c:pt idx="62">
                  <c:v>0.665072</c:v>
                </c:pt>
                <c:pt idx="63">
                  <c:v>0.66548700000000005</c:v>
                </c:pt>
                <c:pt idx="64">
                  <c:v>0.66592200000000001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Hasil!$Z$9</c:f>
              <c:strCache>
                <c:ptCount val="1"/>
                <c:pt idx="0">
                  <c:v>Zr-2.5%Nb Alloy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Hasil!$U$10:$U$74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Hasil!$Z$10:$Z$74</c:f>
              <c:numCache>
                <c:formatCode>0.00E+00</c:formatCode>
                <c:ptCount val="65"/>
                <c:pt idx="0">
                  <c:v>0.62204099999999996</c:v>
                </c:pt>
                <c:pt idx="1">
                  <c:v>0.62581600000000004</c:v>
                </c:pt>
                <c:pt idx="2">
                  <c:v>0.62587000000000004</c:v>
                </c:pt>
                <c:pt idx="3">
                  <c:v>0.62615200000000004</c:v>
                </c:pt>
                <c:pt idx="4">
                  <c:v>0.62650300000000003</c:v>
                </c:pt>
                <c:pt idx="5">
                  <c:v>0.62721099999999996</c:v>
                </c:pt>
                <c:pt idx="6">
                  <c:v>0.62786799999999998</c:v>
                </c:pt>
                <c:pt idx="7">
                  <c:v>0.629521</c:v>
                </c:pt>
                <c:pt idx="8">
                  <c:v>0.63081799999999999</c:v>
                </c:pt>
                <c:pt idx="9">
                  <c:v>0.63186600000000004</c:v>
                </c:pt>
                <c:pt idx="10">
                  <c:v>0.63274699999999995</c:v>
                </c:pt>
                <c:pt idx="11">
                  <c:v>0.63348800000000005</c:v>
                </c:pt>
                <c:pt idx="12">
                  <c:v>0.63411700000000004</c:v>
                </c:pt>
                <c:pt idx="13">
                  <c:v>0.63466100000000003</c:v>
                </c:pt>
                <c:pt idx="14">
                  <c:v>0.63514300000000001</c:v>
                </c:pt>
                <c:pt idx="15">
                  <c:v>0.63553499999999996</c:v>
                </c:pt>
                <c:pt idx="16">
                  <c:v>0.63592499999999996</c:v>
                </c:pt>
                <c:pt idx="17">
                  <c:v>0.63592199999999999</c:v>
                </c:pt>
                <c:pt idx="18">
                  <c:v>0.63623700000000005</c:v>
                </c:pt>
                <c:pt idx="19">
                  <c:v>0.63657399999999997</c:v>
                </c:pt>
                <c:pt idx="20">
                  <c:v>0.63690000000000002</c:v>
                </c:pt>
                <c:pt idx="21">
                  <c:v>0.63727299999999998</c:v>
                </c:pt>
                <c:pt idx="22">
                  <c:v>0.63767099999999999</c:v>
                </c:pt>
                <c:pt idx="23">
                  <c:v>0.63808399999999998</c:v>
                </c:pt>
                <c:pt idx="24">
                  <c:v>0.63850499999999999</c:v>
                </c:pt>
                <c:pt idx="25">
                  <c:v>0.63897499999999996</c:v>
                </c:pt>
                <c:pt idx="26">
                  <c:v>0.63945399999999997</c:v>
                </c:pt>
                <c:pt idx="27">
                  <c:v>0.63989700000000005</c:v>
                </c:pt>
                <c:pt idx="28">
                  <c:v>0.64030699999999996</c:v>
                </c:pt>
                <c:pt idx="29">
                  <c:v>0.640822</c:v>
                </c:pt>
                <c:pt idx="30">
                  <c:v>0.64125500000000002</c:v>
                </c:pt>
                <c:pt idx="31">
                  <c:v>0.64166999999999996</c:v>
                </c:pt>
                <c:pt idx="32">
                  <c:v>0.64210299999999998</c:v>
                </c:pt>
                <c:pt idx="33">
                  <c:v>0.64251100000000005</c:v>
                </c:pt>
                <c:pt idx="34">
                  <c:v>0.64292899999999997</c:v>
                </c:pt>
                <c:pt idx="35">
                  <c:v>0.64336700000000002</c:v>
                </c:pt>
                <c:pt idx="36">
                  <c:v>0.64377700000000004</c:v>
                </c:pt>
                <c:pt idx="37">
                  <c:v>0.64420200000000005</c:v>
                </c:pt>
                <c:pt idx="38">
                  <c:v>0.64466100000000004</c:v>
                </c:pt>
                <c:pt idx="39">
                  <c:v>0.64508799999999999</c:v>
                </c:pt>
                <c:pt idx="40">
                  <c:v>0.64549800000000002</c:v>
                </c:pt>
                <c:pt idx="41">
                  <c:v>0.64550200000000002</c:v>
                </c:pt>
                <c:pt idx="42">
                  <c:v>0.64593500000000004</c:v>
                </c:pt>
                <c:pt idx="43">
                  <c:v>0.64637299999999998</c:v>
                </c:pt>
                <c:pt idx="44">
                  <c:v>0.64679900000000001</c:v>
                </c:pt>
                <c:pt idx="45">
                  <c:v>0.64722100000000005</c:v>
                </c:pt>
                <c:pt idx="46">
                  <c:v>0.647617</c:v>
                </c:pt>
                <c:pt idx="47">
                  <c:v>0.64800899999999995</c:v>
                </c:pt>
                <c:pt idx="48">
                  <c:v>0.64839400000000003</c:v>
                </c:pt>
                <c:pt idx="49">
                  <c:v>0.64885999999999999</c:v>
                </c:pt>
                <c:pt idx="50">
                  <c:v>0.64925699999999997</c:v>
                </c:pt>
                <c:pt idx="51">
                  <c:v>0.64969299999999996</c:v>
                </c:pt>
                <c:pt idx="52">
                  <c:v>0.65010699999999999</c:v>
                </c:pt>
                <c:pt idx="53">
                  <c:v>0.65061000000000002</c:v>
                </c:pt>
                <c:pt idx="54">
                  <c:v>0.65102000000000004</c:v>
                </c:pt>
                <c:pt idx="55">
                  <c:v>0.65144400000000002</c:v>
                </c:pt>
                <c:pt idx="56">
                  <c:v>0.65186999999999995</c:v>
                </c:pt>
                <c:pt idx="57">
                  <c:v>0.65229499999999996</c:v>
                </c:pt>
                <c:pt idx="58">
                  <c:v>0.65272300000000005</c:v>
                </c:pt>
                <c:pt idx="59">
                  <c:v>0.653138</c:v>
                </c:pt>
                <c:pt idx="60">
                  <c:v>0.65356899999999996</c:v>
                </c:pt>
                <c:pt idx="61">
                  <c:v>0.65400599999999998</c:v>
                </c:pt>
                <c:pt idx="62">
                  <c:v>0.65443399999999996</c:v>
                </c:pt>
                <c:pt idx="63">
                  <c:v>0.65486</c:v>
                </c:pt>
                <c:pt idx="64">
                  <c:v>0.655304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21136"/>
        <c:axId val="381010800"/>
      </c:scatterChart>
      <c:valAx>
        <c:axId val="38102113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Tahun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1010800"/>
        <c:crosses val="autoZero"/>
        <c:crossBetween val="midCat"/>
        <c:majorUnit val="0.5"/>
      </c:valAx>
      <c:valAx>
        <c:axId val="381010800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Conversion Ratio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102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Hasil!$BG$9</c:f>
              <c:strCache>
                <c:ptCount val="1"/>
                <c:pt idx="0">
                  <c:v>Awal Tahun Ke-0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Hasil!$BF$10:$BF$48</c:f>
              <c:numCache>
                <c:formatCode>General</c:formatCode>
                <c:ptCount val="39"/>
                <c:pt idx="0">
                  <c:v>0</c:v>
                </c:pt>
                <c:pt idx="1">
                  <c:v>7.3811999999999998</c:v>
                </c:pt>
                <c:pt idx="2">
                  <c:v>14.7624</c:v>
                </c:pt>
                <c:pt idx="3">
                  <c:v>20</c:v>
                </c:pt>
                <c:pt idx="4">
                  <c:v>26.25</c:v>
                </c:pt>
                <c:pt idx="5">
                  <c:v>32.5</c:v>
                </c:pt>
                <c:pt idx="6">
                  <c:v>38.75</c:v>
                </c:pt>
                <c:pt idx="7">
                  <c:v>45</c:v>
                </c:pt>
                <c:pt idx="8">
                  <c:v>51.25</c:v>
                </c:pt>
                <c:pt idx="9">
                  <c:v>57.5</c:v>
                </c:pt>
                <c:pt idx="10">
                  <c:v>63.75</c:v>
                </c:pt>
                <c:pt idx="11">
                  <c:v>70</c:v>
                </c:pt>
                <c:pt idx="12">
                  <c:v>76.25</c:v>
                </c:pt>
                <c:pt idx="13">
                  <c:v>82.5</c:v>
                </c:pt>
                <c:pt idx="14">
                  <c:v>88.75</c:v>
                </c:pt>
                <c:pt idx="15">
                  <c:v>95</c:v>
                </c:pt>
                <c:pt idx="16">
                  <c:v>101.25</c:v>
                </c:pt>
                <c:pt idx="17">
                  <c:v>107.5</c:v>
                </c:pt>
                <c:pt idx="18">
                  <c:v>113.75</c:v>
                </c:pt>
                <c:pt idx="19">
                  <c:v>120</c:v>
                </c:pt>
                <c:pt idx="20">
                  <c:v>126.25</c:v>
                </c:pt>
                <c:pt idx="21">
                  <c:v>132.5</c:v>
                </c:pt>
                <c:pt idx="22">
                  <c:v>138.75</c:v>
                </c:pt>
                <c:pt idx="23">
                  <c:v>145</c:v>
                </c:pt>
                <c:pt idx="24">
                  <c:v>151.25</c:v>
                </c:pt>
                <c:pt idx="25">
                  <c:v>157.5</c:v>
                </c:pt>
                <c:pt idx="26">
                  <c:v>163.75</c:v>
                </c:pt>
                <c:pt idx="27">
                  <c:v>170</c:v>
                </c:pt>
                <c:pt idx="28">
                  <c:v>176.25</c:v>
                </c:pt>
                <c:pt idx="29">
                  <c:v>182.5</c:v>
                </c:pt>
                <c:pt idx="30">
                  <c:v>188.75</c:v>
                </c:pt>
                <c:pt idx="31">
                  <c:v>195</c:v>
                </c:pt>
                <c:pt idx="32">
                  <c:v>201.25</c:v>
                </c:pt>
                <c:pt idx="33">
                  <c:v>207.5</c:v>
                </c:pt>
                <c:pt idx="34">
                  <c:v>213.75</c:v>
                </c:pt>
                <c:pt idx="35">
                  <c:v>220</c:v>
                </c:pt>
                <c:pt idx="36">
                  <c:v>225.23759999999999</c:v>
                </c:pt>
                <c:pt idx="37">
                  <c:v>232.61879999999999</c:v>
                </c:pt>
                <c:pt idx="38">
                  <c:v>240</c:v>
                </c:pt>
              </c:numCache>
            </c:numRef>
          </c:xVal>
          <c:yVal>
            <c:numRef>
              <c:f>Hasil!$BG$10:$BG$48</c:f>
              <c:numCache>
                <c:formatCode>0.000000E+00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33.781850423400002</c:v>
                </c:pt>
                <c:pt idx="5">
                  <c:v>44.795215001479995</c:v>
                </c:pt>
                <c:pt idx="6">
                  <c:v>60.695433295480001</c:v>
                </c:pt>
                <c:pt idx="7">
                  <c:v>76.247909298319996</c:v>
                </c:pt>
                <c:pt idx="8">
                  <c:v>91.271999537079992</c:v>
                </c:pt>
                <c:pt idx="9">
                  <c:v>105.65397087072</c:v>
                </c:pt>
                <c:pt idx="10">
                  <c:v>119.28083753992</c:v>
                </c:pt>
                <c:pt idx="11">
                  <c:v>132.04333758199999</c:v>
                </c:pt>
                <c:pt idx="12">
                  <c:v>143.83610328639998</c:v>
                </c:pt>
                <c:pt idx="13">
                  <c:v>154.55814633719999</c:v>
                </c:pt>
                <c:pt idx="14">
                  <c:v>164.1130938284</c:v>
                </c:pt>
                <c:pt idx="15">
                  <c:v>172.41034211639999</c:v>
                </c:pt>
                <c:pt idx="16">
                  <c:v>179.36558129839997</c:v>
                </c:pt>
                <c:pt idx="17">
                  <c:v>184.90236864759999</c:v>
                </c:pt>
                <c:pt idx="18">
                  <c:v>188.95370204839998</c:v>
                </c:pt>
                <c:pt idx="19">
                  <c:v>191.4624133552</c:v>
                </c:pt>
                <c:pt idx="20">
                  <c:v>192.38365966480001</c:v>
                </c:pt>
                <c:pt idx="21">
                  <c:v>191.68557891439997</c:v>
                </c:pt>
                <c:pt idx="22">
                  <c:v>189.35086331679997</c:v>
                </c:pt>
                <c:pt idx="23">
                  <c:v>185.37754607799999</c:v>
                </c:pt>
                <c:pt idx="24">
                  <c:v>179.77991923439998</c:v>
                </c:pt>
                <c:pt idx="25">
                  <c:v>172.58945148999999</c:v>
                </c:pt>
                <c:pt idx="26">
                  <c:v>163.85426373799999</c:v>
                </c:pt>
                <c:pt idx="27">
                  <c:v>153.63978465879998</c:v>
                </c:pt>
                <c:pt idx="28">
                  <c:v>142.02770176319999</c:v>
                </c:pt>
                <c:pt idx="29">
                  <c:v>129.11572537711999</c:v>
                </c:pt>
                <c:pt idx="30">
                  <c:v>115.01705105123999</c:v>
                </c:pt>
                <c:pt idx="31">
                  <c:v>99.858969693239985</c:v>
                </c:pt>
                <c:pt idx="32">
                  <c:v>83.78218574588</c:v>
                </c:pt>
                <c:pt idx="33">
                  <c:v>66.936214889039988</c:v>
                </c:pt>
                <c:pt idx="34">
                  <c:v>49.551617827359998</c:v>
                </c:pt>
                <c:pt idx="35">
                  <c:v>37.504899681680001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Hasil!$BH$9</c:f>
              <c:strCache>
                <c:ptCount val="1"/>
                <c:pt idx="0">
                  <c:v>Akhir Tahun Ke-1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Hasil!$BF$10:$BF$48</c:f>
              <c:numCache>
                <c:formatCode>General</c:formatCode>
                <c:ptCount val="39"/>
                <c:pt idx="0">
                  <c:v>0</c:v>
                </c:pt>
                <c:pt idx="1">
                  <c:v>7.3811999999999998</c:v>
                </c:pt>
                <c:pt idx="2">
                  <c:v>14.7624</c:v>
                </c:pt>
                <c:pt idx="3">
                  <c:v>20</c:v>
                </c:pt>
                <c:pt idx="4">
                  <c:v>26.25</c:v>
                </c:pt>
                <c:pt idx="5">
                  <c:v>32.5</c:v>
                </c:pt>
                <c:pt idx="6">
                  <c:v>38.75</c:v>
                </c:pt>
                <c:pt idx="7">
                  <c:v>45</c:v>
                </c:pt>
                <c:pt idx="8">
                  <c:v>51.25</c:v>
                </c:pt>
                <c:pt idx="9">
                  <c:v>57.5</c:v>
                </c:pt>
                <c:pt idx="10">
                  <c:v>63.75</c:v>
                </c:pt>
                <c:pt idx="11">
                  <c:v>70</c:v>
                </c:pt>
                <c:pt idx="12">
                  <c:v>76.25</c:v>
                </c:pt>
                <c:pt idx="13">
                  <c:v>82.5</c:v>
                </c:pt>
                <c:pt idx="14">
                  <c:v>88.75</c:v>
                </c:pt>
                <c:pt idx="15">
                  <c:v>95</c:v>
                </c:pt>
                <c:pt idx="16">
                  <c:v>101.25</c:v>
                </c:pt>
                <c:pt idx="17">
                  <c:v>107.5</c:v>
                </c:pt>
                <c:pt idx="18">
                  <c:v>113.75</c:v>
                </c:pt>
                <c:pt idx="19">
                  <c:v>120</c:v>
                </c:pt>
                <c:pt idx="20">
                  <c:v>126.25</c:v>
                </c:pt>
                <c:pt idx="21">
                  <c:v>132.5</c:v>
                </c:pt>
                <c:pt idx="22">
                  <c:v>138.75</c:v>
                </c:pt>
                <c:pt idx="23">
                  <c:v>145</c:v>
                </c:pt>
                <c:pt idx="24">
                  <c:v>151.25</c:v>
                </c:pt>
                <c:pt idx="25">
                  <c:v>157.5</c:v>
                </c:pt>
                <c:pt idx="26">
                  <c:v>163.75</c:v>
                </c:pt>
                <c:pt idx="27">
                  <c:v>170</c:v>
                </c:pt>
                <c:pt idx="28">
                  <c:v>176.25</c:v>
                </c:pt>
                <c:pt idx="29">
                  <c:v>182.5</c:v>
                </c:pt>
                <c:pt idx="30">
                  <c:v>188.75</c:v>
                </c:pt>
                <c:pt idx="31">
                  <c:v>195</c:v>
                </c:pt>
                <c:pt idx="32">
                  <c:v>201.25</c:v>
                </c:pt>
                <c:pt idx="33">
                  <c:v>207.5</c:v>
                </c:pt>
                <c:pt idx="34">
                  <c:v>213.75</c:v>
                </c:pt>
                <c:pt idx="35">
                  <c:v>220</c:v>
                </c:pt>
                <c:pt idx="36">
                  <c:v>225.23759999999999</c:v>
                </c:pt>
                <c:pt idx="37">
                  <c:v>232.61879999999999</c:v>
                </c:pt>
                <c:pt idx="38">
                  <c:v>240</c:v>
                </c:pt>
              </c:numCache>
            </c:numRef>
          </c:xVal>
          <c:yVal>
            <c:numRef>
              <c:f>Hasil!$BH$10:$BH$48</c:f>
              <c:numCache>
                <c:formatCode>0.000000E+00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31.260237945790003</c:v>
                </c:pt>
                <c:pt idx="5">
                  <c:v>41.144107881170001</c:v>
                </c:pt>
                <c:pt idx="6">
                  <c:v>55.35078300304</c:v>
                </c:pt>
                <c:pt idx="7">
                  <c:v>68.878934597620002</c:v>
                </c:pt>
                <c:pt idx="8">
                  <c:v>81.444573681380007</c:v>
                </c:pt>
                <c:pt idx="9">
                  <c:v>92.804319632359991</c:v>
                </c:pt>
                <c:pt idx="10">
                  <c:v>102.67151909406</c:v>
                </c:pt>
                <c:pt idx="11">
                  <c:v>110.7091548038</c:v>
                </c:pt>
                <c:pt idx="12">
                  <c:v>113.2467367955</c:v>
                </c:pt>
                <c:pt idx="13">
                  <c:v>118.84347511399999</c:v>
                </c:pt>
                <c:pt idx="14">
                  <c:v>124.12235477390001</c:v>
                </c:pt>
                <c:pt idx="15">
                  <c:v>128.8817335407</c:v>
                </c:pt>
                <c:pt idx="16">
                  <c:v>132.96931709949999</c:v>
                </c:pt>
                <c:pt idx="17">
                  <c:v>136.27739013839999</c:v>
                </c:pt>
                <c:pt idx="18">
                  <c:v>138.7216672401</c:v>
                </c:pt>
                <c:pt idx="19">
                  <c:v>140.23082199980001</c:v>
                </c:pt>
                <c:pt idx="20">
                  <c:v>140.43764783929998</c:v>
                </c:pt>
                <c:pt idx="21">
                  <c:v>140.11543495250001</c:v>
                </c:pt>
                <c:pt idx="22">
                  <c:v>138.92351681880001</c:v>
                </c:pt>
                <c:pt idx="23">
                  <c:v>136.84509855799999</c:v>
                </c:pt>
                <c:pt idx="24">
                  <c:v>133.8913767569</c:v>
                </c:pt>
                <c:pt idx="25">
                  <c:v>130.11429113759999</c:v>
                </c:pt>
                <c:pt idx="26">
                  <c:v>125.62445983080001</c:v>
                </c:pt>
                <c:pt idx="27">
                  <c:v>120.59574094820002</c:v>
                </c:pt>
                <c:pt idx="28">
                  <c:v>118.47139594710001</c:v>
                </c:pt>
                <c:pt idx="29">
                  <c:v>110.49372418000002</c:v>
                </c:pt>
                <c:pt idx="30">
                  <c:v>100.39487977806</c:v>
                </c:pt>
                <c:pt idx="31">
                  <c:v>88.519147418170007</c:v>
                </c:pt>
                <c:pt idx="32">
                  <c:v>75.172079880660007</c:v>
                </c:pt>
                <c:pt idx="33">
                  <c:v>60.626003037809994</c:v>
                </c:pt>
                <c:pt idx="34">
                  <c:v>45.209671485930002</c:v>
                </c:pt>
                <c:pt idx="35">
                  <c:v>34.516661544469997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Hasil!$BI$9</c:f>
              <c:strCache>
                <c:ptCount val="1"/>
                <c:pt idx="0">
                  <c:v>Akhir Tahun Ke-3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Hasil!$BF$10:$BF$48</c:f>
              <c:numCache>
                <c:formatCode>General</c:formatCode>
                <c:ptCount val="39"/>
                <c:pt idx="0">
                  <c:v>0</c:v>
                </c:pt>
                <c:pt idx="1">
                  <c:v>7.3811999999999998</c:v>
                </c:pt>
                <c:pt idx="2">
                  <c:v>14.7624</c:v>
                </c:pt>
                <c:pt idx="3">
                  <c:v>20</c:v>
                </c:pt>
                <c:pt idx="4">
                  <c:v>26.25</c:v>
                </c:pt>
                <c:pt idx="5">
                  <c:v>32.5</c:v>
                </c:pt>
                <c:pt idx="6">
                  <c:v>38.75</c:v>
                </c:pt>
                <c:pt idx="7">
                  <c:v>45</c:v>
                </c:pt>
                <c:pt idx="8">
                  <c:v>51.25</c:v>
                </c:pt>
                <c:pt idx="9">
                  <c:v>57.5</c:v>
                </c:pt>
                <c:pt idx="10">
                  <c:v>63.75</c:v>
                </c:pt>
                <c:pt idx="11">
                  <c:v>70</c:v>
                </c:pt>
                <c:pt idx="12">
                  <c:v>76.25</c:v>
                </c:pt>
                <c:pt idx="13">
                  <c:v>82.5</c:v>
                </c:pt>
                <c:pt idx="14">
                  <c:v>88.75</c:v>
                </c:pt>
                <c:pt idx="15">
                  <c:v>95</c:v>
                </c:pt>
                <c:pt idx="16">
                  <c:v>101.25</c:v>
                </c:pt>
                <c:pt idx="17">
                  <c:v>107.5</c:v>
                </c:pt>
                <c:pt idx="18">
                  <c:v>113.75</c:v>
                </c:pt>
                <c:pt idx="19">
                  <c:v>120</c:v>
                </c:pt>
                <c:pt idx="20">
                  <c:v>126.25</c:v>
                </c:pt>
                <c:pt idx="21">
                  <c:v>132.5</c:v>
                </c:pt>
                <c:pt idx="22">
                  <c:v>138.75</c:v>
                </c:pt>
                <c:pt idx="23">
                  <c:v>145</c:v>
                </c:pt>
                <c:pt idx="24">
                  <c:v>151.25</c:v>
                </c:pt>
                <c:pt idx="25">
                  <c:v>157.5</c:v>
                </c:pt>
                <c:pt idx="26">
                  <c:v>163.75</c:v>
                </c:pt>
                <c:pt idx="27">
                  <c:v>170</c:v>
                </c:pt>
                <c:pt idx="28">
                  <c:v>176.25</c:v>
                </c:pt>
                <c:pt idx="29">
                  <c:v>182.5</c:v>
                </c:pt>
                <c:pt idx="30">
                  <c:v>188.75</c:v>
                </c:pt>
                <c:pt idx="31">
                  <c:v>195</c:v>
                </c:pt>
                <c:pt idx="32">
                  <c:v>201.25</c:v>
                </c:pt>
                <c:pt idx="33">
                  <c:v>207.5</c:v>
                </c:pt>
                <c:pt idx="34">
                  <c:v>213.75</c:v>
                </c:pt>
                <c:pt idx="35">
                  <c:v>220</c:v>
                </c:pt>
                <c:pt idx="36">
                  <c:v>225.23759999999999</c:v>
                </c:pt>
                <c:pt idx="37">
                  <c:v>232.61879999999999</c:v>
                </c:pt>
                <c:pt idx="38">
                  <c:v>240</c:v>
                </c:pt>
              </c:numCache>
            </c:numRef>
          </c:xVal>
          <c:yVal>
            <c:numRef>
              <c:f>Hasil!$BI$10:$BI$48</c:f>
              <c:numCache>
                <c:formatCode>0.000000E+00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30.408395746876</c:v>
                </c:pt>
                <c:pt idx="5">
                  <c:v>41.137761867496003</c:v>
                </c:pt>
                <c:pt idx="6">
                  <c:v>54.546948749622004</c:v>
                </c:pt>
                <c:pt idx="7">
                  <c:v>66.329804411332006</c:v>
                </c:pt>
                <c:pt idx="8">
                  <c:v>76.118656168982</c:v>
                </c:pt>
                <c:pt idx="9">
                  <c:v>83.589407479060014</c:v>
                </c:pt>
                <c:pt idx="10">
                  <c:v>88.463958834859994</c:v>
                </c:pt>
                <c:pt idx="11">
                  <c:v>90.607291315940003</c:v>
                </c:pt>
                <c:pt idx="12">
                  <c:v>89.25518456959999</c:v>
                </c:pt>
                <c:pt idx="13">
                  <c:v>88.852740459139994</c:v>
                </c:pt>
                <c:pt idx="14">
                  <c:v>88.681599842780017</c:v>
                </c:pt>
                <c:pt idx="15">
                  <c:v>88.738886407639995</c:v>
                </c:pt>
                <c:pt idx="16">
                  <c:v>88.943344314859999</c:v>
                </c:pt>
                <c:pt idx="17">
                  <c:v>89.216913628780006</c:v>
                </c:pt>
                <c:pt idx="18">
                  <c:v>89.492160791879996</c:v>
                </c:pt>
                <c:pt idx="19">
                  <c:v>89.717152377160005</c:v>
                </c:pt>
                <c:pt idx="20">
                  <c:v>89.635976435879996</c:v>
                </c:pt>
                <c:pt idx="21">
                  <c:v>89.928641271420005</c:v>
                </c:pt>
                <c:pt idx="22">
                  <c:v>90.361606257440002</c:v>
                </c:pt>
                <c:pt idx="23">
                  <c:v>90.928958973020002</c:v>
                </c:pt>
                <c:pt idx="24">
                  <c:v>91.635493272960005</c:v>
                </c:pt>
                <c:pt idx="25">
                  <c:v>92.503580479660016</c:v>
                </c:pt>
                <c:pt idx="26">
                  <c:v>93.567736347679997</c:v>
                </c:pt>
                <c:pt idx="27">
                  <c:v>94.795762152280005</c:v>
                </c:pt>
                <c:pt idx="28">
                  <c:v>97.371580233900005</c:v>
                </c:pt>
                <c:pt idx="29">
                  <c:v>95.656978167099993</c:v>
                </c:pt>
                <c:pt idx="30">
                  <c:v>90.873510052500009</c:v>
                </c:pt>
                <c:pt idx="31">
                  <c:v>83.147414066500005</c:v>
                </c:pt>
                <c:pt idx="32">
                  <c:v>72.763628948654002</c:v>
                </c:pt>
                <c:pt idx="33">
                  <c:v>60.069717161720007</c:v>
                </c:pt>
                <c:pt idx="34">
                  <c:v>45.476360256656001</c:v>
                </c:pt>
                <c:pt idx="35">
                  <c:v>33.905984219198004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Hasil!$BJ$9</c:f>
              <c:strCache>
                <c:ptCount val="1"/>
                <c:pt idx="0">
                  <c:v>Akhir Tahun Ke-5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Hasil!$BF$10:$BF$48</c:f>
              <c:numCache>
                <c:formatCode>General</c:formatCode>
                <c:ptCount val="39"/>
                <c:pt idx="0">
                  <c:v>0</c:v>
                </c:pt>
                <c:pt idx="1">
                  <c:v>7.3811999999999998</c:v>
                </c:pt>
                <c:pt idx="2">
                  <c:v>14.7624</c:v>
                </c:pt>
                <c:pt idx="3">
                  <c:v>20</c:v>
                </c:pt>
                <c:pt idx="4">
                  <c:v>26.25</c:v>
                </c:pt>
                <c:pt idx="5">
                  <c:v>32.5</c:v>
                </c:pt>
                <c:pt idx="6">
                  <c:v>38.75</c:v>
                </c:pt>
                <c:pt idx="7">
                  <c:v>45</c:v>
                </c:pt>
                <c:pt idx="8">
                  <c:v>51.25</c:v>
                </c:pt>
                <c:pt idx="9">
                  <c:v>57.5</c:v>
                </c:pt>
                <c:pt idx="10">
                  <c:v>63.75</c:v>
                </c:pt>
                <c:pt idx="11">
                  <c:v>70</c:v>
                </c:pt>
                <c:pt idx="12">
                  <c:v>76.25</c:v>
                </c:pt>
                <c:pt idx="13">
                  <c:v>82.5</c:v>
                </c:pt>
                <c:pt idx="14">
                  <c:v>88.75</c:v>
                </c:pt>
                <c:pt idx="15">
                  <c:v>95</c:v>
                </c:pt>
                <c:pt idx="16">
                  <c:v>101.25</c:v>
                </c:pt>
                <c:pt idx="17">
                  <c:v>107.5</c:v>
                </c:pt>
                <c:pt idx="18">
                  <c:v>113.75</c:v>
                </c:pt>
                <c:pt idx="19">
                  <c:v>120</c:v>
                </c:pt>
                <c:pt idx="20">
                  <c:v>126.25</c:v>
                </c:pt>
                <c:pt idx="21">
                  <c:v>132.5</c:v>
                </c:pt>
                <c:pt idx="22">
                  <c:v>138.75</c:v>
                </c:pt>
                <c:pt idx="23">
                  <c:v>145</c:v>
                </c:pt>
                <c:pt idx="24">
                  <c:v>151.25</c:v>
                </c:pt>
                <c:pt idx="25">
                  <c:v>157.5</c:v>
                </c:pt>
                <c:pt idx="26">
                  <c:v>163.75</c:v>
                </c:pt>
                <c:pt idx="27">
                  <c:v>170</c:v>
                </c:pt>
                <c:pt idx="28">
                  <c:v>176.25</c:v>
                </c:pt>
                <c:pt idx="29">
                  <c:v>182.5</c:v>
                </c:pt>
                <c:pt idx="30">
                  <c:v>188.75</c:v>
                </c:pt>
                <c:pt idx="31">
                  <c:v>195</c:v>
                </c:pt>
                <c:pt idx="32">
                  <c:v>201.25</c:v>
                </c:pt>
                <c:pt idx="33">
                  <c:v>207.5</c:v>
                </c:pt>
                <c:pt idx="34">
                  <c:v>213.75</c:v>
                </c:pt>
                <c:pt idx="35">
                  <c:v>220</c:v>
                </c:pt>
                <c:pt idx="36">
                  <c:v>225.23759999999999</c:v>
                </c:pt>
                <c:pt idx="37">
                  <c:v>232.61879999999999</c:v>
                </c:pt>
                <c:pt idx="38">
                  <c:v>240</c:v>
                </c:pt>
              </c:numCache>
            </c:numRef>
          </c:xVal>
          <c:yVal>
            <c:numRef>
              <c:f>Hasil!$BJ$10:$BJ$48</c:f>
              <c:numCache>
                <c:formatCode>0.000000E+00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28.671662728800001</c:v>
                </c:pt>
                <c:pt idx="5">
                  <c:v>38.908274605199999</c:v>
                </c:pt>
                <c:pt idx="6">
                  <c:v>51.332169552300002</c:v>
                </c:pt>
                <c:pt idx="7">
                  <c:v>61.908198288299999</c:v>
                </c:pt>
                <c:pt idx="8">
                  <c:v>70.282057481999999</c:v>
                </c:pt>
                <c:pt idx="9">
                  <c:v>76.124931245999989</c:v>
                </c:pt>
                <c:pt idx="10">
                  <c:v>79.143289407000012</c:v>
                </c:pt>
                <c:pt idx="11">
                  <c:v>79.138645677</c:v>
                </c:pt>
                <c:pt idx="12">
                  <c:v>72.750199976999994</c:v>
                </c:pt>
                <c:pt idx="13">
                  <c:v>70.515637100999996</c:v>
                </c:pt>
                <c:pt idx="14">
                  <c:v>68.915606760000003</c:v>
                </c:pt>
                <c:pt idx="15">
                  <c:v>67.831494821999996</c:v>
                </c:pt>
                <c:pt idx="16">
                  <c:v>67.142365290000001</c:v>
                </c:pt>
                <c:pt idx="17">
                  <c:v>66.757665428999999</c:v>
                </c:pt>
                <c:pt idx="18">
                  <c:v>66.608270000999994</c:v>
                </c:pt>
                <c:pt idx="19">
                  <c:v>66.643296992999993</c:v>
                </c:pt>
                <c:pt idx="20">
                  <c:v>66.632749092000012</c:v>
                </c:pt>
                <c:pt idx="21">
                  <c:v>67.139181018000002</c:v>
                </c:pt>
                <c:pt idx="22">
                  <c:v>67.958799362999997</c:v>
                </c:pt>
                <c:pt idx="23">
                  <c:v>69.09439036500001</c:v>
                </c:pt>
                <c:pt idx="24">
                  <c:v>70.565524029000002</c:v>
                </c:pt>
                <c:pt idx="25">
                  <c:v>72.417708908999998</c:v>
                </c:pt>
                <c:pt idx="26">
                  <c:v>74.731281534000004</c:v>
                </c:pt>
                <c:pt idx="27">
                  <c:v>77.587838873999999</c:v>
                </c:pt>
                <c:pt idx="28">
                  <c:v>84.558674655000004</c:v>
                </c:pt>
                <c:pt idx="29">
                  <c:v>84.872723480999994</c:v>
                </c:pt>
                <c:pt idx="30">
                  <c:v>81.925016354999997</c:v>
                </c:pt>
                <c:pt idx="31">
                  <c:v>75.893341797000005</c:v>
                </c:pt>
                <c:pt idx="32">
                  <c:v>67.066606152000006</c:v>
                </c:pt>
                <c:pt idx="33">
                  <c:v>55.784697286499998</c:v>
                </c:pt>
                <c:pt idx="34">
                  <c:v>42.4291838607</c:v>
                </c:pt>
                <c:pt idx="35">
                  <c:v>31.517420079599997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Hasil!$BK$9</c:f>
              <c:strCache>
                <c:ptCount val="1"/>
                <c:pt idx="0">
                  <c:v>Akhir Tahun Ke-7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Hasil!$BF$10:$BF$48</c:f>
              <c:numCache>
                <c:formatCode>General</c:formatCode>
                <c:ptCount val="39"/>
                <c:pt idx="0">
                  <c:v>0</c:v>
                </c:pt>
                <c:pt idx="1">
                  <c:v>7.3811999999999998</c:v>
                </c:pt>
                <c:pt idx="2">
                  <c:v>14.7624</c:v>
                </c:pt>
                <c:pt idx="3">
                  <c:v>20</c:v>
                </c:pt>
                <c:pt idx="4">
                  <c:v>26.25</c:v>
                </c:pt>
                <c:pt idx="5">
                  <c:v>32.5</c:v>
                </c:pt>
                <c:pt idx="6">
                  <c:v>38.75</c:v>
                </c:pt>
                <c:pt idx="7">
                  <c:v>45</c:v>
                </c:pt>
                <c:pt idx="8">
                  <c:v>51.25</c:v>
                </c:pt>
                <c:pt idx="9">
                  <c:v>57.5</c:v>
                </c:pt>
                <c:pt idx="10">
                  <c:v>63.75</c:v>
                </c:pt>
                <c:pt idx="11">
                  <c:v>70</c:v>
                </c:pt>
                <c:pt idx="12">
                  <c:v>76.25</c:v>
                </c:pt>
                <c:pt idx="13">
                  <c:v>82.5</c:v>
                </c:pt>
                <c:pt idx="14">
                  <c:v>88.75</c:v>
                </c:pt>
                <c:pt idx="15">
                  <c:v>95</c:v>
                </c:pt>
                <c:pt idx="16">
                  <c:v>101.25</c:v>
                </c:pt>
                <c:pt idx="17">
                  <c:v>107.5</c:v>
                </c:pt>
                <c:pt idx="18">
                  <c:v>113.75</c:v>
                </c:pt>
                <c:pt idx="19">
                  <c:v>120</c:v>
                </c:pt>
                <c:pt idx="20">
                  <c:v>126.25</c:v>
                </c:pt>
                <c:pt idx="21">
                  <c:v>132.5</c:v>
                </c:pt>
                <c:pt idx="22">
                  <c:v>138.75</c:v>
                </c:pt>
                <c:pt idx="23">
                  <c:v>145</c:v>
                </c:pt>
                <c:pt idx="24">
                  <c:v>151.25</c:v>
                </c:pt>
                <c:pt idx="25">
                  <c:v>157.5</c:v>
                </c:pt>
                <c:pt idx="26">
                  <c:v>163.75</c:v>
                </c:pt>
                <c:pt idx="27">
                  <c:v>170</c:v>
                </c:pt>
                <c:pt idx="28">
                  <c:v>176.25</c:v>
                </c:pt>
                <c:pt idx="29">
                  <c:v>182.5</c:v>
                </c:pt>
                <c:pt idx="30">
                  <c:v>188.75</c:v>
                </c:pt>
                <c:pt idx="31">
                  <c:v>195</c:v>
                </c:pt>
                <c:pt idx="32">
                  <c:v>201.25</c:v>
                </c:pt>
                <c:pt idx="33">
                  <c:v>207.5</c:v>
                </c:pt>
                <c:pt idx="34">
                  <c:v>213.75</c:v>
                </c:pt>
                <c:pt idx="35">
                  <c:v>220</c:v>
                </c:pt>
                <c:pt idx="36">
                  <c:v>225.23759999999999</c:v>
                </c:pt>
                <c:pt idx="37">
                  <c:v>232.61879999999999</c:v>
                </c:pt>
                <c:pt idx="38">
                  <c:v>240</c:v>
                </c:pt>
              </c:numCache>
            </c:numRef>
          </c:xVal>
          <c:yVal>
            <c:numRef>
              <c:f>Hasil!$BK$10:$BK$48</c:f>
              <c:numCache>
                <c:formatCode>0.000000E+00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28.114765046635</c:v>
                </c:pt>
                <c:pt idx="5">
                  <c:v>38.239681514485</c:v>
                </c:pt>
                <c:pt idx="6">
                  <c:v>50.296107134535006</c:v>
                </c:pt>
                <c:pt idx="7">
                  <c:v>60.351672767450012</c:v>
                </c:pt>
                <c:pt idx="8">
                  <c:v>68.076534635250013</c:v>
                </c:pt>
                <c:pt idx="9">
                  <c:v>73.1660412807</c:v>
                </c:pt>
                <c:pt idx="10">
                  <c:v>75.354407552550001</c:v>
                </c:pt>
                <c:pt idx="11">
                  <c:v>74.463425241099998</c:v>
                </c:pt>
                <c:pt idx="12">
                  <c:v>67.144436388800003</c:v>
                </c:pt>
                <c:pt idx="13">
                  <c:v>64.101093617150013</c:v>
                </c:pt>
                <c:pt idx="14">
                  <c:v>61.726824582050007</c:v>
                </c:pt>
                <c:pt idx="15">
                  <c:v>59.894933466650009</c:v>
                </c:pt>
                <c:pt idx="16">
                  <c:v>58.496715612515004</c:v>
                </c:pt>
                <c:pt idx="17">
                  <c:v>57.460200512280004</c:v>
                </c:pt>
                <c:pt idx="18">
                  <c:v>56.73344699263</c:v>
                </c:pt>
                <c:pt idx="19">
                  <c:v>56.277612242400004</c:v>
                </c:pt>
                <c:pt idx="20">
                  <c:v>55.901630511645003</c:v>
                </c:pt>
                <c:pt idx="21">
                  <c:v>56.087879823490006</c:v>
                </c:pt>
                <c:pt idx="22">
                  <c:v>56.660677661385009</c:v>
                </c:pt>
                <c:pt idx="23">
                  <c:v>57.616517423445003</c:v>
                </c:pt>
                <c:pt idx="24">
                  <c:v>58.964891016949998</c:v>
                </c:pt>
                <c:pt idx="25">
                  <c:v>60.736870341349999</c:v>
                </c:pt>
                <c:pt idx="26">
                  <c:v>62.99906908505001</c:v>
                </c:pt>
                <c:pt idx="27">
                  <c:v>65.834541436750001</c:v>
                </c:pt>
                <c:pt idx="28">
                  <c:v>72.515176029649993</c:v>
                </c:pt>
                <c:pt idx="29">
                  <c:v>73.220079366700006</c:v>
                </c:pt>
                <c:pt idx="30">
                  <c:v>71.013210924099994</c:v>
                </c:pt>
                <c:pt idx="31">
                  <c:v>66.046699661350004</c:v>
                </c:pt>
                <c:pt idx="32">
                  <c:v>58.560504048815005</c:v>
                </c:pt>
                <c:pt idx="33">
                  <c:v>48.836550179085002</c:v>
                </c:pt>
                <c:pt idx="34">
                  <c:v>37.186303007195001</c:v>
                </c:pt>
                <c:pt idx="35">
                  <c:v>27.507423949635001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17328"/>
        <c:axId val="381010256"/>
      </c:scatterChart>
      <c:valAx>
        <c:axId val="381017328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Aksial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1010256"/>
        <c:crosses val="autoZero"/>
        <c:crossBetween val="midCat"/>
      </c:valAx>
      <c:valAx>
        <c:axId val="381010256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Densitas Daya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101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300404</xdr:colOff>
      <xdr:row>75</xdr:row>
      <xdr:rowOff>64844</xdr:rowOff>
    </xdr:from>
    <xdr:to>
      <xdr:col>9</xdr:col>
      <xdr:colOff>590550</xdr:colOff>
      <xdr:row>98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736</xdr:colOff>
      <xdr:row>75</xdr:row>
      <xdr:rowOff>154964</xdr:rowOff>
    </xdr:from>
    <xdr:to>
      <xdr:col>24</xdr:col>
      <xdr:colOff>408214</xdr:colOff>
      <xdr:row>99</xdr:row>
      <xdr:rowOff>68036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76201</xdr:colOff>
      <xdr:row>51</xdr:row>
      <xdr:rowOff>80962</xdr:rowOff>
    </xdr:from>
    <xdr:to>
      <xdr:col>59</xdr:col>
      <xdr:colOff>85726</xdr:colOff>
      <xdr:row>68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42" workbookViewId="0">
      <selection activeCell="A55" sqref="A55:G56"/>
    </sheetView>
  </sheetViews>
  <sheetFormatPr defaultRowHeight="15" x14ac:dyDescent="0.25"/>
  <cols>
    <col min="1" max="1" width="41.85546875" bestFit="1" customWidth="1"/>
    <col min="2" max="2" width="7" bestFit="1" customWidth="1"/>
    <col min="3" max="3" width="9.5703125" bestFit="1" customWidth="1"/>
    <col min="4" max="4" width="11" bestFit="1" customWidth="1"/>
    <col min="5" max="5" width="7" bestFit="1" customWidth="1"/>
    <col min="6" max="6" width="12" bestFit="1" customWidth="1"/>
    <col min="7" max="7" width="9.5703125" bestFit="1" customWidth="1"/>
    <col min="10" max="10" width="2" bestFit="1" customWidth="1"/>
    <col min="11" max="11" width="36.42578125" bestFit="1" customWidth="1"/>
  </cols>
  <sheetData>
    <row r="1" spans="1:7" ht="15" customHeight="1" x14ac:dyDescent="0.25">
      <c r="A1" s="159" t="s">
        <v>35</v>
      </c>
      <c r="B1" s="160" t="s">
        <v>143</v>
      </c>
      <c r="C1" s="160"/>
      <c r="D1" s="160" t="s">
        <v>144</v>
      </c>
      <c r="E1" s="160"/>
      <c r="F1" s="160" t="s">
        <v>145</v>
      </c>
      <c r="G1" s="160"/>
    </row>
    <row r="2" spans="1:7" x14ac:dyDescent="0.25">
      <c r="A2" s="159"/>
      <c r="B2" s="27" t="s">
        <v>36</v>
      </c>
      <c r="C2" s="27" t="s">
        <v>37</v>
      </c>
      <c r="D2" s="27" t="s">
        <v>36</v>
      </c>
      <c r="E2" s="27" t="s">
        <v>37</v>
      </c>
      <c r="F2" s="28" t="s">
        <v>36</v>
      </c>
      <c r="G2" s="28" t="s">
        <v>37</v>
      </c>
    </row>
    <row r="3" spans="1:7" x14ac:dyDescent="0.25">
      <c r="A3" s="156" t="s">
        <v>146</v>
      </c>
      <c r="B3" s="157"/>
      <c r="C3" s="157"/>
      <c r="D3" s="157"/>
      <c r="E3" s="157"/>
      <c r="F3" s="157"/>
      <c r="G3" s="158"/>
    </row>
    <row r="4" spans="1:7" x14ac:dyDescent="0.25">
      <c r="A4" s="3" t="s">
        <v>147</v>
      </c>
      <c r="B4" s="3">
        <v>59.25</v>
      </c>
      <c r="C4" s="3" t="s">
        <v>148</v>
      </c>
      <c r="D4" s="3">
        <f>B4*2.54</f>
        <v>150.495</v>
      </c>
      <c r="E4" s="3" t="s">
        <v>149</v>
      </c>
      <c r="F4" s="3">
        <v>165</v>
      </c>
      <c r="G4" s="3" t="s">
        <v>149</v>
      </c>
    </row>
    <row r="5" spans="1:7" x14ac:dyDescent="0.25">
      <c r="A5" s="3" t="s">
        <v>150</v>
      </c>
      <c r="B5" s="3">
        <v>78.739999999999995</v>
      </c>
      <c r="C5" s="3" t="s">
        <v>148</v>
      </c>
      <c r="D5" s="3">
        <f>B5*2.54</f>
        <v>199.99959999999999</v>
      </c>
      <c r="E5" s="3" t="s">
        <v>149</v>
      </c>
      <c r="F5" s="3">
        <v>200</v>
      </c>
      <c r="G5" s="3" t="s">
        <v>149</v>
      </c>
    </row>
    <row r="6" spans="1:7" x14ac:dyDescent="0.25">
      <c r="A6" s="3" t="s">
        <v>230</v>
      </c>
      <c r="B6" s="3"/>
      <c r="C6" s="3"/>
      <c r="D6" s="3"/>
      <c r="E6" s="3"/>
      <c r="F6" s="3">
        <f>PI()*(F4/2)^2*F5</f>
        <v>4276492.9996991055</v>
      </c>
      <c r="G6" s="3" t="s">
        <v>231</v>
      </c>
    </row>
    <row r="7" spans="1:7" x14ac:dyDescent="0.25">
      <c r="A7" s="3" t="s">
        <v>43</v>
      </c>
      <c r="B7" s="3"/>
      <c r="C7" s="3"/>
      <c r="D7" s="3"/>
      <c r="E7" s="3"/>
      <c r="F7" s="3">
        <f>0.96*10.96</f>
        <v>10.521600000000001</v>
      </c>
      <c r="G7" s="3" t="s">
        <v>42</v>
      </c>
    </row>
    <row r="8" spans="1:7" x14ac:dyDescent="0.25">
      <c r="A8" s="12" t="s">
        <v>232</v>
      </c>
      <c r="B8" s="3"/>
      <c r="C8" s="3"/>
      <c r="D8" s="3"/>
      <c r="E8" s="3"/>
      <c r="F8" s="3">
        <f>F7*F6</f>
        <v>44995548.745634116</v>
      </c>
      <c r="G8" s="12" t="s">
        <v>233</v>
      </c>
    </row>
    <row r="9" spans="1:7" x14ac:dyDescent="0.25">
      <c r="A9" s="3"/>
      <c r="B9" s="3"/>
      <c r="C9" s="3"/>
      <c r="D9" s="3"/>
      <c r="E9" s="3"/>
      <c r="F9" s="3">
        <f>F8/1000000</f>
        <v>44.995548745634117</v>
      </c>
      <c r="G9" s="12" t="s">
        <v>234</v>
      </c>
    </row>
    <row r="10" spans="1:7" x14ac:dyDescent="0.25">
      <c r="A10" s="156" t="s">
        <v>12</v>
      </c>
      <c r="B10" s="157"/>
      <c r="C10" s="157"/>
      <c r="D10" s="157"/>
      <c r="E10" s="157"/>
      <c r="F10" s="157"/>
      <c r="G10" s="158"/>
    </row>
    <row r="11" spans="1:7" x14ac:dyDescent="0.25">
      <c r="A11" s="3" t="s">
        <v>61</v>
      </c>
      <c r="B11" s="3">
        <v>37</v>
      </c>
      <c r="C11" s="3"/>
      <c r="D11" s="3">
        <v>37</v>
      </c>
      <c r="E11" s="3"/>
      <c r="F11" s="3">
        <v>37</v>
      </c>
      <c r="G11" s="3"/>
    </row>
    <row r="12" spans="1:7" x14ac:dyDescent="0.25">
      <c r="A12" s="3" t="s">
        <v>151</v>
      </c>
      <c r="B12" s="161" t="s">
        <v>152</v>
      </c>
      <c r="C12" s="161"/>
      <c r="D12" s="161" t="s">
        <v>152</v>
      </c>
      <c r="E12" s="161"/>
      <c r="F12" s="161" t="s">
        <v>152</v>
      </c>
      <c r="G12" s="161"/>
    </row>
    <row r="13" spans="1:7" x14ac:dyDescent="0.25">
      <c r="A13" s="3" t="s">
        <v>153</v>
      </c>
      <c r="B13" s="3">
        <v>94</v>
      </c>
      <c r="C13" s="3" t="s">
        <v>148</v>
      </c>
      <c r="D13" s="3">
        <f>B13*2.54</f>
        <v>238.76</v>
      </c>
      <c r="E13" s="3" t="s">
        <v>149</v>
      </c>
      <c r="F13" s="3">
        <v>238.76</v>
      </c>
      <c r="G13" s="3" t="s">
        <v>149</v>
      </c>
    </row>
    <row r="14" spans="1:7" x14ac:dyDescent="0.25">
      <c r="A14" s="3" t="s">
        <v>154</v>
      </c>
      <c r="B14" s="3">
        <v>8.4659999999999993</v>
      </c>
      <c r="C14" s="3" t="s">
        <v>148</v>
      </c>
      <c r="D14" s="3">
        <f>B14*2.54</f>
        <v>21.503639999999997</v>
      </c>
      <c r="E14" s="3" t="s">
        <v>149</v>
      </c>
      <c r="F14" s="3">
        <v>21.503639999999997</v>
      </c>
      <c r="G14" s="3" t="s">
        <v>149</v>
      </c>
    </row>
    <row r="15" spans="1:7" x14ac:dyDescent="0.25">
      <c r="A15" s="3" t="s">
        <v>155</v>
      </c>
      <c r="B15" s="3">
        <v>0.496</v>
      </c>
      <c r="C15" s="3" t="s">
        <v>148</v>
      </c>
      <c r="D15" s="3">
        <f>B15*2.54</f>
        <v>1.2598400000000001</v>
      </c>
      <c r="E15" s="3" t="s">
        <v>149</v>
      </c>
      <c r="F15" s="3">
        <v>1.2598400000000001</v>
      </c>
      <c r="G15" s="3" t="s">
        <v>149</v>
      </c>
    </row>
    <row r="16" spans="1:7" x14ac:dyDescent="0.25">
      <c r="A16" s="3" t="s">
        <v>156</v>
      </c>
      <c r="B16" s="3">
        <v>5</v>
      </c>
      <c r="C16" s="3"/>
      <c r="D16" s="3">
        <v>5</v>
      </c>
      <c r="E16" s="3"/>
      <c r="F16" s="3">
        <v>5</v>
      </c>
      <c r="G16" s="3"/>
    </row>
    <row r="17" spans="1:7" x14ac:dyDescent="0.25">
      <c r="A17" s="3" t="s">
        <v>157</v>
      </c>
      <c r="B17" s="3">
        <v>1.75</v>
      </c>
      <c r="C17" s="3" t="s">
        <v>148</v>
      </c>
      <c r="D17" s="3">
        <f>B17*2.54</f>
        <v>4.4450000000000003</v>
      </c>
      <c r="E17" s="3" t="s">
        <v>149</v>
      </c>
      <c r="F17" s="3">
        <v>4.4450000000000003</v>
      </c>
      <c r="G17" s="3" t="s">
        <v>149</v>
      </c>
    </row>
    <row r="18" spans="1:7" x14ac:dyDescent="0.25">
      <c r="A18" s="3" t="s">
        <v>158</v>
      </c>
      <c r="B18" s="3">
        <v>264</v>
      </c>
      <c r="C18" s="3"/>
      <c r="D18" s="3">
        <v>264</v>
      </c>
      <c r="E18" s="3"/>
      <c r="F18" s="3">
        <v>264</v>
      </c>
      <c r="G18" s="3"/>
    </row>
    <row r="19" spans="1:7" x14ac:dyDescent="0.25">
      <c r="A19" s="3" t="s">
        <v>159</v>
      </c>
      <c r="B19" s="3">
        <v>24</v>
      </c>
      <c r="C19" s="3"/>
      <c r="D19" s="3">
        <v>24</v>
      </c>
      <c r="E19" s="3"/>
      <c r="F19" s="3">
        <v>24</v>
      </c>
      <c r="G19" s="3"/>
    </row>
    <row r="20" spans="1:7" x14ac:dyDescent="0.25">
      <c r="A20" s="3" t="s">
        <v>160</v>
      </c>
      <c r="B20" s="3">
        <v>1</v>
      </c>
      <c r="C20" s="3"/>
      <c r="D20" s="3">
        <v>1</v>
      </c>
      <c r="E20" s="3"/>
      <c r="F20" s="3">
        <v>1</v>
      </c>
      <c r="G20" s="3"/>
    </row>
    <row r="21" spans="1:7" x14ac:dyDescent="0.25">
      <c r="A21" s="12" t="s">
        <v>161</v>
      </c>
      <c r="B21" s="3"/>
      <c r="C21" s="3"/>
      <c r="D21" s="3"/>
      <c r="E21" s="3"/>
      <c r="F21" s="12">
        <v>0.04</v>
      </c>
      <c r="G21" s="3" t="s">
        <v>149</v>
      </c>
    </row>
    <row r="22" spans="1:7" x14ac:dyDescent="0.25">
      <c r="A22" s="156" t="s">
        <v>162</v>
      </c>
      <c r="B22" s="157"/>
      <c r="C22" s="157"/>
      <c r="D22" s="157"/>
      <c r="E22" s="157"/>
      <c r="F22" s="157"/>
      <c r="G22" s="158"/>
    </row>
    <row r="23" spans="1:7" x14ac:dyDescent="0.25">
      <c r="A23" s="3" t="s">
        <v>61</v>
      </c>
      <c r="B23" s="3">
        <v>264</v>
      </c>
      <c r="C23" s="3"/>
      <c r="D23" s="3">
        <v>264</v>
      </c>
      <c r="E23" s="3"/>
      <c r="F23" s="3">
        <v>264</v>
      </c>
      <c r="G23" s="3"/>
    </row>
    <row r="24" spans="1:7" x14ac:dyDescent="0.25">
      <c r="A24" s="3" t="s">
        <v>11</v>
      </c>
      <c r="B24" s="3">
        <v>6.4999999999999997E-3</v>
      </c>
      <c r="C24" s="3" t="s">
        <v>148</v>
      </c>
      <c r="D24" s="3">
        <f>B24*2.54</f>
        <v>1.651E-2</v>
      </c>
      <c r="E24" s="3" t="s">
        <v>149</v>
      </c>
      <c r="F24" s="3">
        <v>1.651E-2</v>
      </c>
      <c r="G24" s="3" t="s">
        <v>149</v>
      </c>
    </row>
    <row r="25" spans="1:7" x14ac:dyDescent="0.25">
      <c r="A25" s="3" t="s">
        <v>163</v>
      </c>
      <c r="B25" s="161" t="s">
        <v>164</v>
      </c>
      <c r="C25" s="161"/>
      <c r="D25" s="161" t="s">
        <v>164</v>
      </c>
      <c r="E25" s="161"/>
      <c r="F25" s="161" t="s">
        <v>165</v>
      </c>
      <c r="G25" s="161"/>
    </row>
    <row r="26" spans="1:7" x14ac:dyDescent="0.25">
      <c r="A26" s="3" t="s">
        <v>166</v>
      </c>
      <c r="B26" s="3">
        <v>0.374</v>
      </c>
      <c r="C26" s="3" t="s">
        <v>148</v>
      </c>
      <c r="D26" s="3">
        <f>B26*2.54</f>
        <v>0.94996000000000003</v>
      </c>
      <c r="E26" s="3" t="s">
        <v>149</v>
      </c>
      <c r="F26" s="3">
        <v>0.94996000000000003</v>
      </c>
      <c r="G26" s="3" t="s">
        <v>149</v>
      </c>
    </row>
    <row r="27" spans="1:7" x14ac:dyDescent="0.25">
      <c r="A27" s="3" t="s">
        <v>167</v>
      </c>
      <c r="B27" s="3">
        <v>0.32600000000000001</v>
      </c>
      <c r="C27" s="3" t="s">
        <v>148</v>
      </c>
      <c r="D27" s="3">
        <f>B27*2.54</f>
        <v>0.82804</v>
      </c>
      <c r="E27" s="3" t="s">
        <v>149</v>
      </c>
      <c r="F27" s="3">
        <v>0.82804</v>
      </c>
      <c r="G27" s="3" t="s">
        <v>149</v>
      </c>
    </row>
    <row r="28" spans="1:7" x14ac:dyDescent="0.25">
      <c r="A28" s="3" t="s">
        <v>168</v>
      </c>
      <c r="B28" s="3">
        <v>2.4E-2</v>
      </c>
      <c r="C28" s="3" t="s">
        <v>148</v>
      </c>
      <c r="D28" s="3">
        <f>B28*2.54</f>
        <v>6.096E-2</v>
      </c>
      <c r="E28" s="3" t="s">
        <v>149</v>
      </c>
      <c r="F28" s="3">
        <v>6.096E-2</v>
      </c>
      <c r="G28" s="3" t="s">
        <v>149</v>
      </c>
    </row>
    <row r="29" spans="1:7" x14ac:dyDescent="0.25">
      <c r="A29" s="3" t="s">
        <v>169</v>
      </c>
      <c r="B29" s="3">
        <v>85</v>
      </c>
      <c r="C29" s="3" t="s">
        <v>148</v>
      </c>
      <c r="D29" s="3">
        <f>B29*2.54</f>
        <v>215.9</v>
      </c>
      <c r="E29" s="3" t="s">
        <v>149</v>
      </c>
      <c r="F29" s="3">
        <v>215.9</v>
      </c>
      <c r="G29" s="3" t="s">
        <v>149</v>
      </c>
    </row>
    <row r="30" spans="1:7" x14ac:dyDescent="0.25">
      <c r="A30" s="3" t="s">
        <v>170</v>
      </c>
      <c r="B30" s="161" t="s">
        <v>171</v>
      </c>
      <c r="C30" s="161"/>
      <c r="D30" s="161" t="s">
        <v>171</v>
      </c>
      <c r="E30" s="161"/>
      <c r="F30" s="161" t="s">
        <v>171</v>
      </c>
      <c r="G30" s="161"/>
    </row>
    <row r="31" spans="1:7" x14ac:dyDescent="0.25">
      <c r="A31" s="156" t="s">
        <v>172</v>
      </c>
      <c r="B31" s="157"/>
      <c r="C31" s="157"/>
      <c r="D31" s="157"/>
      <c r="E31" s="157"/>
      <c r="F31" s="157"/>
      <c r="G31" s="158"/>
    </row>
    <row r="32" spans="1:7" x14ac:dyDescent="0.25">
      <c r="A32" s="3" t="s">
        <v>72</v>
      </c>
      <c r="B32" s="161" t="s">
        <v>173</v>
      </c>
      <c r="C32" s="161"/>
      <c r="D32" s="161" t="s">
        <v>173</v>
      </c>
      <c r="E32" s="161"/>
      <c r="F32" s="161" t="s">
        <v>173</v>
      </c>
      <c r="G32" s="161"/>
    </row>
    <row r="33" spans="1:11" x14ac:dyDescent="0.25">
      <c r="A33" s="3" t="s">
        <v>174</v>
      </c>
      <c r="B33" s="161" t="s">
        <v>175</v>
      </c>
      <c r="C33" s="161"/>
      <c r="D33" s="161" t="s">
        <v>175</v>
      </c>
      <c r="E33" s="161"/>
      <c r="F33" s="161" t="s">
        <v>175</v>
      </c>
      <c r="G33" s="161"/>
    </row>
    <row r="34" spans="1:11" x14ac:dyDescent="0.25">
      <c r="A34" s="3" t="s">
        <v>147</v>
      </c>
      <c r="B34" s="3">
        <v>0.31950000000000001</v>
      </c>
      <c r="C34" s="3" t="s">
        <v>148</v>
      </c>
      <c r="D34" s="3">
        <f>B34*2.54</f>
        <v>0.81152999999999997</v>
      </c>
      <c r="E34" s="3" t="s">
        <v>149</v>
      </c>
      <c r="F34" s="3">
        <v>0.81152999999999997</v>
      </c>
      <c r="G34" s="3" t="s">
        <v>149</v>
      </c>
    </row>
    <row r="35" spans="1:11" x14ac:dyDescent="0.25">
      <c r="A35" s="3" t="s">
        <v>153</v>
      </c>
      <c r="B35" s="3">
        <v>0.4</v>
      </c>
      <c r="C35" s="3" t="s">
        <v>148</v>
      </c>
      <c r="D35" s="3">
        <f>B35*2.54</f>
        <v>1.016</v>
      </c>
      <c r="E35" s="3" t="s">
        <v>149</v>
      </c>
      <c r="F35" s="3">
        <v>1.016</v>
      </c>
      <c r="G35" s="3" t="s">
        <v>149</v>
      </c>
    </row>
    <row r="36" spans="1:11" x14ac:dyDescent="0.25">
      <c r="A36" s="156" t="s">
        <v>176</v>
      </c>
      <c r="B36" s="157"/>
      <c r="C36" s="157"/>
      <c r="D36" s="157"/>
      <c r="E36" s="157"/>
      <c r="F36" s="157"/>
      <c r="G36" s="158"/>
    </row>
    <row r="37" spans="1:11" x14ac:dyDescent="0.25">
      <c r="A37" s="3" t="s">
        <v>61</v>
      </c>
      <c r="B37" s="3">
        <v>16</v>
      </c>
      <c r="C37" s="3"/>
      <c r="D37" s="3">
        <v>16</v>
      </c>
      <c r="E37" s="3"/>
      <c r="F37" s="3">
        <v>16</v>
      </c>
      <c r="G37" s="3"/>
    </row>
    <row r="38" spans="1:11" x14ac:dyDescent="0.25">
      <c r="A38" s="3" t="s">
        <v>177</v>
      </c>
      <c r="B38" s="161" t="s">
        <v>178</v>
      </c>
      <c r="C38" s="161"/>
      <c r="D38" s="161" t="s">
        <v>178</v>
      </c>
      <c r="E38" s="161"/>
      <c r="F38" s="161" t="s">
        <v>178</v>
      </c>
      <c r="G38" s="161"/>
    </row>
    <row r="39" spans="1:11" x14ac:dyDescent="0.25">
      <c r="A39" s="3" t="s">
        <v>179</v>
      </c>
      <c r="B39" s="161" t="s">
        <v>180</v>
      </c>
      <c r="C39" s="161"/>
      <c r="D39" s="161" t="s">
        <v>180</v>
      </c>
      <c r="E39" s="161"/>
      <c r="F39" s="161" t="s">
        <v>180</v>
      </c>
      <c r="G39" s="161"/>
    </row>
    <row r="40" spans="1:11" x14ac:dyDescent="0.25">
      <c r="A40" s="3" t="s">
        <v>71</v>
      </c>
      <c r="B40" s="161" t="s">
        <v>181</v>
      </c>
      <c r="C40" s="161"/>
      <c r="D40" s="161" t="s">
        <v>181</v>
      </c>
      <c r="E40" s="161"/>
      <c r="F40" s="161" t="s">
        <v>181</v>
      </c>
      <c r="G40" s="161"/>
    </row>
    <row r="41" spans="1:11" x14ac:dyDescent="0.25">
      <c r="A41" s="3" t="s">
        <v>170</v>
      </c>
      <c r="B41" s="161" t="s">
        <v>171</v>
      </c>
      <c r="C41" s="161"/>
      <c r="D41" s="161" t="s">
        <v>171</v>
      </c>
      <c r="E41" s="161"/>
      <c r="F41" s="161" t="s">
        <v>171</v>
      </c>
      <c r="G41" s="161"/>
    </row>
    <row r="42" spans="1:11" x14ac:dyDescent="0.25">
      <c r="A42" s="163" t="s">
        <v>182</v>
      </c>
      <c r="B42" s="164"/>
      <c r="C42" s="164"/>
      <c r="D42" s="164"/>
      <c r="E42" s="164"/>
      <c r="F42" s="164"/>
      <c r="G42" s="165"/>
    </row>
    <row r="43" spans="1:11" x14ac:dyDescent="0.25">
      <c r="A43" s="3" t="s">
        <v>183</v>
      </c>
      <c r="B43" s="3">
        <v>0.48199999999999998</v>
      </c>
      <c r="C43" s="3" t="s">
        <v>148</v>
      </c>
      <c r="D43" s="3">
        <f>B43*2.54</f>
        <v>1.22428</v>
      </c>
      <c r="E43" s="3" t="s">
        <v>149</v>
      </c>
      <c r="F43" s="3">
        <v>1.22428</v>
      </c>
      <c r="G43" s="3" t="s">
        <v>149</v>
      </c>
    </row>
    <row r="44" spans="1:11" x14ac:dyDescent="0.25">
      <c r="A44" s="3" t="s">
        <v>184</v>
      </c>
      <c r="B44" s="3">
        <v>0.45</v>
      </c>
      <c r="C44" s="3" t="s">
        <v>148</v>
      </c>
      <c r="D44" s="3">
        <f>B44*2.54</f>
        <v>1.143</v>
      </c>
      <c r="E44" s="3" t="s">
        <v>149</v>
      </c>
      <c r="F44" s="3">
        <v>1.143</v>
      </c>
      <c r="G44" s="3" t="s">
        <v>149</v>
      </c>
    </row>
    <row r="45" spans="1:11" x14ac:dyDescent="0.25">
      <c r="A45" s="3" t="s">
        <v>185</v>
      </c>
      <c r="B45" s="3">
        <v>0.39700000000000002</v>
      </c>
      <c r="C45" s="3" t="s">
        <v>148</v>
      </c>
      <c r="D45" s="3">
        <f>B45*2.54</f>
        <v>1.0083800000000001</v>
      </c>
      <c r="E45" s="3" t="s">
        <v>149</v>
      </c>
      <c r="F45" s="3">
        <v>1.0083800000000001</v>
      </c>
      <c r="G45" s="3" t="s">
        <v>149</v>
      </c>
    </row>
    <row r="46" spans="1:11" x14ac:dyDescent="0.25">
      <c r="A46" s="166" t="s">
        <v>186</v>
      </c>
      <c r="B46" s="166"/>
      <c r="C46" s="166"/>
      <c r="D46" s="166"/>
      <c r="E46" s="166"/>
      <c r="F46" s="166"/>
      <c r="G46" s="166"/>
    </row>
    <row r="47" spans="1:11" x14ac:dyDescent="0.25">
      <c r="A47" s="3" t="s">
        <v>187</v>
      </c>
      <c r="B47" s="3">
        <v>160</v>
      </c>
      <c r="C47" s="3" t="s">
        <v>188</v>
      </c>
      <c r="D47" s="3"/>
      <c r="E47" s="3"/>
      <c r="F47" s="3">
        <v>160</v>
      </c>
      <c r="G47" s="3" t="s">
        <v>188</v>
      </c>
      <c r="I47" t="s">
        <v>200</v>
      </c>
    </row>
    <row r="48" spans="1:11" x14ac:dyDescent="0.25">
      <c r="A48" s="3" t="s">
        <v>189</v>
      </c>
      <c r="B48" s="3">
        <v>24</v>
      </c>
      <c r="C48" s="3" t="s">
        <v>190</v>
      </c>
      <c r="D48" s="3"/>
      <c r="E48" s="3"/>
      <c r="F48" s="3">
        <v>24</v>
      </c>
      <c r="G48" s="3" t="s">
        <v>190</v>
      </c>
      <c r="I48" s="162" t="s">
        <v>202</v>
      </c>
      <c r="J48" s="162"/>
      <c r="K48" s="162"/>
    </row>
    <row r="49" spans="1:11" x14ac:dyDescent="0.25">
      <c r="A49" s="3" t="s">
        <v>191</v>
      </c>
      <c r="B49" s="3">
        <f>50*1000</f>
        <v>50000</v>
      </c>
      <c r="C49" s="3" t="s">
        <v>192</v>
      </c>
      <c r="D49" s="3"/>
      <c r="E49" s="3"/>
      <c r="F49" s="3">
        <v>60000</v>
      </c>
      <c r="G49" s="3" t="s">
        <v>192</v>
      </c>
      <c r="I49" s="38"/>
      <c r="J49" t="s">
        <v>204</v>
      </c>
      <c r="K49" t="s">
        <v>205</v>
      </c>
    </row>
    <row r="50" spans="1:11" x14ac:dyDescent="0.25">
      <c r="A50" s="3" t="s">
        <v>193</v>
      </c>
      <c r="B50" s="3">
        <v>5</v>
      </c>
      <c r="C50" s="3" t="s">
        <v>194</v>
      </c>
      <c r="D50" s="3"/>
      <c r="E50" s="3"/>
      <c r="F50" s="3">
        <v>1.6404200000000001E-4</v>
      </c>
      <c r="G50" s="3" t="s">
        <v>195</v>
      </c>
    </row>
    <row r="51" spans="1:11" x14ac:dyDescent="0.25">
      <c r="A51" s="3" t="s">
        <v>196</v>
      </c>
      <c r="B51" s="3"/>
      <c r="C51" s="3"/>
      <c r="D51" s="3"/>
      <c r="E51" s="3"/>
      <c r="F51" s="3">
        <f>F50*72</f>
        <v>1.1811024000000002E-2</v>
      </c>
      <c r="G51" s="3" t="s">
        <v>195</v>
      </c>
    </row>
    <row r="52" spans="1:11" x14ac:dyDescent="0.25">
      <c r="A52" s="3" t="s">
        <v>197</v>
      </c>
      <c r="B52" s="3">
        <v>1850</v>
      </c>
      <c r="C52" s="3" t="s">
        <v>51</v>
      </c>
      <c r="D52" s="3"/>
      <c r="E52" s="3"/>
      <c r="F52" s="3">
        <v>1850</v>
      </c>
      <c r="G52" s="3" t="s">
        <v>51</v>
      </c>
    </row>
    <row r="53" spans="1:11" x14ac:dyDescent="0.25">
      <c r="A53" s="12" t="s">
        <v>198</v>
      </c>
      <c r="B53" s="3">
        <v>930</v>
      </c>
      <c r="C53" s="3" t="s">
        <v>199</v>
      </c>
      <c r="D53" s="3"/>
      <c r="E53" s="3"/>
      <c r="F53" s="37">
        <f>(B53+459.67)*5/9</f>
        <v>772.03888888888889</v>
      </c>
      <c r="G53" s="3" t="s">
        <v>45</v>
      </c>
    </row>
    <row r="54" spans="1:11" x14ac:dyDescent="0.25">
      <c r="A54" s="3" t="s">
        <v>201</v>
      </c>
      <c r="B54" s="3">
        <v>543</v>
      </c>
      <c r="C54" s="3" t="s">
        <v>199</v>
      </c>
      <c r="D54" s="3"/>
      <c r="E54" s="3"/>
      <c r="F54" s="37">
        <f>(B54+459.67)*5/9</f>
        <v>557.03888888888889</v>
      </c>
      <c r="G54" s="3" t="s">
        <v>45</v>
      </c>
    </row>
    <row r="55" spans="1:11" x14ac:dyDescent="0.25">
      <c r="A55" s="12" t="s">
        <v>203</v>
      </c>
      <c r="B55" s="12"/>
      <c r="C55" s="12"/>
      <c r="D55" s="12"/>
      <c r="E55" s="12"/>
      <c r="F55" s="103">
        <v>771.31946716807272</v>
      </c>
      <c r="G55" s="12" t="s">
        <v>45</v>
      </c>
    </row>
    <row r="56" spans="1:11" x14ac:dyDescent="0.25">
      <c r="A56" s="12" t="s">
        <v>206</v>
      </c>
      <c r="B56" s="12"/>
      <c r="C56" s="12"/>
      <c r="D56" s="12"/>
      <c r="E56" s="12"/>
      <c r="F56" s="103">
        <v>711.77061276948893</v>
      </c>
      <c r="G56" s="12" t="s">
        <v>45</v>
      </c>
    </row>
  </sheetData>
  <mergeCells count="39">
    <mergeCell ref="I48:K48"/>
    <mergeCell ref="B39:C39"/>
    <mergeCell ref="D39:E39"/>
    <mergeCell ref="F39:G39"/>
    <mergeCell ref="B40:C40"/>
    <mergeCell ref="D40:E40"/>
    <mergeCell ref="F40:G40"/>
    <mergeCell ref="B41:C41"/>
    <mergeCell ref="D41:E41"/>
    <mergeCell ref="F41:G41"/>
    <mergeCell ref="A42:G42"/>
    <mergeCell ref="A46:G46"/>
    <mergeCell ref="B33:C33"/>
    <mergeCell ref="D33:E33"/>
    <mergeCell ref="F33:G33"/>
    <mergeCell ref="A36:G36"/>
    <mergeCell ref="B38:C38"/>
    <mergeCell ref="D38:E38"/>
    <mergeCell ref="F38:G38"/>
    <mergeCell ref="B30:C30"/>
    <mergeCell ref="D30:E30"/>
    <mergeCell ref="F30:G30"/>
    <mergeCell ref="A31:G31"/>
    <mergeCell ref="B32:C32"/>
    <mergeCell ref="D32:E32"/>
    <mergeCell ref="F32:G32"/>
    <mergeCell ref="B12:C12"/>
    <mergeCell ref="D12:E12"/>
    <mergeCell ref="F12:G12"/>
    <mergeCell ref="A22:G22"/>
    <mergeCell ref="B25:C25"/>
    <mergeCell ref="D25:E25"/>
    <mergeCell ref="F25:G25"/>
    <mergeCell ref="A10:G10"/>
    <mergeCell ref="A1:A2"/>
    <mergeCell ref="B1:C1"/>
    <mergeCell ref="D1:E1"/>
    <mergeCell ref="F1:G1"/>
    <mergeCell ref="A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7"/>
  <sheetViews>
    <sheetView topLeftCell="C13" workbookViewId="0">
      <selection activeCell="B22" sqref="B22:C37"/>
    </sheetView>
  </sheetViews>
  <sheetFormatPr defaultRowHeight="15" x14ac:dyDescent="0.25"/>
  <cols>
    <col min="2" max="2" width="18.85546875" bestFit="1" customWidth="1"/>
    <col min="3" max="3" width="12" bestFit="1" customWidth="1"/>
    <col min="5" max="5" width="18.42578125" bestFit="1" customWidth="1"/>
    <col min="6" max="6" width="12" bestFit="1" customWidth="1"/>
  </cols>
  <sheetData>
    <row r="2" spans="2:6" x14ac:dyDescent="0.25">
      <c r="B2" s="161" t="s">
        <v>0</v>
      </c>
      <c r="C2" s="161"/>
      <c r="E2" s="161" t="s">
        <v>1</v>
      </c>
      <c r="F2" s="161"/>
    </row>
    <row r="3" spans="2:6" x14ac:dyDescent="0.25">
      <c r="B3" s="1" t="s">
        <v>2</v>
      </c>
      <c r="C3" s="1" t="s">
        <v>3</v>
      </c>
      <c r="E3" s="2" t="s">
        <v>2</v>
      </c>
      <c r="F3" s="2" t="s">
        <v>4</v>
      </c>
    </row>
    <row r="4" spans="2:6" x14ac:dyDescent="0.25">
      <c r="B4" s="3" t="s">
        <v>5</v>
      </c>
      <c r="C4" s="3">
        <v>0.94996000000000003</v>
      </c>
      <c r="E4" s="4" t="s">
        <v>6</v>
      </c>
      <c r="F4" s="3">
        <f>165/2</f>
        <v>82.5</v>
      </c>
    </row>
    <row r="5" spans="2:6" x14ac:dyDescent="0.25">
      <c r="B5" s="3" t="s">
        <v>7</v>
      </c>
      <c r="C5" s="3">
        <v>0.82804</v>
      </c>
      <c r="E5" s="3" t="s">
        <v>8</v>
      </c>
      <c r="F5" s="3">
        <v>200</v>
      </c>
    </row>
    <row r="6" spans="2:6" x14ac:dyDescent="0.25">
      <c r="B6" s="3" t="s">
        <v>9</v>
      </c>
      <c r="C6" s="3">
        <f>($C$4-$C$5)/2</f>
        <v>6.0960000000000014E-2</v>
      </c>
      <c r="E6" s="3" t="s">
        <v>10</v>
      </c>
      <c r="F6" s="3">
        <f>(PI()/F5)^2+(2.405/F4)^2</f>
        <v>1.0965509456562514E-3</v>
      </c>
    </row>
    <row r="7" spans="2:6" x14ac:dyDescent="0.25">
      <c r="B7" s="3" t="s">
        <v>11</v>
      </c>
      <c r="C7" s="3">
        <v>1.651E-2</v>
      </c>
      <c r="E7" s="161" t="s">
        <v>12</v>
      </c>
      <c r="F7" s="161"/>
    </row>
    <row r="8" spans="2:6" x14ac:dyDescent="0.25">
      <c r="B8" s="3" t="s">
        <v>13</v>
      </c>
      <c r="C8" s="3">
        <v>0.81152999999999997</v>
      </c>
      <c r="E8" s="2" t="s">
        <v>2</v>
      </c>
      <c r="F8" s="2" t="s">
        <v>4</v>
      </c>
    </row>
    <row r="9" spans="2:6" x14ac:dyDescent="0.25">
      <c r="B9" s="3" t="s">
        <v>14</v>
      </c>
      <c r="C9" s="3">
        <v>1.2598400000000001</v>
      </c>
      <c r="E9" s="4" t="s">
        <v>15</v>
      </c>
      <c r="F9" s="3">
        <v>21.417300000000001</v>
      </c>
    </row>
    <row r="10" spans="2:6" x14ac:dyDescent="0.25">
      <c r="B10" s="161" t="s">
        <v>16</v>
      </c>
      <c r="C10" s="161"/>
      <c r="E10" s="3" t="s">
        <v>17</v>
      </c>
      <c r="F10" s="3">
        <v>21.497299999999999</v>
      </c>
    </row>
    <row r="11" spans="2:6" x14ac:dyDescent="0.25">
      <c r="B11" s="5" t="s">
        <v>2</v>
      </c>
      <c r="C11" s="5" t="s">
        <v>4</v>
      </c>
      <c r="E11" s="3" t="s">
        <v>18</v>
      </c>
      <c r="F11" s="3">
        <f>(F10-F9)/2</f>
        <v>3.9999999999999147E-2</v>
      </c>
    </row>
    <row r="12" spans="2:6" x14ac:dyDescent="0.25">
      <c r="B12" s="6" t="s">
        <v>19</v>
      </c>
      <c r="C12" s="6">
        <f>$C$9/SQRT(PI())</f>
        <v>0.7107886049368054</v>
      </c>
      <c r="E12" s="3" t="s">
        <v>20</v>
      </c>
      <c r="F12" s="3">
        <v>200</v>
      </c>
    </row>
    <row r="13" spans="2:6" x14ac:dyDescent="0.25">
      <c r="B13" s="6" t="s">
        <v>21</v>
      </c>
      <c r="C13" s="6">
        <f>$C$4/2</f>
        <v>0.47498000000000001</v>
      </c>
      <c r="E13" s="7" t="s">
        <v>22</v>
      </c>
      <c r="F13" s="7">
        <f>2*F11</f>
        <v>7.9999999999998295E-2</v>
      </c>
    </row>
    <row r="14" spans="2:6" x14ac:dyDescent="0.25">
      <c r="B14" s="6" t="s">
        <v>23</v>
      </c>
      <c r="C14" s="6">
        <f>$C$13-$C$6</f>
        <v>0.41402</v>
      </c>
      <c r="E14" s="161" t="s">
        <v>288</v>
      </c>
      <c r="F14" s="161"/>
    </row>
    <row r="15" spans="2:6" x14ac:dyDescent="0.25">
      <c r="B15" s="6" t="s">
        <v>24</v>
      </c>
      <c r="C15" s="6">
        <f>$C$14-($C$7/2)</f>
        <v>0.40576499999999999</v>
      </c>
      <c r="E15" s="2" t="s">
        <v>2</v>
      </c>
      <c r="F15" s="2" t="s">
        <v>4</v>
      </c>
    </row>
    <row r="16" spans="2:6" x14ac:dyDescent="0.25">
      <c r="B16" s="161" t="s">
        <v>22</v>
      </c>
      <c r="C16" s="161"/>
      <c r="E16" s="4" t="s">
        <v>25</v>
      </c>
      <c r="F16" s="3">
        <f>F17+(2*F18)</f>
        <v>193</v>
      </c>
    </row>
    <row r="17" spans="2:6" x14ac:dyDescent="0.25">
      <c r="B17" s="8" t="s">
        <v>2</v>
      </c>
      <c r="C17" s="8" t="s">
        <v>4</v>
      </c>
      <c r="E17" s="3" t="s">
        <v>26</v>
      </c>
      <c r="F17" s="3">
        <v>165</v>
      </c>
    </row>
    <row r="18" spans="2:6" x14ac:dyDescent="0.25">
      <c r="B18" s="9" t="s">
        <v>27</v>
      </c>
      <c r="C18" s="9">
        <v>0.81152999999999997</v>
      </c>
      <c r="E18" s="3" t="s">
        <v>28</v>
      </c>
      <c r="F18" s="3">
        <v>14</v>
      </c>
    </row>
    <row r="19" spans="2:6" x14ac:dyDescent="0.25">
      <c r="B19" s="9" t="s">
        <v>29</v>
      </c>
      <c r="C19" s="9">
        <v>1.651E-2</v>
      </c>
      <c r="E19" s="7" t="s">
        <v>22</v>
      </c>
      <c r="F19" s="7">
        <f>2*(F16/2)*(1-(((F17/2)/(F16/2))^2))</f>
        <v>51.937823834196891</v>
      </c>
    </row>
    <row r="20" spans="2:6" x14ac:dyDescent="0.25">
      <c r="B20" s="9" t="s">
        <v>30</v>
      </c>
      <c r="C20" s="9">
        <f>($C$4-$C$5)</f>
        <v>0.12192000000000003</v>
      </c>
      <c r="E20" s="161" t="s">
        <v>289</v>
      </c>
      <c r="F20" s="161"/>
    </row>
    <row r="21" spans="2:6" x14ac:dyDescent="0.25">
      <c r="B21" s="9" t="s">
        <v>31</v>
      </c>
      <c r="C21" s="9">
        <f>4*((C9^2)-(PI()/4*C4^2))/((4*C9)+(PI()*C4))</f>
        <v>0.43791741341351054</v>
      </c>
      <c r="E21" s="98" t="s">
        <v>33</v>
      </c>
      <c r="F21" s="98">
        <v>81</v>
      </c>
    </row>
    <row r="22" spans="2:6" x14ac:dyDescent="0.25">
      <c r="B22" s="167" t="s">
        <v>32</v>
      </c>
      <c r="C22" s="168"/>
      <c r="E22" s="3" t="s">
        <v>290</v>
      </c>
      <c r="F22" s="3">
        <f>F21-F23-F24</f>
        <v>72</v>
      </c>
    </row>
    <row r="23" spans="2:6" x14ac:dyDescent="0.25">
      <c r="B23" s="138">
        <v>1</v>
      </c>
      <c r="C23" s="138">
        <v>0</v>
      </c>
      <c r="E23" s="3" t="s">
        <v>291</v>
      </c>
      <c r="F23" s="3">
        <v>8</v>
      </c>
    </row>
    <row r="24" spans="2:6" x14ac:dyDescent="0.25">
      <c r="B24" s="138">
        <v>2</v>
      </c>
      <c r="C24" s="138">
        <f>$C$32/9</f>
        <v>4.5085E-2</v>
      </c>
      <c r="E24" s="3" t="s">
        <v>292</v>
      </c>
      <c r="F24" s="3">
        <v>1</v>
      </c>
    </row>
    <row r="25" spans="2:6" x14ac:dyDescent="0.25">
      <c r="B25" s="138">
        <v>3</v>
      </c>
      <c r="C25" s="138">
        <f>$C$24*(B25-1)</f>
        <v>9.017E-2</v>
      </c>
      <c r="E25">
        <f>C6/3</f>
        <v>2.0320000000000005E-2</v>
      </c>
    </row>
    <row r="26" spans="2:6" x14ac:dyDescent="0.25">
      <c r="B26" s="138">
        <v>4</v>
      </c>
      <c r="C26" s="138">
        <f t="shared" ref="C26:C30" si="0">$C$24*(B26-1)</f>
        <v>0.13525500000000001</v>
      </c>
    </row>
    <row r="27" spans="2:6" x14ac:dyDescent="0.25">
      <c r="B27" s="138">
        <v>5</v>
      </c>
      <c r="C27" s="138">
        <f t="shared" si="0"/>
        <v>0.18034</v>
      </c>
    </row>
    <row r="28" spans="2:6" x14ac:dyDescent="0.25">
      <c r="B28" s="138">
        <v>6</v>
      </c>
      <c r="C28" s="138">
        <f t="shared" si="0"/>
        <v>0.22542499999999999</v>
      </c>
    </row>
    <row r="29" spans="2:6" x14ac:dyDescent="0.25">
      <c r="B29" s="138">
        <v>7</v>
      </c>
      <c r="C29" s="138">
        <f t="shared" si="0"/>
        <v>0.27051000000000003</v>
      </c>
    </row>
    <row r="30" spans="2:6" x14ac:dyDescent="0.25">
      <c r="B30" s="138">
        <v>8</v>
      </c>
      <c r="C30" s="138">
        <f t="shared" si="0"/>
        <v>0.31559500000000001</v>
      </c>
    </row>
    <row r="31" spans="2:6" x14ac:dyDescent="0.25">
      <c r="B31" s="138">
        <v>9</v>
      </c>
      <c r="C31" s="138">
        <f>$C$24*(B31-1)</f>
        <v>0.36068</v>
      </c>
    </row>
    <row r="32" spans="2:6" x14ac:dyDescent="0.25">
      <c r="B32" s="138">
        <v>10</v>
      </c>
      <c r="C32" s="138">
        <f>C15</f>
        <v>0.40576499999999999</v>
      </c>
    </row>
    <row r="33" spans="2:3" x14ac:dyDescent="0.25">
      <c r="B33" s="139">
        <v>11</v>
      </c>
      <c r="C33" s="139">
        <f>C14</f>
        <v>0.41402</v>
      </c>
    </row>
    <row r="34" spans="2:3" x14ac:dyDescent="0.25">
      <c r="B34" s="10">
        <v>12</v>
      </c>
      <c r="C34" s="10">
        <f>C33+$E$25</f>
        <v>0.43434</v>
      </c>
    </row>
    <row r="35" spans="2:3" x14ac:dyDescent="0.25">
      <c r="B35" s="10">
        <v>13</v>
      </c>
      <c r="C35" s="10">
        <f>C34+$E$25</f>
        <v>0.45466000000000001</v>
      </c>
    </row>
    <row r="36" spans="2:3" x14ac:dyDescent="0.25">
      <c r="B36" s="10">
        <v>14</v>
      </c>
      <c r="C36" s="10">
        <f>C13</f>
        <v>0.47498000000000001</v>
      </c>
    </row>
    <row r="37" spans="2:3" x14ac:dyDescent="0.25">
      <c r="B37" s="137" t="s">
        <v>33</v>
      </c>
      <c r="C37" s="137">
        <v>81</v>
      </c>
    </row>
  </sheetData>
  <mergeCells count="8">
    <mergeCell ref="B22:C22"/>
    <mergeCell ref="B2:C2"/>
    <mergeCell ref="E2:F2"/>
    <mergeCell ref="E7:F7"/>
    <mergeCell ref="B10:C10"/>
    <mergeCell ref="E14:F14"/>
    <mergeCell ref="B16:C16"/>
    <mergeCell ref="E20:F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opLeftCell="S1" workbookViewId="0">
      <selection activeCell="A70" sqref="A1:AA70"/>
    </sheetView>
  </sheetViews>
  <sheetFormatPr defaultRowHeight="15" x14ac:dyDescent="0.25"/>
  <sheetData>
    <row r="1" spans="1:21" x14ac:dyDescent="0.25">
      <c r="A1" t="s">
        <v>44</v>
      </c>
      <c r="B1">
        <v>772.03899999999999</v>
      </c>
      <c r="C1" t="s">
        <v>45</v>
      </c>
      <c r="D1" t="s">
        <v>293</v>
      </c>
      <c r="F1" t="s">
        <v>294</v>
      </c>
      <c r="G1">
        <f>2*B6*B7</f>
        <v>5.2027287617569842</v>
      </c>
      <c r="R1" s="35"/>
      <c r="S1" t="s">
        <v>201</v>
      </c>
      <c r="T1">
        <v>531.48299999999995</v>
      </c>
      <c r="U1" t="s">
        <v>45</v>
      </c>
    </row>
    <row r="2" spans="1:21" x14ac:dyDescent="0.25">
      <c r="A2" t="s">
        <v>295</v>
      </c>
      <c r="B2">
        <v>557.03899999999999</v>
      </c>
      <c r="C2" t="s">
        <v>45</v>
      </c>
      <c r="D2" t="s">
        <v>296</v>
      </c>
      <c r="F2" t="s">
        <v>297</v>
      </c>
      <c r="G2">
        <f>B12*0.00001/B8</f>
        <v>2.591863517060367E-3</v>
      </c>
      <c r="R2" s="35"/>
      <c r="S2" t="s">
        <v>295</v>
      </c>
      <c r="T2">
        <v>557.03899999999999</v>
      </c>
      <c r="U2" t="s">
        <v>45</v>
      </c>
    </row>
    <row r="3" spans="1:21" x14ac:dyDescent="0.25">
      <c r="A3" t="s">
        <v>298</v>
      </c>
      <c r="B3">
        <v>658.15</v>
      </c>
      <c r="C3" t="s">
        <v>45</v>
      </c>
      <c r="F3" t="s">
        <v>299</v>
      </c>
      <c r="G3">
        <f>B9/((B10^-1)+(B11^-1)-1)</f>
        <v>1.0154290645247896E-12</v>
      </c>
      <c r="R3" s="35"/>
      <c r="S3" t="s">
        <v>300</v>
      </c>
      <c r="T3">
        <f>(2*T2)-T1</f>
        <v>582.59500000000003</v>
      </c>
      <c r="U3" t="s">
        <v>45</v>
      </c>
    </row>
    <row r="4" spans="1:21" x14ac:dyDescent="0.25">
      <c r="A4" t="s">
        <v>301</v>
      </c>
      <c r="B4">
        <v>664.53899999999999</v>
      </c>
      <c r="C4" t="s">
        <v>45</v>
      </c>
      <c r="R4" s="35"/>
      <c r="S4" t="s">
        <v>13</v>
      </c>
      <c r="T4" s="104">
        <f>0.94996/100</f>
        <v>9.4996000000000004E-3</v>
      </c>
      <c r="U4" t="s">
        <v>302</v>
      </c>
    </row>
    <row r="5" spans="1:21" x14ac:dyDescent="0.25">
      <c r="A5" s="3" t="s">
        <v>303</v>
      </c>
      <c r="B5" s="3">
        <f>0.000164042*1000000</f>
        <v>164.042</v>
      </c>
      <c r="C5" s="3" t="s">
        <v>304</v>
      </c>
      <c r="D5" t="s">
        <v>305</v>
      </c>
      <c r="R5" s="35"/>
      <c r="S5" t="s">
        <v>306</v>
      </c>
      <c r="T5">
        <f>B6*T4*2</f>
        <v>5.9687747144083203E-2</v>
      </c>
      <c r="U5" t="s">
        <v>307</v>
      </c>
    </row>
    <row r="6" spans="1:21" x14ac:dyDescent="0.25">
      <c r="A6" s="105" t="s">
        <v>308</v>
      </c>
      <c r="B6">
        <f>PI()</f>
        <v>3.1415926535897931</v>
      </c>
      <c r="R6" s="35"/>
      <c r="S6" t="s">
        <v>309</v>
      </c>
      <c r="T6">
        <v>587.15012339999998</v>
      </c>
      <c r="U6" t="s">
        <v>310</v>
      </c>
    </row>
    <row r="7" spans="1:21" x14ac:dyDescent="0.25">
      <c r="A7" s="105" t="s">
        <v>311</v>
      </c>
      <c r="B7" s="3">
        <v>0.82804</v>
      </c>
      <c r="C7" s="3" t="s">
        <v>149</v>
      </c>
      <c r="D7" t="s">
        <v>312</v>
      </c>
      <c r="R7" s="35"/>
      <c r="S7" t="s">
        <v>313</v>
      </c>
      <c r="T7">
        <v>0.82296000000000002</v>
      </c>
      <c r="U7" t="s">
        <v>314</v>
      </c>
    </row>
    <row r="8" spans="1:21" x14ac:dyDescent="0.25">
      <c r="A8" s="105" t="s">
        <v>315</v>
      </c>
      <c r="B8" s="3">
        <v>6.0960000000000014E-2</v>
      </c>
      <c r="C8" s="3" t="s">
        <v>149</v>
      </c>
      <c r="D8" t="s">
        <v>316</v>
      </c>
      <c r="R8" s="35"/>
      <c r="S8" t="s">
        <v>317</v>
      </c>
    </row>
    <row r="9" spans="1:21" x14ac:dyDescent="0.25">
      <c r="A9" s="105" t="s">
        <v>318</v>
      </c>
      <c r="B9" s="64">
        <f>0.00000005670367/10000</f>
        <v>5.6703669999999993E-12</v>
      </c>
      <c r="C9" s="105" t="s">
        <v>377</v>
      </c>
      <c r="D9" t="s">
        <v>319</v>
      </c>
      <c r="R9" s="35"/>
      <c r="S9" t="s">
        <v>295</v>
      </c>
      <c r="T9">
        <v>557.03899999999999</v>
      </c>
      <c r="U9" t="s">
        <v>45</v>
      </c>
    </row>
    <row r="10" spans="1:21" x14ac:dyDescent="0.25">
      <c r="A10" s="105" t="s">
        <v>320</v>
      </c>
      <c r="B10" s="105">
        <v>0.87</v>
      </c>
      <c r="D10" t="s">
        <v>321</v>
      </c>
      <c r="E10" t="s">
        <v>322</v>
      </c>
      <c r="R10" s="35"/>
      <c r="S10" t="s">
        <v>323</v>
      </c>
      <c r="T10">
        <v>1850</v>
      </c>
      <c r="U10" t="s">
        <v>51</v>
      </c>
    </row>
    <row r="11" spans="1:21" x14ac:dyDescent="0.25">
      <c r="A11" s="105" t="s">
        <v>324</v>
      </c>
      <c r="B11" s="105">
        <v>0.184</v>
      </c>
      <c r="D11" t="s">
        <v>325</v>
      </c>
      <c r="E11" t="s">
        <v>326</v>
      </c>
      <c r="R11" s="35"/>
      <c r="S11" t="s">
        <v>72</v>
      </c>
      <c r="T11">
        <v>753.20399999999995</v>
      </c>
      <c r="U11" t="s">
        <v>327</v>
      </c>
    </row>
    <row r="12" spans="1:21" x14ac:dyDescent="0.25">
      <c r="A12" s="105" t="s">
        <v>328</v>
      </c>
      <c r="B12" s="105">
        <v>15.8</v>
      </c>
      <c r="R12" s="35"/>
      <c r="S12" t="s">
        <v>329</v>
      </c>
      <c r="T12" s="64">
        <v>9.3751000000000004E-5</v>
      </c>
      <c r="U12" t="s">
        <v>330</v>
      </c>
    </row>
    <row r="13" spans="1:21" x14ac:dyDescent="0.25">
      <c r="R13" s="35"/>
      <c r="S13" t="s">
        <v>331</v>
      </c>
      <c r="T13">
        <v>5.2000599999999997</v>
      </c>
      <c r="U13" t="s">
        <v>332</v>
      </c>
    </row>
    <row r="14" spans="1:21" x14ac:dyDescent="0.25">
      <c r="A14" s="169" t="s">
        <v>333</v>
      </c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35"/>
      <c r="S14" t="s">
        <v>334</v>
      </c>
      <c r="T14">
        <v>4.6342128000000002</v>
      </c>
      <c r="U14" t="s">
        <v>335</v>
      </c>
    </row>
    <row r="15" spans="1:21" x14ac:dyDescent="0.25">
      <c r="A15" s="169" t="s">
        <v>336</v>
      </c>
      <c r="B15" s="169" t="s">
        <v>337</v>
      </c>
      <c r="C15" s="169"/>
      <c r="D15" s="169"/>
      <c r="E15" s="169"/>
      <c r="F15" s="169"/>
      <c r="G15" s="169" t="s">
        <v>338</v>
      </c>
      <c r="H15" s="169"/>
      <c r="I15" s="169"/>
      <c r="J15" s="169"/>
      <c r="K15" s="169"/>
      <c r="L15" s="169" t="s">
        <v>339</v>
      </c>
      <c r="M15" s="169"/>
      <c r="N15" s="169"/>
      <c r="O15" s="169"/>
      <c r="P15" s="169"/>
      <c r="Q15" s="134" t="s">
        <v>340</v>
      </c>
      <c r="R15" s="35"/>
    </row>
    <row r="16" spans="1:21" x14ac:dyDescent="0.25">
      <c r="A16" s="169"/>
      <c r="B16" t="s">
        <v>341</v>
      </c>
      <c r="C16" t="s">
        <v>352</v>
      </c>
      <c r="D16" t="s">
        <v>378</v>
      </c>
      <c r="E16" t="s">
        <v>342</v>
      </c>
      <c r="F16" t="s">
        <v>343</v>
      </c>
      <c r="G16" t="s">
        <v>341</v>
      </c>
      <c r="H16" t="s">
        <v>352</v>
      </c>
      <c r="I16" t="s">
        <v>328</v>
      </c>
      <c r="J16" t="s">
        <v>342</v>
      </c>
      <c r="K16" t="s">
        <v>343</v>
      </c>
      <c r="L16" t="s">
        <v>341</v>
      </c>
      <c r="M16" t="s">
        <v>352</v>
      </c>
      <c r="N16" t="s">
        <v>328</v>
      </c>
      <c r="O16" t="s">
        <v>342</v>
      </c>
      <c r="P16" t="s">
        <v>343</v>
      </c>
      <c r="R16" s="35"/>
      <c r="S16" t="s">
        <v>344</v>
      </c>
    </row>
    <row r="17" spans="1:21" x14ac:dyDescent="0.25">
      <c r="A17">
        <v>1</v>
      </c>
      <c r="B17">
        <v>600</v>
      </c>
      <c r="C17">
        <f>($B$1+B17)/2</f>
        <v>686.01949999999999</v>
      </c>
      <c r="D17">
        <f>$G$2*C17^0.79</f>
        <v>0.45114685326705301</v>
      </c>
      <c r="E17">
        <f t="shared" ref="E17:E66" si="0">($B$1^4-B17^4)/($B$1-B17)</f>
        <v>1311729952.1632953</v>
      </c>
      <c r="F17">
        <f t="shared" ref="F17:F66" si="1">$B$1-($B$5/($G$1*(D17+($G$3*E17))))-B17</f>
        <v>102.35619675839087</v>
      </c>
      <c r="G17">
        <f t="shared" ref="G17:G66" si="2">(B17+L17)/2</f>
        <v>700</v>
      </c>
      <c r="H17">
        <f>($B$1+G17)/2</f>
        <v>736.01949999999999</v>
      </c>
      <c r="I17">
        <f>$G$2*H17^0.79</f>
        <v>0.47693005545662226</v>
      </c>
      <c r="J17">
        <f t="shared" ref="J17:J66" si="3">($B$1^4-G17^4)/($B$1-G17)</f>
        <v>1598699443.9153953</v>
      </c>
      <c r="K17">
        <f t="shared" ref="K17:K66" si="4">$B$1-($B$5/($G$1*(I17+($G$3*J17))))-G17</f>
        <v>6.1529540173405621</v>
      </c>
      <c r="L17">
        <v>800</v>
      </c>
      <c r="M17">
        <f>($B$1+L17)/2</f>
        <v>786.01949999999999</v>
      </c>
      <c r="N17">
        <f>$G$2*M17^0.79</f>
        <v>0.50234773880358363</v>
      </c>
      <c r="O17">
        <f t="shared" ref="O17:O66" si="5">($B$1^4-L17^4)/($B$1-L17)</f>
        <v>1943109715.6674957</v>
      </c>
      <c r="P17">
        <f t="shared" ref="P17:P66" si="6">$B$1-($B$5/($G$1*(N17+($G$3*O17))))-L17</f>
        <v>-90.480711496233084</v>
      </c>
      <c r="R17" s="35"/>
      <c r="T17" t="s">
        <v>345</v>
      </c>
      <c r="U17" s="64">
        <f>T11*T7*T4/T12</f>
        <v>62808.837385995495</v>
      </c>
    </row>
    <row r="18" spans="1:21" x14ac:dyDescent="0.25">
      <c r="A18">
        <v>2</v>
      </c>
      <c r="B18">
        <f t="shared" ref="B18:B66" si="7">IF(F17*K17&gt;0,G17,B17)</f>
        <v>700</v>
      </c>
      <c r="C18">
        <f t="shared" ref="C18:C66" si="8">($B$1+B18)/2</f>
        <v>736.01949999999999</v>
      </c>
      <c r="D18">
        <f t="shared" ref="D18:D66" si="9">$G$2*C18^0.79</f>
        <v>0.47693005545662226</v>
      </c>
      <c r="E18">
        <f t="shared" si="0"/>
        <v>1598699443.9153953</v>
      </c>
      <c r="F18">
        <f t="shared" si="1"/>
        <v>6.1529540173405621</v>
      </c>
      <c r="G18">
        <f t="shared" si="2"/>
        <v>750</v>
      </c>
      <c r="H18">
        <f t="shared" ref="H18:H66" si="10">($B$1+G18)/2</f>
        <v>761.01949999999999</v>
      </c>
      <c r="I18">
        <f t="shared" ref="I18:I66" si="11">$G$2*H18^0.79</f>
        <v>0.48968274253804794</v>
      </c>
      <c r="J18">
        <f t="shared" si="3"/>
        <v>1763349482.2914448</v>
      </c>
      <c r="K18">
        <f t="shared" si="4"/>
        <v>-42.115029927897353</v>
      </c>
      <c r="L18">
        <f t="shared" ref="L18:L66" si="12">IF(K17*P17&lt;0,L17,G17)</f>
        <v>800</v>
      </c>
      <c r="M18">
        <f t="shared" ref="M18:M66" si="13">($B$1+L18)/2</f>
        <v>786.01949999999999</v>
      </c>
      <c r="N18">
        <f t="shared" ref="N18:N66" si="14">$G$2*M18^0.79</f>
        <v>0.50234773880358363</v>
      </c>
      <c r="O18">
        <f t="shared" si="5"/>
        <v>1943109715.6674957</v>
      </c>
      <c r="P18">
        <f t="shared" si="6"/>
        <v>-90.480711496233084</v>
      </c>
      <c r="Q18">
        <f>G18-G17</f>
        <v>50</v>
      </c>
      <c r="R18" s="35"/>
      <c r="T18" t="s">
        <v>346</v>
      </c>
      <c r="U18" s="64">
        <f>T13*T12/T14</f>
        <v>1.0519819570219131E-4</v>
      </c>
    </row>
    <row r="19" spans="1:21" x14ac:dyDescent="0.25">
      <c r="A19">
        <v>3</v>
      </c>
      <c r="B19">
        <f t="shared" si="7"/>
        <v>700</v>
      </c>
      <c r="C19">
        <f t="shared" si="8"/>
        <v>736.01949999999999</v>
      </c>
      <c r="D19">
        <f t="shared" si="9"/>
        <v>0.47693005545662226</v>
      </c>
      <c r="E19">
        <f t="shared" si="0"/>
        <v>1598699443.9153953</v>
      </c>
      <c r="F19">
        <f t="shared" si="1"/>
        <v>6.1529540173405621</v>
      </c>
      <c r="G19">
        <f t="shared" si="2"/>
        <v>725</v>
      </c>
      <c r="H19">
        <f t="shared" si="10"/>
        <v>748.51949999999999</v>
      </c>
      <c r="I19">
        <f t="shared" si="11"/>
        <v>0.48331758023202565</v>
      </c>
      <c r="J19">
        <f t="shared" si="3"/>
        <v>1679182563.72842</v>
      </c>
      <c r="K19">
        <f t="shared" si="4"/>
        <v>-17.968255552851588</v>
      </c>
      <c r="L19">
        <f t="shared" si="12"/>
        <v>750</v>
      </c>
      <c r="M19">
        <f t="shared" si="13"/>
        <v>761.01949999999999</v>
      </c>
      <c r="N19">
        <f t="shared" si="14"/>
        <v>0.48968274253804794</v>
      </c>
      <c r="O19">
        <f t="shared" si="5"/>
        <v>1763349482.2914448</v>
      </c>
      <c r="P19">
        <f t="shared" si="6"/>
        <v>-42.115029927897353</v>
      </c>
      <c r="Q19">
        <f t="shared" ref="Q19:Q66" si="15">G19-G18</f>
        <v>-25</v>
      </c>
      <c r="R19" s="35"/>
      <c r="T19" t="s">
        <v>347</v>
      </c>
      <c r="U19" s="64">
        <f>0.0023*U17^0.8*U18^0.4</f>
        <v>0.40639443858002228</v>
      </c>
    </row>
    <row r="20" spans="1:21" x14ac:dyDescent="0.25">
      <c r="A20">
        <v>4</v>
      </c>
      <c r="B20">
        <f t="shared" si="7"/>
        <v>700</v>
      </c>
      <c r="C20">
        <f t="shared" si="8"/>
        <v>736.01949999999999</v>
      </c>
      <c r="D20">
        <f t="shared" si="9"/>
        <v>0.47693005545662226</v>
      </c>
      <c r="E20">
        <f t="shared" si="0"/>
        <v>1598699443.9153953</v>
      </c>
      <c r="F20">
        <f t="shared" si="1"/>
        <v>6.1529540173405621</v>
      </c>
      <c r="G20">
        <f t="shared" si="2"/>
        <v>712.5</v>
      </c>
      <c r="H20">
        <f t="shared" si="10"/>
        <v>742.26949999999999</v>
      </c>
      <c r="I20">
        <f t="shared" si="11"/>
        <v>0.48012664152681128</v>
      </c>
      <c r="J20">
        <f t="shared" si="3"/>
        <v>1638486388.3531575</v>
      </c>
      <c r="K20">
        <f t="shared" si="4"/>
        <v>-5.9043799116145692</v>
      </c>
      <c r="L20">
        <f t="shared" si="12"/>
        <v>725</v>
      </c>
      <c r="M20">
        <f t="shared" si="13"/>
        <v>748.51949999999999</v>
      </c>
      <c r="N20">
        <f t="shared" si="14"/>
        <v>0.48331758023202565</v>
      </c>
      <c r="O20">
        <f t="shared" si="5"/>
        <v>1679182563.72842</v>
      </c>
      <c r="P20">
        <f t="shared" si="6"/>
        <v>-17.968255552851588</v>
      </c>
      <c r="Q20">
        <f t="shared" si="15"/>
        <v>-12.5</v>
      </c>
      <c r="R20" s="35"/>
    </row>
    <row r="21" spans="1:21" x14ac:dyDescent="0.25">
      <c r="A21">
        <v>5</v>
      </c>
      <c r="B21">
        <f t="shared" si="7"/>
        <v>700</v>
      </c>
      <c r="C21">
        <f t="shared" si="8"/>
        <v>736.01949999999999</v>
      </c>
      <c r="D21">
        <f t="shared" si="9"/>
        <v>0.47693005545662226</v>
      </c>
      <c r="E21">
        <f t="shared" si="0"/>
        <v>1598699443.9153953</v>
      </c>
      <c r="F21">
        <f t="shared" si="1"/>
        <v>6.1529540173405621</v>
      </c>
      <c r="G21">
        <f t="shared" si="2"/>
        <v>706.25</v>
      </c>
      <c r="H21">
        <f t="shared" si="10"/>
        <v>739.14449999999999</v>
      </c>
      <c r="I21">
        <f t="shared" si="11"/>
        <v>0.47852905801684231</v>
      </c>
      <c r="J21">
        <f t="shared" si="3"/>
        <v>1618479994.6889639</v>
      </c>
      <c r="K21">
        <f t="shared" si="4"/>
        <v>0.12511443773564679</v>
      </c>
      <c r="L21">
        <f t="shared" si="12"/>
        <v>712.5</v>
      </c>
      <c r="M21">
        <f t="shared" si="13"/>
        <v>742.26949999999999</v>
      </c>
      <c r="N21">
        <f t="shared" si="14"/>
        <v>0.48012664152681128</v>
      </c>
      <c r="O21">
        <f t="shared" si="5"/>
        <v>1638486388.3531575</v>
      </c>
      <c r="P21">
        <f t="shared" si="6"/>
        <v>-5.9043799116145692</v>
      </c>
      <c r="Q21">
        <f t="shared" si="15"/>
        <v>-6.25</v>
      </c>
      <c r="R21" s="35"/>
      <c r="T21" t="s">
        <v>348</v>
      </c>
      <c r="U21" s="75">
        <f>U19*T14/T4</f>
        <v>198.25238000719537</v>
      </c>
    </row>
    <row r="22" spans="1:21" x14ac:dyDescent="0.25">
      <c r="A22">
        <v>6</v>
      </c>
      <c r="B22">
        <f t="shared" si="7"/>
        <v>706.25</v>
      </c>
      <c r="C22">
        <f t="shared" si="8"/>
        <v>739.14449999999999</v>
      </c>
      <c r="D22">
        <f t="shared" si="9"/>
        <v>0.47852905801684231</v>
      </c>
      <c r="E22">
        <f t="shared" si="0"/>
        <v>1618479994.6889639</v>
      </c>
      <c r="F22">
        <f t="shared" si="1"/>
        <v>0.12511443773564679</v>
      </c>
      <c r="G22">
        <f t="shared" si="2"/>
        <v>709.375</v>
      </c>
      <c r="H22">
        <f t="shared" si="10"/>
        <v>740.70699999999999</v>
      </c>
      <c r="I22">
        <f t="shared" si="11"/>
        <v>0.47932802669992081</v>
      </c>
      <c r="J22">
        <f t="shared" si="3"/>
        <v>1628454869.6069982</v>
      </c>
      <c r="K22">
        <f t="shared" si="4"/>
        <v>-2.889427111666464</v>
      </c>
      <c r="L22">
        <f t="shared" si="12"/>
        <v>712.5</v>
      </c>
      <c r="M22">
        <f t="shared" si="13"/>
        <v>742.26949999999999</v>
      </c>
      <c r="N22">
        <f t="shared" si="14"/>
        <v>0.48012664152681128</v>
      </c>
      <c r="O22">
        <f t="shared" si="5"/>
        <v>1638486388.3531575</v>
      </c>
      <c r="P22">
        <f t="shared" si="6"/>
        <v>-5.9043799116145692</v>
      </c>
      <c r="Q22">
        <f t="shared" si="15"/>
        <v>3.125</v>
      </c>
      <c r="R22" s="35"/>
    </row>
    <row r="23" spans="1:21" x14ac:dyDescent="0.25">
      <c r="A23">
        <v>7</v>
      </c>
      <c r="B23">
        <f t="shared" si="7"/>
        <v>706.25</v>
      </c>
      <c r="C23">
        <f t="shared" si="8"/>
        <v>739.14449999999999</v>
      </c>
      <c r="D23">
        <f t="shared" si="9"/>
        <v>0.47852905801684231</v>
      </c>
      <c r="E23">
        <f t="shared" si="0"/>
        <v>1618479994.6889639</v>
      </c>
      <c r="F23">
        <f t="shared" si="1"/>
        <v>0.12511443773564679</v>
      </c>
      <c r="G23">
        <f t="shared" si="2"/>
        <v>707.8125</v>
      </c>
      <c r="H23">
        <f t="shared" si="10"/>
        <v>739.92574999999999</v>
      </c>
      <c r="I23">
        <f t="shared" si="11"/>
        <v>0.4789285866468882</v>
      </c>
      <c r="J23">
        <f t="shared" si="3"/>
        <v>1623460363.1135576</v>
      </c>
      <c r="K23">
        <f t="shared" si="4"/>
        <v>-1.3821047787930638</v>
      </c>
      <c r="L23">
        <f t="shared" si="12"/>
        <v>709.375</v>
      </c>
      <c r="M23">
        <f t="shared" si="13"/>
        <v>740.70699999999999</v>
      </c>
      <c r="N23">
        <f t="shared" si="14"/>
        <v>0.47932802669992081</v>
      </c>
      <c r="O23">
        <f t="shared" si="5"/>
        <v>1628454869.6069982</v>
      </c>
      <c r="P23">
        <f t="shared" si="6"/>
        <v>-2.889427111666464</v>
      </c>
      <c r="Q23">
        <f t="shared" si="15"/>
        <v>-1.5625</v>
      </c>
      <c r="R23" s="35"/>
      <c r="S23" t="s">
        <v>349</v>
      </c>
    </row>
    <row r="24" spans="1:21" x14ac:dyDescent="0.25">
      <c r="A24">
        <v>8</v>
      </c>
      <c r="B24">
        <f t="shared" si="7"/>
        <v>706.25</v>
      </c>
      <c r="C24">
        <f t="shared" si="8"/>
        <v>739.14449999999999</v>
      </c>
      <c r="D24">
        <f t="shared" si="9"/>
        <v>0.47852905801684231</v>
      </c>
      <c r="E24">
        <f t="shared" si="0"/>
        <v>1618479994.6889639</v>
      </c>
      <c r="F24">
        <f t="shared" si="1"/>
        <v>0.12511443773564679</v>
      </c>
      <c r="G24">
        <f t="shared" si="2"/>
        <v>707.03125</v>
      </c>
      <c r="H24">
        <f t="shared" si="10"/>
        <v>739.53512499999999</v>
      </c>
      <c r="I24">
        <f t="shared" si="11"/>
        <v>0.47872883341106642</v>
      </c>
      <c r="J24">
        <f t="shared" si="3"/>
        <v>1620968413.0731661</v>
      </c>
      <c r="K24">
        <f t="shared" si="4"/>
        <v>-0.62848226193739265</v>
      </c>
      <c r="L24">
        <f t="shared" si="12"/>
        <v>707.8125</v>
      </c>
      <c r="M24">
        <f t="shared" si="13"/>
        <v>739.92574999999999</v>
      </c>
      <c r="N24">
        <f t="shared" si="14"/>
        <v>0.4789285866468882</v>
      </c>
      <c r="O24">
        <f t="shared" si="5"/>
        <v>1623460363.1135576</v>
      </c>
      <c r="P24">
        <f t="shared" si="6"/>
        <v>-1.3821047787930638</v>
      </c>
      <c r="Q24">
        <f t="shared" si="15"/>
        <v>-0.78125</v>
      </c>
      <c r="R24" s="35"/>
      <c r="T24" t="s">
        <v>350</v>
      </c>
      <c r="U24">
        <f>(B5/(2*B6*T4/2*U21))+B2</f>
        <v>584.76463198510032</v>
      </c>
    </row>
    <row r="25" spans="1:21" x14ac:dyDescent="0.25">
      <c r="A25">
        <v>9</v>
      </c>
      <c r="B25">
        <f t="shared" si="7"/>
        <v>706.25</v>
      </c>
      <c r="C25">
        <f t="shared" si="8"/>
        <v>739.14449999999999</v>
      </c>
      <c r="D25">
        <f t="shared" si="9"/>
        <v>0.47852905801684231</v>
      </c>
      <c r="E25">
        <f t="shared" si="0"/>
        <v>1618479994.6889639</v>
      </c>
      <c r="F25">
        <f t="shared" si="1"/>
        <v>0.12511443773564679</v>
      </c>
      <c r="G25">
        <f t="shared" si="2"/>
        <v>706.640625</v>
      </c>
      <c r="H25">
        <f t="shared" si="10"/>
        <v>739.33981249999999</v>
      </c>
      <c r="I25">
        <f t="shared" si="11"/>
        <v>0.47862894848464027</v>
      </c>
      <c r="J25">
        <f t="shared" si="3"/>
        <v>1619723762.6028552</v>
      </c>
      <c r="K25">
        <f t="shared" si="4"/>
        <v>-0.25168068256778042</v>
      </c>
      <c r="L25">
        <f t="shared" si="12"/>
        <v>707.03125</v>
      </c>
      <c r="M25">
        <f t="shared" si="13"/>
        <v>739.53512499999999</v>
      </c>
      <c r="N25">
        <f t="shared" si="14"/>
        <v>0.47872883341106642</v>
      </c>
      <c r="O25">
        <f t="shared" si="5"/>
        <v>1620968413.0731661</v>
      </c>
      <c r="P25">
        <f t="shared" si="6"/>
        <v>-0.62848226193739265</v>
      </c>
      <c r="Q25">
        <f t="shared" si="15"/>
        <v>-0.390625</v>
      </c>
      <c r="R25" s="35"/>
    </row>
    <row r="26" spans="1:21" x14ac:dyDescent="0.25">
      <c r="A26">
        <v>10</v>
      </c>
      <c r="B26">
        <f t="shared" si="7"/>
        <v>706.25</v>
      </c>
      <c r="C26">
        <f t="shared" si="8"/>
        <v>739.14449999999999</v>
      </c>
      <c r="D26">
        <f t="shared" si="9"/>
        <v>0.47852905801684231</v>
      </c>
      <c r="E26">
        <f t="shared" si="0"/>
        <v>1618479994.6889639</v>
      </c>
      <c r="F26">
        <f t="shared" si="1"/>
        <v>0.12511443773564679</v>
      </c>
      <c r="G26">
        <f t="shared" si="2"/>
        <v>706.4453125</v>
      </c>
      <c r="H26">
        <f t="shared" si="10"/>
        <v>739.24215624999999</v>
      </c>
      <c r="I26">
        <f t="shared" si="11"/>
        <v>0.47857900394352332</v>
      </c>
      <c r="J26">
        <f t="shared" si="3"/>
        <v>1619101768.3487089</v>
      </c>
      <c r="K26">
        <f t="shared" si="4"/>
        <v>-6.328231473435153E-2</v>
      </c>
      <c r="L26">
        <f t="shared" si="12"/>
        <v>706.640625</v>
      </c>
      <c r="M26">
        <f t="shared" si="13"/>
        <v>739.33981249999999</v>
      </c>
      <c r="N26">
        <f t="shared" si="14"/>
        <v>0.47862894848464027</v>
      </c>
      <c r="O26">
        <f t="shared" si="5"/>
        <v>1619723762.6028552</v>
      </c>
      <c r="P26">
        <f t="shared" si="6"/>
        <v>-0.25168068256778042</v>
      </c>
      <c r="Q26">
        <f t="shared" si="15"/>
        <v>-0.1953125</v>
      </c>
      <c r="R26" s="35"/>
      <c r="S26" t="s">
        <v>351</v>
      </c>
      <c r="T26">
        <f>(G66+U24)/2</f>
        <v>645.57216968162379</v>
      </c>
    </row>
    <row r="27" spans="1:21" x14ac:dyDescent="0.25">
      <c r="A27">
        <v>11</v>
      </c>
      <c r="B27">
        <f t="shared" si="7"/>
        <v>706.25</v>
      </c>
      <c r="C27">
        <f t="shared" si="8"/>
        <v>739.14449999999999</v>
      </c>
      <c r="D27">
        <f t="shared" si="9"/>
        <v>0.47852905801684231</v>
      </c>
      <c r="E27">
        <f t="shared" si="0"/>
        <v>1618479994.6889639</v>
      </c>
      <c r="F27">
        <f t="shared" si="1"/>
        <v>0.12511443773564679</v>
      </c>
      <c r="G27">
        <f t="shared" si="2"/>
        <v>706.34765625</v>
      </c>
      <c r="H27">
        <f t="shared" si="10"/>
        <v>739.19332812499999</v>
      </c>
      <c r="I27">
        <f t="shared" si="11"/>
        <v>0.47855403115339246</v>
      </c>
      <c r="J27">
        <f t="shared" si="3"/>
        <v>1618790853.9473302</v>
      </c>
      <c r="K27">
        <f t="shared" si="4"/>
        <v>3.0916263458379944E-2</v>
      </c>
      <c r="L27">
        <f t="shared" si="12"/>
        <v>706.4453125</v>
      </c>
      <c r="M27">
        <f t="shared" si="13"/>
        <v>739.24215624999999</v>
      </c>
      <c r="N27">
        <f t="shared" si="14"/>
        <v>0.47857900394352332</v>
      </c>
      <c r="O27">
        <f t="shared" si="5"/>
        <v>1619101768.3487089</v>
      </c>
      <c r="P27">
        <f t="shared" si="6"/>
        <v>-6.328231473435153E-2</v>
      </c>
      <c r="Q27">
        <f t="shared" si="15"/>
        <v>-9.765625E-2</v>
      </c>
      <c r="R27" s="35"/>
    </row>
    <row r="28" spans="1:21" x14ac:dyDescent="0.25">
      <c r="A28">
        <v>12</v>
      </c>
      <c r="B28">
        <f t="shared" si="7"/>
        <v>706.34765625</v>
      </c>
      <c r="C28">
        <f t="shared" si="8"/>
        <v>739.19332812499999</v>
      </c>
      <c r="D28">
        <f t="shared" si="9"/>
        <v>0.47855403115339246</v>
      </c>
      <c r="E28">
        <f t="shared" si="0"/>
        <v>1618790853.9473302</v>
      </c>
      <c r="F28">
        <f t="shared" si="1"/>
        <v>3.0916263458379944E-2</v>
      </c>
      <c r="G28">
        <f t="shared" si="2"/>
        <v>706.396484375</v>
      </c>
      <c r="H28">
        <f t="shared" si="10"/>
        <v>739.21774218749999</v>
      </c>
      <c r="I28">
        <f t="shared" si="11"/>
        <v>0.47856651759175822</v>
      </c>
      <c r="J28">
        <f t="shared" si="3"/>
        <v>1618946304.2547936</v>
      </c>
      <c r="K28">
        <f t="shared" si="4"/>
        <v>-1.6182975153242296E-2</v>
      </c>
      <c r="L28">
        <f t="shared" si="12"/>
        <v>706.4453125</v>
      </c>
      <c r="M28">
        <f t="shared" si="13"/>
        <v>739.24215624999999</v>
      </c>
      <c r="N28">
        <f t="shared" si="14"/>
        <v>0.47857900394352332</v>
      </c>
      <c r="O28">
        <f t="shared" si="5"/>
        <v>1619101768.3487089</v>
      </c>
      <c r="P28">
        <f t="shared" si="6"/>
        <v>-6.328231473435153E-2</v>
      </c>
      <c r="Q28">
        <f t="shared" si="15"/>
        <v>4.8828125E-2</v>
      </c>
      <c r="R28" s="35"/>
    </row>
    <row r="29" spans="1:21" x14ac:dyDescent="0.25">
      <c r="A29">
        <v>13</v>
      </c>
      <c r="B29">
        <f t="shared" si="7"/>
        <v>706.34765625</v>
      </c>
      <c r="C29">
        <f t="shared" si="8"/>
        <v>739.19332812499999</v>
      </c>
      <c r="D29">
        <f t="shared" si="9"/>
        <v>0.47855403115339246</v>
      </c>
      <c r="E29">
        <f t="shared" si="0"/>
        <v>1618790853.9473302</v>
      </c>
      <c r="F29">
        <f t="shared" si="1"/>
        <v>3.0916263458379944E-2</v>
      </c>
      <c r="G29">
        <f t="shared" si="2"/>
        <v>706.3720703125</v>
      </c>
      <c r="H29">
        <f t="shared" si="10"/>
        <v>739.20553515624999</v>
      </c>
      <c r="I29">
        <f t="shared" si="11"/>
        <v>0.4785602743834006</v>
      </c>
      <c r="J29">
        <f t="shared" si="3"/>
        <v>1618868577.377799</v>
      </c>
      <c r="K29">
        <f t="shared" si="4"/>
        <v>7.3666567743657652E-3</v>
      </c>
      <c r="L29">
        <f t="shared" si="12"/>
        <v>706.396484375</v>
      </c>
      <c r="M29">
        <f t="shared" si="13"/>
        <v>739.21774218749999</v>
      </c>
      <c r="N29">
        <f t="shared" si="14"/>
        <v>0.47856651759175822</v>
      </c>
      <c r="O29">
        <f t="shared" si="5"/>
        <v>1618946304.2547936</v>
      </c>
      <c r="P29">
        <f t="shared" si="6"/>
        <v>-1.6182975153242296E-2</v>
      </c>
      <c r="Q29">
        <f t="shared" si="15"/>
        <v>-2.44140625E-2</v>
      </c>
      <c r="R29" s="35"/>
    </row>
    <row r="30" spans="1:21" x14ac:dyDescent="0.25">
      <c r="A30">
        <v>14</v>
      </c>
      <c r="B30">
        <f t="shared" si="7"/>
        <v>706.3720703125</v>
      </c>
      <c r="C30">
        <f t="shared" si="8"/>
        <v>739.20553515624999</v>
      </c>
      <c r="D30">
        <f t="shared" si="9"/>
        <v>0.4785602743834006</v>
      </c>
      <c r="E30">
        <f t="shared" si="0"/>
        <v>1618868577.377799</v>
      </c>
      <c r="F30">
        <f t="shared" si="1"/>
        <v>7.3666567743657652E-3</v>
      </c>
      <c r="G30">
        <f t="shared" si="2"/>
        <v>706.38427734375</v>
      </c>
      <c r="H30">
        <f t="shared" si="10"/>
        <v>739.21163867187499</v>
      </c>
      <c r="I30">
        <f t="shared" si="11"/>
        <v>0.4785633959902858</v>
      </c>
      <c r="J30">
        <f t="shared" si="3"/>
        <v>1618907440.3854754</v>
      </c>
      <c r="K30">
        <f t="shared" si="4"/>
        <v>-4.4081560340600845E-3</v>
      </c>
      <c r="L30">
        <f t="shared" si="12"/>
        <v>706.396484375</v>
      </c>
      <c r="M30">
        <f t="shared" si="13"/>
        <v>739.21774218749999</v>
      </c>
      <c r="N30">
        <f t="shared" si="14"/>
        <v>0.47856651759175822</v>
      </c>
      <c r="O30">
        <f t="shared" si="5"/>
        <v>1618946304.2547936</v>
      </c>
      <c r="P30">
        <f t="shared" si="6"/>
        <v>-1.6182975153242296E-2</v>
      </c>
      <c r="Q30">
        <f t="shared" si="15"/>
        <v>1.220703125E-2</v>
      </c>
      <c r="R30" s="35"/>
    </row>
    <row r="31" spans="1:21" x14ac:dyDescent="0.25">
      <c r="A31">
        <v>15</v>
      </c>
      <c r="B31">
        <f t="shared" si="7"/>
        <v>706.3720703125</v>
      </c>
      <c r="C31">
        <f t="shared" si="8"/>
        <v>739.20553515624999</v>
      </c>
      <c r="D31">
        <f t="shared" si="9"/>
        <v>0.4785602743834006</v>
      </c>
      <c r="E31">
        <f t="shared" si="0"/>
        <v>1618868577.377799</v>
      </c>
      <c r="F31">
        <f t="shared" si="1"/>
        <v>7.3666567743657652E-3</v>
      </c>
      <c r="G31">
        <f t="shared" si="2"/>
        <v>706.378173828125</v>
      </c>
      <c r="H31">
        <f t="shared" si="10"/>
        <v>739.20858691406249</v>
      </c>
      <c r="I31">
        <f t="shared" si="11"/>
        <v>0.47856183518751977</v>
      </c>
      <c r="J31">
        <f t="shared" si="3"/>
        <v>1618888008.7739325</v>
      </c>
      <c r="K31">
        <f t="shared" si="4"/>
        <v>1.4792511590258073E-3</v>
      </c>
      <c r="L31">
        <f t="shared" si="12"/>
        <v>706.38427734375</v>
      </c>
      <c r="M31">
        <f t="shared" si="13"/>
        <v>739.21163867187499</v>
      </c>
      <c r="N31">
        <f t="shared" si="14"/>
        <v>0.4785633959902858</v>
      </c>
      <c r="O31">
        <f t="shared" si="5"/>
        <v>1618907440.3854754</v>
      </c>
      <c r="P31">
        <f t="shared" si="6"/>
        <v>-4.4081560340600845E-3</v>
      </c>
      <c r="Q31">
        <f t="shared" si="15"/>
        <v>-6.103515625E-3</v>
      </c>
      <c r="R31" s="35"/>
    </row>
    <row r="32" spans="1:21" x14ac:dyDescent="0.25">
      <c r="A32">
        <v>16</v>
      </c>
      <c r="B32">
        <f t="shared" si="7"/>
        <v>706.378173828125</v>
      </c>
      <c r="C32">
        <f t="shared" si="8"/>
        <v>739.20858691406249</v>
      </c>
      <c r="D32">
        <f t="shared" si="9"/>
        <v>0.47856183518751977</v>
      </c>
      <c r="E32">
        <f t="shared" si="0"/>
        <v>1618888008.7739325</v>
      </c>
      <c r="F32">
        <f t="shared" si="1"/>
        <v>1.4792511590258073E-3</v>
      </c>
      <c r="G32">
        <f t="shared" si="2"/>
        <v>706.3812255859375</v>
      </c>
      <c r="H32">
        <f t="shared" si="10"/>
        <v>739.21011279296874</v>
      </c>
      <c r="I32">
        <f t="shared" si="11"/>
        <v>0.47856261558907176</v>
      </c>
      <c r="J32">
        <f t="shared" si="3"/>
        <v>1618897724.5527775</v>
      </c>
      <c r="K32">
        <f t="shared" si="4"/>
        <v>-1.464452240384162E-3</v>
      </c>
      <c r="L32">
        <f t="shared" si="12"/>
        <v>706.38427734375</v>
      </c>
      <c r="M32">
        <f t="shared" si="13"/>
        <v>739.21163867187499</v>
      </c>
      <c r="N32">
        <f t="shared" si="14"/>
        <v>0.4785633959902858</v>
      </c>
      <c r="O32">
        <f t="shared" si="5"/>
        <v>1618907440.3854754</v>
      </c>
      <c r="P32">
        <f t="shared" si="6"/>
        <v>-4.4081560340600845E-3</v>
      </c>
      <c r="Q32">
        <f t="shared" si="15"/>
        <v>3.0517578125E-3</v>
      </c>
      <c r="R32" s="35"/>
    </row>
    <row r="33" spans="1:18" x14ac:dyDescent="0.25">
      <c r="A33">
        <v>17</v>
      </c>
      <c r="B33">
        <f t="shared" si="7"/>
        <v>706.378173828125</v>
      </c>
      <c r="C33">
        <f t="shared" si="8"/>
        <v>739.20858691406249</v>
      </c>
      <c r="D33">
        <f t="shared" si="9"/>
        <v>0.47856183518751977</v>
      </c>
      <c r="E33">
        <f t="shared" si="0"/>
        <v>1618888008.7739325</v>
      </c>
      <c r="F33">
        <f t="shared" si="1"/>
        <v>1.4792511590258073E-3</v>
      </c>
      <c r="G33">
        <f t="shared" si="2"/>
        <v>706.37969970703125</v>
      </c>
      <c r="H33">
        <f t="shared" si="10"/>
        <v>739.20934985351562</v>
      </c>
      <c r="I33">
        <f t="shared" si="11"/>
        <v>0.47856222538833793</v>
      </c>
      <c r="J33">
        <f t="shared" si="3"/>
        <v>1618892866.6566236</v>
      </c>
      <c r="K33">
        <f t="shared" si="4"/>
        <v>7.3995086040667957E-6</v>
      </c>
      <c r="L33">
        <f t="shared" si="12"/>
        <v>706.3812255859375</v>
      </c>
      <c r="M33">
        <f t="shared" si="13"/>
        <v>739.21011279296874</v>
      </c>
      <c r="N33">
        <f t="shared" si="14"/>
        <v>0.47856261558907176</v>
      </c>
      <c r="O33">
        <f t="shared" si="5"/>
        <v>1618897724.5527775</v>
      </c>
      <c r="P33">
        <f t="shared" si="6"/>
        <v>-1.464452240384162E-3</v>
      </c>
      <c r="Q33">
        <f t="shared" si="15"/>
        <v>-1.52587890625E-3</v>
      </c>
      <c r="R33" s="35"/>
    </row>
    <row r="34" spans="1:18" x14ac:dyDescent="0.25">
      <c r="A34">
        <v>18</v>
      </c>
      <c r="B34">
        <f t="shared" si="7"/>
        <v>706.37969970703125</v>
      </c>
      <c r="C34">
        <f t="shared" si="8"/>
        <v>739.20934985351562</v>
      </c>
      <c r="D34">
        <f t="shared" si="9"/>
        <v>0.47856222538833793</v>
      </c>
      <c r="E34">
        <f t="shared" si="0"/>
        <v>1618892866.6566236</v>
      </c>
      <c r="F34">
        <f t="shared" si="1"/>
        <v>7.3995086040667957E-6</v>
      </c>
      <c r="G34">
        <f t="shared" si="2"/>
        <v>706.38046264648437</v>
      </c>
      <c r="H34">
        <f t="shared" si="10"/>
        <v>739.20973132324218</v>
      </c>
      <c r="I34">
        <f t="shared" si="11"/>
        <v>0.47856242048871545</v>
      </c>
      <c r="J34">
        <f t="shared" si="3"/>
        <v>1618895295.6030176</v>
      </c>
      <c r="K34">
        <f t="shared" si="4"/>
        <v>-7.2852635355502571E-4</v>
      </c>
      <c r="L34">
        <f t="shared" si="12"/>
        <v>706.3812255859375</v>
      </c>
      <c r="M34">
        <f t="shared" si="13"/>
        <v>739.21011279296874</v>
      </c>
      <c r="N34">
        <f t="shared" si="14"/>
        <v>0.47856261558907176</v>
      </c>
      <c r="O34">
        <f t="shared" si="5"/>
        <v>1618897724.5527775</v>
      </c>
      <c r="P34">
        <f t="shared" si="6"/>
        <v>-1.464452240384162E-3</v>
      </c>
      <c r="Q34">
        <f t="shared" si="15"/>
        <v>7.62939453125E-4</v>
      </c>
      <c r="R34" s="35"/>
    </row>
    <row r="35" spans="1:18" x14ac:dyDescent="0.25">
      <c r="A35">
        <v>19</v>
      </c>
      <c r="B35">
        <f t="shared" si="7"/>
        <v>706.37969970703125</v>
      </c>
      <c r="C35">
        <f t="shared" si="8"/>
        <v>739.20934985351562</v>
      </c>
      <c r="D35">
        <f t="shared" si="9"/>
        <v>0.47856222538833793</v>
      </c>
      <c r="E35">
        <f t="shared" si="0"/>
        <v>1618892866.6566236</v>
      </c>
      <c r="F35">
        <f t="shared" si="1"/>
        <v>7.3995086040667957E-6</v>
      </c>
      <c r="G35">
        <f t="shared" si="2"/>
        <v>706.38008117675781</v>
      </c>
      <c r="H35">
        <f t="shared" si="10"/>
        <v>739.2095405883789</v>
      </c>
      <c r="I35">
        <f t="shared" si="11"/>
        <v>0.47856232293852929</v>
      </c>
      <c r="J35">
        <f t="shared" si="3"/>
        <v>1618894081.1294003</v>
      </c>
      <c r="K35">
        <f t="shared" si="4"/>
        <v>-3.6056341946277826E-4</v>
      </c>
      <c r="L35">
        <f t="shared" si="12"/>
        <v>706.38046264648437</v>
      </c>
      <c r="M35">
        <f t="shared" si="13"/>
        <v>739.20973132324218</v>
      </c>
      <c r="N35">
        <f t="shared" si="14"/>
        <v>0.47856242048871545</v>
      </c>
      <c r="O35">
        <f t="shared" si="5"/>
        <v>1618895295.6030176</v>
      </c>
      <c r="P35">
        <f t="shared" si="6"/>
        <v>-7.2852635355502571E-4</v>
      </c>
      <c r="Q35">
        <f t="shared" si="15"/>
        <v>-3.814697265625E-4</v>
      </c>
      <c r="R35" s="35"/>
    </row>
    <row r="36" spans="1:18" x14ac:dyDescent="0.25">
      <c r="A36">
        <v>20</v>
      </c>
      <c r="B36">
        <f t="shared" si="7"/>
        <v>706.37969970703125</v>
      </c>
      <c r="C36">
        <f t="shared" si="8"/>
        <v>739.20934985351562</v>
      </c>
      <c r="D36">
        <f t="shared" si="9"/>
        <v>0.47856222538833793</v>
      </c>
      <c r="E36">
        <f t="shared" si="0"/>
        <v>1618892866.6566236</v>
      </c>
      <c r="F36">
        <f t="shared" si="1"/>
        <v>7.3995086040667957E-6</v>
      </c>
      <c r="G36">
        <f t="shared" si="2"/>
        <v>706.37989044189453</v>
      </c>
      <c r="H36">
        <f t="shared" si="10"/>
        <v>739.20944522094726</v>
      </c>
      <c r="I36">
        <f t="shared" si="11"/>
        <v>0.47856227416343455</v>
      </c>
      <c r="J36">
        <f t="shared" si="3"/>
        <v>1618893473.8929067</v>
      </c>
      <c r="K36">
        <f t="shared" si="4"/>
        <v>-1.7658195463354787E-4</v>
      </c>
      <c r="L36">
        <f t="shared" si="12"/>
        <v>706.38008117675781</v>
      </c>
      <c r="M36">
        <f t="shared" si="13"/>
        <v>739.2095405883789</v>
      </c>
      <c r="N36">
        <f t="shared" si="14"/>
        <v>0.47856232293852929</v>
      </c>
      <c r="O36">
        <f t="shared" si="5"/>
        <v>1618894081.1294003</v>
      </c>
      <c r="P36">
        <f t="shared" si="6"/>
        <v>-3.6056341946277826E-4</v>
      </c>
      <c r="Q36">
        <f t="shared" si="15"/>
        <v>-1.9073486328125E-4</v>
      </c>
      <c r="R36" s="35"/>
    </row>
    <row r="37" spans="1:18" x14ac:dyDescent="0.25">
      <c r="A37">
        <v>21</v>
      </c>
      <c r="B37">
        <f t="shared" si="7"/>
        <v>706.37969970703125</v>
      </c>
      <c r="C37">
        <f t="shared" si="8"/>
        <v>739.20934985351562</v>
      </c>
      <c r="D37">
        <f t="shared" si="9"/>
        <v>0.47856222538833793</v>
      </c>
      <c r="E37">
        <f t="shared" si="0"/>
        <v>1618892866.6566236</v>
      </c>
      <c r="F37">
        <f t="shared" si="1"/>
        <v>7.3995086040667957E-6</v>
      </c>
      <c r="G37">
        <f t="shared" si="2"/>
        <v>706.37979507446289</v>
      </c>
      <c r="H37">
        <f t="shared" si="10"/>
        <v>739.20939753723144</v>
      </c>
      <c r="I37">
        <f t="shared" si="11"/>
        <v>0.47856224977588646</v>
      </c>
      <c r="J37">
        <f t="shared" si="3"/>
        <v>1618893170.2747393</v>
      </c>
      <c r="K37">
        <f t="shared" si="4"/>
        <v>-8.4591222844210279E-5</v>
      </c>
      <c r="L37">
        <f t="shared" si="12"/>
        <v>706.37989044189453</v>
      </c>
      <c r="M37">
        <f t="shared" si="13"/>
        <v>739.20944522094726</v>
      </c>
      <c r="N37">
        <f t="shared" si="14"/>
        <v>0.47856227416343455</v>
      </c>
      <c r="O37">
        <f t="shared" si="5"/>
        <v>1618893473.8929067</v>
      </c>
      <c r="P37">
        <f t="shared" si="6"/>
        <v>-1.7658195463354787E-4</v>
      </c>
      <c r="Q37">
        <f t="shared" si="15"/>
        <v>-9.5367431640625E-5</v>
      </c>
      <c r="R37" s="35"/>
    </row>
    <row r="38" spans="1:18" x14ac:dyDescent="0.25">
      <c r="A38">
        <v>22</v>
      </c>
      <c r="B38">
        <f t="shared" si="7"/>
        <v>706.37969970703125</v>
      </c>
      <c r="C38">
        <f t="shared" si="8"/>
        <v>739.20934985351562</v>
      </c>
      <c r="D38">
        <f t="shared" si="9"/>
        <v>0.47856222538833793</v>
      </c>
      <c r="E38">
        <f t="shared" si="0"/>
        <v>1618892866.6566236</v>
      </c>
      <c r="F38">
        <f t="shared" si="1"/>
        <v>7.3995086040667957E-6</v>
      </c>
      <c r="G38">
        <f t="shared" si="2"/>
        <v>706.37974739074707</v>
      </c>
      <c r="H38">
        <f t="shared" si="10"/>
        <v>739.20937369537353</v>
      </c>
      <c r="I38">
        <f t="shared" si="11"/>
        <v>0.4785622375821123</v>
      </c>
      <c r="J38">
        <f t="shared" si="3"/>
        <v>1618893018.4656746</v>
      </c>
      <c r="K38">
        <f t="shared" si="4"/>
        <v>-3.8595857063228323E-5</v>
      </c>
      <c r="L38">
        <f t="shared" si="12"/>
        <v>706.37979507446289</v>
      </c>
      <c r="M38">
        <f t="shared" si="13"/>
        <v>739.20939753723144</v>
      </c>
      <c r="N38">
        <f t="shared" si="14"/>
        <v>0.47856224977588646</v>
      </c>
      <c r="O38">
        <f t="shared" si="5"/>
        <v>1618893170.2747393</v>
      </c>
      <c r="P38">
        <f t="shared" si="6"/>
        <v>-8.4591222844210279E-5</v>
      </c>
      <c r="Q38">
        <f t="shared" si="15"/>
        <v>-4.76837158203125E-5</v>
      </c>
      <c r="R38" s="35"/>
    </row>
    <row r="39" spans="1:18" x14ac:dyDescent="0.25">
      <c r="A39">
        <v>23</v>
      </c>
      <c r="B39">
        <f t="shared" si="7"/>
        <v>706.37969970703125</v>
      </c>
      <c r="C39">
        <f t="shared" si="8"/>
        <v>739.20934985351562</v>
      </c>
      <c r="D39">
        <f t="shared" si="9"/>
        <v>0.47856222538833793</v>
      </c>
      <c r="E39">
        <f t="shared" si="0"/>
        <v>1618892866.6566236</v>
      </c>
      <c r="F39">
        <f t="shared" si="1"/>
        <v>7.3995086040667957E-6</v>
      </c>
      <c r="G39">
        <f t="shared" si="2"/>
        <v>706.37972354888916</v>
      </c>
      <c r="H39">
        <f t="shared" si="10"/>
        <v>739.20936177444457</v>
      </c>
      <c r="I39">
        <f t="shared" si="11"/>
        <v>0.47856223148522553</v>
      </c>
      <c r="J39">
        <f t="shared" si="3"/>
        <v>1618892942.5611475</v>
      </c>
      <c r="K39">
        <f t="shared" si="4"/>
        <v>-1.5598174172737345E-5</v>
      </c>
      <c r="L39">
        <f t="shared" si="12"/>
        <v>706.37974739074707</v>
      </c>
      <c r="M39">
        <f t="shared" si="13"/>
        <v>739.20937369537353</v>
      </c>
      <c r="N39">
        <f t="shared" si="14"/>
        <v>0.4785622375821123</v>
      </c>
      <c r="O39">
        <f t="shared" si="5"/>
        <v>1618893018.4656746</v>
      </c>
      <c r="P39">
        <f t="shared" si="6"/>
        <v>-3.8595857063228323E-5</v>
      </c>
      <c r="Q39">
        <f t="shared" si="15"/>
        <v>-2.384185791015625E-5</v>
      </c>
      <c r="R39" s="35"/>
    </row>
    <row r="40" spans="1:18" x14ac:dyDescent="0.25">
      <c r="A40">
        <v>24</v>
      </c>
      <c r="B40">
        <f t="shared" si="7"/>
        <v>706.37969970703125</v>
      </c>
      <c r="C40">
        <f t="shared" si="8"/>
        <v>739.20934985351562</v>
      </c>
      <c r="D40">
        <f t="shared" si="9"/>
        <v>0.47856222538833793</v>
      </c>
      <c r="E40">
        <f t="shared" si="0"/>
        <v>1618892866.6566236</v>
      </c>
      <c r="F40">
        <f t="shared" si="1"/>
        <v>7.3995086040667957E-6</v>
      </c>
      <c r="G40">
        <f t="shared" si="2"/>
        <v>706.37971162796021</v>
      </c>
      <c r="H40">
        <f t="shared" si="10"/>
        <v>739.2093558139801</v>
      </c>
      <c r="I40">
        <f t="shared" si="11"/>
        <v>0.4785622284367817</v>
      </c>
      <c r="J40">
        <f t="shared" si="3"/>
        <v>1618892904.6088855</v>
      </c>
      <c r="K40">
        <f t="shared" si="4"/>
        <v>-4.0993328411786933E-6</v>
      </c>
      <c r="L40">
        <f t="shared" si="12"/>
        <v>706.37972354888916</v>
      </c>
      <c r="M40">
        <f t="shared" si="13"/>
        <v>739.20936177444457</v>
      </c>
      <c r="N40">
        <f t="shared" si="14"/>
        <v>0.47856223148522553</v>
      </c>
      <c r="O40">
        <f t="shared" si="5"/>
        <v>1618892942.5611475</v>
      </c>
      <c r="P40">
        <f t="shared" si="6"/>
        <v>-1.5598174172737345E-5</v>
      </c>
      <c r="Q40">
        <f t="shared" si="15"/>
        <v>-1.1920928955078125E-5</v>
      </c>
      <c r="R40" s="35"/>
    </row>
    <row r="41" spans="1:18" x14ac:dyDescent="0.25">
      <c r="A41">
        <v>25</v>
      </c>
      <c r="B41">
        <f t="shared" si="7"/>
        <v>706.37969970703125</v>
      </c>
      <c r="C41">
        <f t="shared" si="8"/>
        <v>739.20934985351562</v>
      </c>
      <c r="D41">
        <f t="shared" si="9"/>
        <v>0.47856222538833793</v>
      </c>
      <c r="E41">
        <f t="shared" si="0"/>
        <v>1618892866.6566236</v>
      </c>
      <c r="F41">
        <f t="shared" si="1"/>
        <v>7.3995086040667957E-6</v>
      </c>
      <c r="G41">
        <f t="shared" si="2"/>
        <v>706.37970566749573</v>
      </c>
      <c r="H41">
        <f t="shared" si="10"/>
        <v>739.20935283374786</v>
      </c>
      <c r="I41">
        <f t="shared" si="11"/>
        <v>0.47856222691255984</v>
      </c>
      <c r="J41">
        <f t="shared" si="3"/>
        <v>1618892885.6327543</v>
      </c>
      <c r="K41">
        <f t="shared" si="4"/>
        <v>1.65008793828747E-6</v>
      </c>
      <c r="L41">
        <f t="shared" si="12"/>
        <v>706.37971162796021</v>
      </c>
      <c r="M41">
        <f t="shared" si="13"/>
        <v>739.2093558139801</v>
      </c>
      <c r="N41">
        <f t="shared" si="14"/>
        <v>0.4785622284367817</v>
      </c>
      <c r="O41">
        <f t="shared" si="5"/>
        <v>1618892904.6088855</v>
      </c>
      <c r="P41">
        <f t="shared" si="6"/>
        <v>-4.0993328411786933E-6</v>
      </c>
      <c r="Q41">
        <f t="shared" si="15"/>
        <v>-5.9604644775390625E-6</v>
      </c>
      <c r="R41" s="35"/>
    </row>
    <row r="42" spans="1:18" x14ac:dyDescent="0.25">
      <c r="A42">
        <v>26</v>
      </c>
      <c r="B42">
        <f t="shared" si="7"/>
        <v>706.37970566749573</v>
      </c>
      <c r="C42">
        <f t="shared" si="8"/>
        <v>739.20935283374786</v>
      </c>
      <c r="D42">
        <f t="shared" si="9"/>
        <v>0.47856222691255984</v>
      </c>
      <c r="E42">
        <f t="shared" si="0"/>
        <v>1618892885.6327543</v>
      </c>
      <c r="F42">
        <f t="shared" si="1"/>
        <v>1.65008793828747E-6</v>
      </c>
      <c r="G42">
        <f t="shared" si="2"/>
        <v>706.37970864772797</v>
      </c>
      <c r="H42">
        <f t="shared" si="10"/>
        <v>739.20935432386398</v>
      </c>
      <c r="I42">
        <f t="shared" si="11"/>
        <v>0.47856222767467077</v>
      </c>
      <c r="J42">
        <f t="shared" si="3"/>
        <v>1618892895.1208198</v>
      </c>
      <c r="K42">
        <f t="shared" si="4"/>
        <v>-1.2246224514456117E-6</v>
      </c>
      <c r="L42">
        <f t="shared" si="12"/>
        <v>706.37971162796021</v>
      </c>
      <c r="M42">
        <f t="shared" si="13"/>
        <v>739.2093558139801</v>
      </c>
      <c r="N42">
        <f t="shared" si="14"/>
        <v>0.4785622284367817</v>
      </c>
      <c r="O42">
        <f t="shared" si="5"/>
        <v>1618892904.6088855</v>
      </c>
      <c r="P42">
        <f t="shared" si="6"/>
        <v>-4.0993328411786933E-6</v>
      </c>
      <c r="Q42">
        <f t="shared" si="15"/>
        <v>2.9802322387695313E-6</v>
      </c>
      <c r="R42" s="35"/>
    </row>
    <row r="43" spans="1:18" x14ac:dyDescent="0.25">
      <c r="A43">
        <v>27</v>
      </c>
      <c r="B43">
        <f t="shared" si="7"/>
        <v>706.37970566749573</v>
      </c>
      <c r="C43">
        <f t="shared" si="8"/>
        <v>739.20935283374786</v>
      </c>
      <c r="D43">
        <f t="shared" si="9"/>
        <v>0.47856222691255984</v>
      </c>
      <c r="E43">
        <f t="shared" si="0"/>
        <v>1618892885.6327543</v>
      </c>
      <c r="F43">
        <f t="shared" si="1"/>
        <v>1.65008793828747E-6</v>
      </c>
      <c r="G43">
        <f t="shared" si="2"/>
        <v>706.37970715761185</v>
      </c>
      <c r="H43">
        <f t="shared" si="10"/>
        <v>739.20935357880592</v>
      </c>
      <c r="I43">
        <f t="shared" si="11"/>
        <v>0.47856222729361514</v>
      </c>
      <c r="J43">
        <f t="shared" si="3"/>
        <v>1618892890.3767872</v>
      </c>
      <c r="K43">
        <f t="shared" si="4"/>
        <v>2.1273274342092918E-7</v>
      </c>
      <c r="L43">
        <f t="shared" si="12"/>
        <v>706.37970864772797</v>
      </c>
      <c r="M43">
        <f t="shared" si="13"/>
        <v>739.20935432386398</v>
      </c>
      <c r="N43">
        <f t="shared" si="14"/>
        <v>0.47856222767467077</v>
      </c>
      <c r="O43">
        <f t="shared" si="5"/>
        <v>1618892895.1208198</v>
      </c>
      <c r="P43">
        <f t="shared" si="6"/>
        <v>-1.2246224514456117E-6</v>
      </c>
      <c r="Q43">
        <f t="shared" si="15"/>
        <v>-1.4901161193847656E-6</v>
      </c>
      <c r="R43" s="35"/>
    </row>
    <row r="44" spans="1:18" x14ac:dyDescent="0.25">
      <c r="A44">
        <v>28</v>
      </c>
      <c r="B44">
        <f t="shared" si="7"/>
        <v>706.37970715761185</v>
      </c>
      <c r="C44">
        <f t="shared" si="8"/>
        <v>739.20935357880592</v>
      </c>
      <c r="D44">
        <f t="shared" si="9"/>
        <v>0.47856222729361514</v>
      </c>
      <c r="E44">
        <f t="shared" si="0"/>
        <v>1618892890.3767872</v>
      </c>
      <c r="F44">
        <f t="shared" si="1"/>
        <v>2.1273274342092918E-7</v>
      </c>
      <c r="G44">
        <f t="shared" si="2"/>
        <v>706.37970790266991</v>
      </c>
      <c r="H44">
        <f t="shared" si="10"/>
        <v>739.20935395133495</v>
      </c>
      <c r="I44">
        <f t="shared" si="11"/>
        <v>0.47856222748414312</v>
      </c>
      <c r="J44">
        <f t="shared" si="3"/>
        <v>1618892892.7488029</v>
      </c>
      <c r="K44">
        <f t="shared" si="4"/>
        <v>-5.0594485401234124E-7</v>
      </c>
      <c r="L44">
        <f t="shared" si="12"/>
        <v>706.37970864772797</v>
      </c>
      <c r="M44">
        <f t="shared" si="13"/>
        <v>739.20935432386398</v>
      </c>
      <c r="N44">
        <f t="shared" si="14"/>
        <v>0.47856222767467077</v>
      </c>
      <c r="O44">
        <f t="shared" si="5"/>
        <v>1618892895.1208198</v>
      </c>
      <c r="P44">
        <f t="shared" si="6"/>
        <v>-1.2246224514456117E-6</v>
      </c>
      <c r="Q44">
        <f t="shared" si="15"/>
        <v>7.4505805969238281E-7</v>
      </c>
      <c r="R44" s="35"/>
    </row>
    <row r="45" spans="1:18" x14ac:dyDescent="0.25">
      <c r="A45">
        <v>29</v>
      </c>
      <c r="B45">
        <f t="shared" si="7"/>
        <v>706.37970715761185</v>
      </c>
      <c r="C45">
        <f t="shared" si="8"/>
        <v>739.20935357880592</v>
      </c>
      <c r="D45">
        <f t="shared" si="9"/>
        <v>0.47856222729361514</v>
      </c>
      <c r="E45">
        <f t="shared" si="0"/>
        <v>1618892890.3767872</v>
      </c>
      <c r="F45">
        <f t="shared" si="1"/>
        <v>2.1273274342092918E-7</v>
      </c>
      <c r="G45">
        <f t="shared" si="2"/>
        <v>706.37970753014088</v>
      </c>
      <c r="H45">
        <f t="shared" si="10"/>
        <v>739.20935376507043</v>
      </c>
      <c r="I45">
        <f t="shared" si="11"/>
        <v>0.4785622273888791</v>
      </c>
      <c r="J45">
        <f t="shared" si="3"/>
        <v>1618892891.5627954</v>
      </c>
      <c r="K45">
        <f t="shared" si="4"/>
        <v>-1.4660611213912489E-7</v>
      </c>
      <c r="L45">
        <f t="shared" si="12"/>
        <v>706.37970790266991</v>
      </c>
      <c r="M45">
        <f t="shared" si="13"/>
        <v>739.20935395133495</v>
      </c>
      <c r="N45">
        <f t="shared" si="14"/>
        <v>0.47856222748414312</v>
      </c>
      <c r="O45">
        <f t="shared" si="5"/>
        <v>1618892892.7488029</v>
      </c>
      <c r="P45">
        <f t="shared" si="6"/>
        <v>-5.0594485401234124E-7</v>
      </c>
      <c r="Q45">
        <f t="shared" si="15"/>
        <v>-3.7252902984619141E-7</v>
      </c>
      <c r="R45" s="35"/>
    </row>
    <row r="46" spans="1:18" x14ac:dyDescent="0.25">
      <c r="A46">
        <v>30</v>
      </c>
      <c r="B46">
        <f t="shared" si="7"/>
        <v>706.37970715761185</v>
      </c>
      <c r="C46">
        <f t="shared" si="8"/>
        <v>739.20935357880592</v>
      </c>
      <c r="D46">
        <f t="shared" si="9"/>
        <v>0.47856222729361514</v>
      </c>
      <c r="E46">
        <f t="shared" si="0"/>
        <v>1618892890.3767872</v>
      </c>
      <c r="F46">
        <f t="shared" si="1"/>
        <v>2.1273274342092918E-7</v>
      </c>
      <c r="G46">
        <f t="shared" si="2"/>
        <v>706.37970734387636</v>
      </c>
      <c r="H46">
        <f t="shared" si="10"/>
        <v>739.20935367193817</v>
      </c>
      <c r="I46">
        <f t="shared" si="11"/>
        <v>0.47856222734124731</v>
      </c>
      <c r="J46">
        <f t="shared" si="3"/>
        <v>1618892890.9697909</v>
      </c>
      <c r="K46">
        <f t="shared" si="4"/>
        <v>3.3063315640902147E-8</v>
      </c>
      <c r="L46">
        <f t="shared" si="12"/>
        <v>706.37970753014088</v>
      </c>
      <c r="M46">
        <f t="shared" si="13"/>
        <v>739.20935376507043</v>
      </c>
      <c r="N46">
        <f t="shared" si="14"/>
        <v>0.4785622273888791</v>
      </c>
      <c r="O46">
        <f t="shared" si="5"/>
        <v>1618892891.5627954</v>
      </c>
      <c r="P46">
        <f t="shared" si="6"/>
        <v>-1.4660611213912489E-7</v>
      </c>
      <c r="Q46">
        <f t="shared" si="15"/>
        <v>-1.862645149230957E-7</v>
      </c>
      <c r="R46" s="35"/>
    </row>
    <row r="47" spans="1:18" x14ac:dyDescent="0.25">
      <c r="A47">
        <v>31</v>
      </c>
      <c r="B47">
        <f t="shared" si="7"/>
        <v>706.37970734387636</v>
      </c>
      <c r="C47">
        <f t="shared" si="8"/>
        <v>739.20935367193817</v>
      </c>
      <c r="D47">
        <f t="shared" si="9"/>
        <v>0.47856222734124731</v>
      </c>
      <c r="E47">
        <f t="shared" si="0"/>
        <v>1618892890.9697909</v>
      </c>
      <c r="F47">
        <f t="shared" si="1"/>
        <v>3.3063315640902147E-8</v>
      </c>
      <c r="G47">
        <f t="shared" si="2"/>
        <v>706.37970743700862</v>
      </c>
      <c r="H47">
        <f t="shared" si="10"/>
        <v>739.2093537185043</v>
      </c>
      <c r="I47">
        <f t="shared" si="11"/>
        <v>0.47856222736506321</v>
      </c>
      <c r="J47">
        <f t="shared" si="3"/>
        <v>1618892891.2662935</v>
      </c>
      <c r="K47">
        <f t="shared" si="4"/>
        <v>-5.677134140569251E-8</v>
      </c>
      <c r="L47">
        <f t="shared" si="12"/>
        <v>706.37970753014088</v>
      </c>
      <c r="M47">
        <f t="shared" si="13"/>
        <v>739.20935376507043</v>
      </c>
      <c r="N47">
        <f t="shared" si="14"/>
        <v>0.4785622273888791</v>
      </c>
      <c r="O47">
        <f t="shared" si="5"/>
        <v>1618892891.5627954</v>
      </c>
      <c r="P47">
        <f t="shared" si="6"/>
        <v>-1.4660611213912489E-7</v>
      </c>
      <c r="Q47">
        <f t="shared" si="15"/>
        <v>9.3132257461547852E-8</v>
      </c>
      <c r="R47" s="35"/>
    </row>
    <row r="48" spans="1:18" x14ac:dyDescent="0.25">
      <c r="A48">
        <v>32</v>
      </c>
      <c r="B48">
        <f t="shared" si="7"/>
        <v>706.37970734387636</v>
      </c>
      <c r="C48">
        <f t="shared" si="8"/>
        <v>739.20935367193817</v>
      </c>
      <c r="D48">
        <f t="shared" si="9"/>
        <v>0.47856222734124731</v>
      </c>
      <c r="E48">
        <f t="shared" si="0"/>
        <v>1618892890.9697909</v>
      </c>
      <c r="F48">
        <f t="shared" si="1"/>
        <v>3.3063315640902147E-8</v>
      </c>
      <c r="G48">
        <f t="shared" si="2"/>
        <v>706.37970739044249</v>
      </c>
      <c r="H48">
        <f t="shared" si="10"/>
        <v>739.20935369522124</v>
      </c>
      <c r="I48">
        <f t="shared" si="11"/>
        <v>0.47856222735315546</v>
      </c>
      <c r="J48">
        <f t="shared" si="3"/>
        <v>1618892891.118042</v>
      </c>
      <c r="K48">
        <f t="shared" si="4"/>
        <v>-1.1854012882395182E-8</v>
      </c>
      <c r="L48">
        <f t="shared" si="12"/>
        <v>706.37970743700862</v>
      </c>
      <c r="M48">
        <f t="shared" si="13"/>
        <v>739.2093537185043</v>
      </c>
      <c r="N48">
        <f t="shared" si="14"/>
        <v>0.47856222736506321</v>
      </c>
      <c r="O48">
        <f t="shared" si="5"/>
        <v>1618892891.2662935</v>
      </c>
      <c r="P48">
        <f t="shared" si="6"/>
        <v>-5.677134140569251E-8</v>
      </c>
      <c r="Q48">
        <f t="shared" si="15"/>
        <v>-4.6566128730773926E-8</v>
      </c>
      <c r="R48" s="35"/>
    </row>
    <row r="49" spans="1:18" x14ac:dyDescent="0.25">
      <c r="A49">
        <v>33</v>
      </c>
      <c r="B49">
        <f t="shared" si="7"/>
        <v>706.37970734387636</v>
      </c>
      <c r="C49">
        <f t="shared" si="8"/>
        <v>739.20935367193817</v>
      </c>
      <c r="D49">
        <f t="shared" si="9"/>
        <v>0.47856222734124731</v>
      </c>
      <c r="E49">
        <f t="shared" si="0"/>
        <v>1618892890.9697909</v>
      </c>
      <c r="F49">
        <f t="shared" si="1"/>
        <v>3.3063315640902147E-8</v>
      </c>
      <c r="G49">
        <f t="shared" si="2"/>
        <v>706.37970736715943</v>
      </c>
      <c r="H49">
        <f t="shared" si="10"/>
        <v>739.20935368357971</v>
      </c>
      <c r="I49">
        <f t="shared" si="11"/>
        <v>0.47856222734720094</v>
      </c>
      <c r="J49">
        <f t="shared" si="3"/>
        <v>1618892891.0439167</v>
      </c>
      <c r="K49">
        <f t="shared" si="4"/>
        <v>1.0604594535834622E-8</v>
      </c>
      <c r="L49">
        <f t="shared" si="12"/>
        <v>706.37970739044249</v>
      </c>
      <c r="M49">
        <f t="shared" si="13"/>
        <v>739.20935369522124</v>
      </c>
      <c r="N49">
        <f t="shared" si="14"/>
        <v>0.47856222735315546</v>
      </c>
      <c r="O49">
        <f t="shared" si="5"/>
        <v>1618892891.118042</v>
      </c>
      <c r="P49">
        <f t="shared" si="6"/>
        <v>-1.1854012882395182E-8</v>
      </c>
      <c r="Q49">
        <f t="shared" si="15"/>
        <v>-2.3283064365386963E-8</v>
      </c>
      <c r="R49" s="35"/>
    </row>
    <row r="50" spans="1:18" x14ac:dyDescent="0.25">
      <c r="A50">
        <v>34</v>
      </c>
      <c r="B50">
        <f t="shared" si="7"/>
        <v>706.37970736715943</v>
      </c>
      <c r="C50">
        <f t="shared" si="8"/>
        <v>739.20935368357971</v>
      </c>
      <c r="D50">
        <f t="shared" si="9"/>
        <v>0.47856222734720094</v>
      </c>
      <c r="E50">
        <f t="shared" si="0"/>
        <v>1618892891.0439167</v>
      </c>
      <c r="F50">
        <f t="shared" si="1"/>
        <v>1.0604594535834622E-8</v>
      </c>
      <c r="G50">
        <f t="shared" si="2"/>
        <v>706.37970737880096</v>
      </c>
      <c r="H50">
        <f t="shared" si="10"/>
        <v>739.20935368940047</v>
      </c>
      <c r="I50">
        <f t="shared" si="11"/>
        <v>0.478562227350178</v>
      </c>
      <c r="J50">
        <f t="shared" si="3"/>
        <v>1618892891.0809791</v>
      </c>
      <c r="K50">
        <f t="shared" si="4"/>
        <v>-6.2470917328028008E-10</v>
      </c>
      <c r="L50">
        <f t="shared" si="12"/>
        <v>706.37970739044249</v>
      </c>
      <c r="M50">
        <f t="shared" si="13"/>
        <v>739.20935369522124</v>
      </c>
      <c r="N50">
        <f t="shared" si="14"/>
        <v>0.47856222735315546</v>
      </c>
      <c r="O50">
        <f t="shared" si="5"/>
        <v>1618892891.118042</v>
      </c>
      <c r="P50">
        <f t="shared" si="6"/>
        <v>-1.1854012882395182E-8</v>
      </c>
      <c r="Q50">
        <f t="shared" si="15"/>
        <v>1.1641532182693481E-8</v>
      </c>
      <c r="R50" s="35"/>
    </row>
    <row r="51" spans="1:18" x14ac:dyDescent="0.25">
      <c r="A51">
        <v>35</v>
      </c>
      <c r="B51">
        <f t="shared" si="7"/>
        <v>706.37970736715943</v>
      </c>
      <c r="C51">
        <f t="shared" si="8"/>
        <v>739.20935368357971</v>
      </c>
      <c r="D51">
        <f t="shared" si="9"/>
        <v>0.47856222734720094</v>
      </c>
      <c r="E51">
        <f t="shared" si="0"/>
        <v>1618892891.0439167</v>
      </c>
      <c r="F51">
        <f t="shared" si="1"/>
        <v>1.0604594535834622E-8</v>
      </c>
      <c r="G51">
        <f t="shared" si="2"/>
        <v>706.37970737298019</v>
      </c>
      <c r="H51">
        <f t="shared" si="10"/>
        <v>739.20935368649009</v>
      </c>
      <c r="I51">
        <f t="shared" si="11"/>
        <v>0.47856222734868953</v>
      </c>
      <c r="J51">
        <f t="shared" si="3"/>
        <v>1618892891.062448</v>
      </c>
      <c r="K51">
        <f t="shared" si="4"/>
        <v>4.9899426812771708E-9</v>
      </c>
      <c r="L51">
        <f t="shared" si="12"/>
        <v>706.37970737880096</v>
      </c>
      <c r="M51">
        <f t="shared" si="13"/>
        <v>739.20935368940047</v>
      </c>
      <c r="N51">
        <f t="shared" si="14"/>
        <v>0.478562227350178</v>
      </c>
      <c r="O51">
        <f t="shared" si="5"/>
        <v>1618892891.0809791</v>
      </c>
      <c r="P51">
        <f t="shared" si="6"/>
        <v>-6.2470917328028008E-10</v>
      </c>
      <c r="Q51">
        <f t="shared" si="15"/>
        <v>-5.8207660913467407E-9</v>
      </c>
      <c r="R51" s="35"/>
    </row>
    <row r="52" spans="1:18" x14ac:dyDescent="0.25">
      <c r="A52">
        <v>36</v>
      </c>
      <c r="B52">
        <f t="shared" si="7"/>
        <v>706.37970737298019</v>
      </c>
      <c r="C52">
        <f t="shared" si="8"/>
        <v>739.20935368649009</v>
      </c>
      <c r="D52">
        <f t="shared" si="9"/>
        <v>0.47856222734868953</v>
      </c>
      <c r="E52">
        <f t="shared" si="0"/>
        <v>1618892891.062448</v>
      </c>
      <c r="F52">
        <f t="shared" si="1"/>
        <v>4.9899426812771708E-9</v>
      </c>
      <c r="G52">
        <f t="shared" si="2"/>
        <v>706.37970737589058</v>
      </c>
      <c r="H52">
        <f t="shared" si="10"/>
        <v>739.20935368794528</v>
      </c>
      <c r="I52">
        <f t="shared" si="11"/>
        <v>0.47856222734943421</v>
      </c>
      <c r="J52">
        <f t="shared" si="3"/>
        <v>1618892891.0717134</v>
      </c>
      <c r="K52">
        <f t="shared" si="4"/>
        <v>2.1826735974173062E-9</v>
      </c>
      <c r="L52">
        <f t="shared" si="12"/>
        <v>706.37970737880096</v>
      </c>
      <c r="M52">
        <f t="shared" si="13"/>
        <v>739.20935368940047</v>
      </c>
      <c r="N52">
        <f t="shared" si="14"/>
        <v>0.478562227350178</v>
      </c>
      <c r="O52">
        <f t="shared" si="5"/>
        <v>1618892891.0809791</v>
      </c>
      <c r="P52">
        <f t="shared" si="6"/>
        <v>-6.2470917328028008E-10</v>
      </c>
      <c r="Q52">
        <f t="shared" si="15"/>
        <v>2.9103830456733704E-9</v>
      </c>
      <c r="R52" s="35"/>
    </row>
    <row r="53" spans="1:18" x14ac:dyDescent="0.25">
      <c r="A53">
        <v>37</v>
      </c>
      <c r="B53">
        <f t="shared" si="7"/>
        <v>706.37970737589058</v>
      </c>
      <c r="C53">
        <f t="shared" si="8"/>
        <v>739.20935368794528</v>
      </c>
      <c r="D53">
        <f t="shared" si="9"/>
        <v>0.47856222734943421</v>
      </c>
      <c r="E53">
        <f t="shared" si="0"/>
        <v>1618892891.0717134</v>
      </c>
      <c r="F53">
        <f t="shared" si="1"/>
        <v>2.1826735974173062E-9</v>
      </c>
      <c r="G53">
        <f t="shared" si="2"/>
        <v>706.37970737734577</v>
      </c>
      <c r="H53">
        <f t="shared" si="10"/>
        <v>739.20935368867288</v>
      </c>
      <c r="I53">
        <f t="shared" si="11"/>
        <v>0.47856222734980614</v>
      </c>
      <c r="J53">
        <f t="shared" si="3"/>
        <v>1618892891.0763462</v>
      </c>
      <c r="K53">
        <f t="shared" si="4"/>
        <v>7.7898221206851304E-10</v>
      </c>
      <c r="L53">
        <f t="shared" si="12"/>
        <v>706.37970737880096</v>
      </c>
      <c r="M53">
        <f t="shared" si="13"/>
        <v>739.20935368940047</v>
      </c>
      <c r="N53">
        <f t="shared" si="14"/>
        <v>0.478562227350178</v>
      </c>
      <c r="O53">
        <f t="shared" si="5"/>
        <v>1618892891.0809791</v>
      </c>
      <c r="P53">
        <f t="shared" si="6"/>
        <v>-6.2470917328028008E-10</v>
      </c>
      <c r="Q53">
        <f t="shared" si="15"/>
        <v>1.4551915228366852E-9</v>
      </c>
      <c r="R53" s="35"/>
    </row>
    <row r="54" spans="1:18" x14ac:dyDescent="0.25">
      <c r="A54">
        <v>38</v>
      </c>
      <c r="B54">
        <f t="shared" si="7"/>
        <v>706.37970737734577</v>
      </c>
      <c r="C54">
        <f t="shared" si="8"/>
        <v>739.20935368867288</v>
      </c>
      <c r="D54">
        <f t="shared" si="9"/>
        <v>0.47856222734980614</v>
      </c>
      <c r="E54">
        <f t="shared" si="0"/>
        <v>1618892891.0763462</v>
      </c>
      <c r="F54">
        <f t="shared" si="1"/>
        <v>7.7898221206851304E-10</v>
      </c>
      <c r="G54">
        <f t="shared" si="2"/>
        <v>706.37970737807336</v>
      </c>
      <c r="H54">
        <f t="shared" si="10"/>
        <v>739.20935368903667</v>
      </c>
      <c r="I54">
        <f t="shared" si="11"/>
        <v>0.47856222734999226</v>
      </c>
      <c r="J54">
        <f t="shared" si="3"/>
        <v>1618892891.0786633</v>
      </c>
      <c r="K54">
        <f t="shared" si="4"/>
        <v>7.7193362812977284E-11</v>
      </c>
      <c r="L54">
        <f t="shared" si="12"/>
        <v>706.37970737880096</v>
      </c>
      <c r="M54">
        <f t="shared" si="13"/>
        <v>739.20935368940047</v>
      </c>
      <c r="N54">
        <f t="shared" si="14"/>
        <v>0.478562227350178</v>
      </c>
      <c r="O54">
        <f t="shared" si="5"/>
        <v>1618892891.0809791</v>
      </c>
      <c r="P54">
        <f t="shared" si="6"/>
        <v>-6.2470917328028008E-10</v>
      </c>
      <c r="Q54">
        <f t="shared" si="15"/>
        <v>7.2759576141834259E-10</v>
      </c>
      <c r="R54" s="35"/>
    </row>
    <row r="55" spans="1:18" x14ac:dyDescent="0.25">
      <c r="A55">
        <v>39</v>
      </c>
      <c r="B55">
        <f t="shared" si="7"/>
        <v>706.37970737807336</v>
      </c>
      <c r="C55">
        <f t="shared" si="8"/>
        <v>739.20935368903667</v>
      </c>
      <c r="D55">
        <f t="shared" si="9"/>
        <v>0.47856222734999226</v>
      </c>
      <c r="E55">
        <f t="shared" si="0"/>
        <v>1618892891.0786633</v>
      </c>
      <c r="F55">
        <f t="shared" si="1"/>
        <v>7.7193362812977284E-11</v>
      </c>
      <c r="G55">
        <f t="shared" si="2"/>
        <v>706.37970737843716</v>
      </c>
      <c r="H55">
        <f t="shared" si="10"/>
        <v>739.20935368921857</v>
      </c>
      <c r="I55">
        <f t="shared" si="11"/>
        <v>0.47856222735008541</v>
      </c>
      <c r="J55">
        <f t="shared" si="3"/>
        <v>1618892891.0798211</v>
      </c>
      <c r="K55">
        <f t="shared" si="4"/>
        <v>-2.737579052336514E-10</v>
      </c>
      <c r="L55">
        <f t="shared" si="12"/>
        <v>706.37970737880096</v>
      </c>
      <c r="M55">
        <f t="shared" si="13"/>
        <v>739.20935368940047</v>
      </c>
      <c r="N55">
        <f t="shared" si="14"/>
        <v>0.478562227350178</v>
      </c>
      <c r="O55">
        <f t="shared" si="5"/>
        <v>1618892891.0809791</v>
      </c>
      <c r="P55">
        <f t="shared" si="6"/>
        <v>-6.2470917328028008E-10</v>
      </c>
      <c r="Q55">
        <f t="shared" si="15"/>
        <v>3.637978807091713E-10</v>
      </c>
      <c r="R55" s="35"/>
    </row>
    <row r="56" spans="1:18" x14ac:dyDescent="0.25">
      <c r="A56">
        <v>40</v>
      </c>
      <c r="B56">
        <f t="shared" si="7"/>
        <v>706.37970737807336</v>
      </c>
      <c r="C56">
        <f t="shared" si="8"/>
        <v>739.20935368903667</v>
      </c>
      <c r="D56">
        <f t="shared" si="9"/>
        <v>0.47856222734999226</v>
      </c>
      <c r="E56">
        <f t="shared" si="0"/>
        <v>1618892891.0786633</v>
      </c>
      <c r="F56">
        <f t="shared" si="1"/>
        <v>7.7193362812977284E-11</v>
      </c>
      <c r="G56">
        <f t="shared" si="2"/>
        <v>706.37970737825526</v>
      </c>
      <c r="H56">
        <f t="shared" si="10"/>
        <v>739.20935368912762</v>
      </c>
      <c r="I56">
        <f t="shared" si="11"/>
        <v>0.47856222735003906</v>
      </c>
      <c r="J56">
        <f t="shared" si="3"/>
        <v>1618892891.0792422</v>
      </c>
      <c r="K56">
        <f t="shared" si="4"/>
        <v>-9.822542779147625E-11</v>
      </c>
      <c r="L56">
        <f t="shared" si="12"/>
        <v>706.37970737843716</v>
      </c>
      <c r="M56">
        <f t="shared" si="13"/>
        <v>739.20935368921857</v>
      </c>
      <c r="N56">
        <f t="shared" si="14"/>
        <v>0.47856222735008541</v>
      </c>
      <c r="O56">
        <f t="shared" si="5"/>
        <v>1618892891.0798211</v>
      </c>
      <c r="P56">
        <f t="shared" si="6"/>
        <v>-2.737579052336514E-10</v>
      </c>
      <c r="Q56">
        <f t="shared" si="15"/>
        <v>-1.8189894035458565E-10</v>
      </c>
      <c r="R56" s="35"/>
    </row>
    <row r="57" spans="1:18" x14ac:dyDescent="0.25">
      <c r="A57">
        <v>41</v>
      </c>
      <c r="B57">
        <f t="shared" si="7"/>
        <v>706.37970737807336</v>
      </c>
      <c r="C57">
        <f t="shared" si="8"/>
        <v>739.20935368903667</v>
      </c>
      <c r="D57">
        <f t="shared" si="9"/>
        <v>0.47856222734999226</v>
      </c>
      <c r="E57">
        <f t="shared" si="0"/>
        <v>1618892891.0786633</v>
      </c>
      <c r="F57">
        <f t="shared" si="1"/>
        <v>7.7193362812977284E-11</v>
      </c>
      <c r="G57">
        <f t="shared" si="2"/>
        <v>706.37970737816431</v>
      </c>
      <c r="H57">
        <f t="shared" si="10"/>
        <v>739.20935368908215</v>
      </c>
      <c r="I57">
        <f t="shared" si="11"/>
        <v>0.47856222735001525</v>
      </c>
      <c r="J57">
        <f t="shared" si="3"/>
        <v>1618892891.0789523</v>
      </c>
      <c r="K57">
        <f t="shared" si="4"/>
        <v>-1.0572875908110291E-11</v>
      </c>
      <c r="L57">
        <f t="shared" si="12"/>
        <v>706.37970737825526</v>
      </c>
      <c r="M57">
        <f t="shared" si="13"/>
        <v>739.20935368912762</v>
      </c>
      <c r="N57">
        <f t="shared" si="14"/>
        <v>0.47856222735003906</v>
      </c>
      <c r="O57">
        <f t="shared" si="5"/>
        <v>1618892891.0792422</v>
      </c>
      <c r="P57">
        <f t="shared" si="6"/>
        <v>-9.822542779147625E-11</v>
      </c>
      <c r="Q57">
        <f t="shared" si="15"/>
        <v>-9.0949470177292824E-11</v>
      </c>
      <c r="R57" s="35"/>
    </row>
    <row r="58" spans="1:18" x14ac:dyDescent="0.25">
      <c r="A58">
        <v>42</v>
      </c>
      <c r="B58">
        <f t="shared" si="7"/>
        <v>706.37970737807336</v>
      </c>
      <c r="C58">
        <f t="shared" si="8"/>
        <v>739.20935368903667</v>
      </c>
      <c r="D58">
        <f t="shared" si="9"/>
        <v>0.47856222734999226</v>
      </c>
      <c r="E58">
        <f t="shared" si="0"/>
        <v>1618892891.0786633</v>
      </c>
      <c r="F58">
        <f t="shared" si="1"/>
        <v>7.7193362812977284E-11</v>
      </c>
      <c r="G58">
        <f t="shared" si="2"/>
        <v>706.37970737811884</v>
      </c>
      <c r="H58">
        <f t="shared" si="10"/>
        <v>739.20935368905941</v>
      </c>
      <c r="I58">
        <f t="shared" si="11"/>
        <v>0.47856222735000375</v>
      </c>
      <c r="J58">
        <f t="shared" si="3"/>
        <v>1618892891.0788076</v>
      </c>
      <c r="K58">
        <f t="shared" si="4"/>
        <v>3.3310243452433497E-11</v>
      </c>
      <c r="L58">
        <f t="shared" si="12"/>
        <v>706.37970737816431</v>
      </c>
      <c r="M58">
        <f t="shared" si="13"/>
        <v>739.20935368908215</v>
      </c>
      <c r="N58">
        <f t="shared" si="14"/>
        <v>0.47856222735001525</v>
      </c>
      <c r="O58">
        <f t="shared" si="5"/>
        <v>1618892891.0789523</v>
      </c>
      <c r="P58">
        <f t="shared" si="6"/>
        <v>-1.0572875908110291E-11</v>
      </c>
      <c r="Q58">
        <f t="shared" si="15"/>
        <v>-4.5474735088646412E-11</v>
      </c>
      <c r="R58" s="35"/>
    </row>
    <row r="59" spans="1:18" x14ac:dyDescent="0.25">
      <c r="A59">
        <v>43</v>
      </c>
      <c r="B59">
        <f t="shared" si="7"/>
        <v>706.37970737811884</v>
      </c>
      <c r="C59">
        <f t="shared" si="8"/>
        <v>739.20935368905941</v>
      </c>
      <c r="D59">
        <f t="shared" si="9"/>
        <v>0.47856222735000375</v>
      </c>
      <c r="E59">
        <f t="shared" si="0"/>
        <v>1618892891.0788076</v>
      </c>
      <c r="F59">
        <f t="shared" si="1"/>
        <v>3.3310243452433497E-11</v>
      </c>
      <c r="G59">
        <f t="shared" si="2"/>
        <v>706.37970737814157</v>
      </c>
      <c r="H59">
        <f t="shared" si="10"/>
        <v>739.20935368907078</v>
      </c>
      <c r="I59">
        <f t="shared" si="11"/>
        <v>0.47856222735000964</v>
      </c>
      <c r="J59">
        <f t="shared" si="3"/>
        <v>1618892891.0788803</v>
      </c>
      <c r="K59">
        <f t="shared" si="4"/>
        <v>1.1368683772161603E-11</v>
      </c>
      <c r="L59">
        <f t="shared" si="12"/>
        <v>706.37970737816431</v>
      </c>
      <c r="M59">
        <f t="shared" si="13"/>
        <v>739.20935368908215</v>
      </c>
      <c r="N59">
        <f t="shared" si="14"/>
        <v>0.47856222735001525</v>
      </c>
      <c r="O59">
        <f t="shared" si="5"/>
        <v>1618892891.0789523</v>
      </c>
      <c r="P59">
        <f t="shared" si="6"/>
        <v>-1.0572875908110291E-11</v>
      </c>
      <c r="Q59">
        <f t="shared" si="15"/>
        <v>2.2737367544323206E-11</v>
      </c>
      <c r="R59" s="35"/>
    </row>
    <row r="60" spans="1:18" x14ac:dyDescent="0.25">
      <c r="A60">
        <v>44</v>
      </c>
      <c r="B60">
        <f t="shared" si="7"/>
        <v>706.37970737814157</v>
      </c>
      <c r="C60">
        <f t="shared" si="8"/>
        <v>739.20935368907078</v>
      </c>
      <c r="D60">
        <f t="shared" si="9"/>
        <v>0.47856222735000964</v>
      </c>
      <c r="E60">
        <f t="shared" si="0"/>
        <v>1618892891.0788803</v>
      </c>
      <c r="F60">
        <f t="shared" si="1"/>
        <v>1.1368683772161603E-11</v>
      </c>
      <c r="G60">
        <f t="shared" si="2"/>
        <v>706.37970737815294</v>
      </c>
      <c r="H60">
        <f t="shared" si="10"/>
        <v>739.20935368907647</v>
      </c>
      <c r="I60">
        <f t="shared" si="11"/>
        <v>0.47856222735001269</v>
      </c>
      <c r="J60">
        <f t="shared" si="3"/>
        <v>1618892891.0789161</v>
      </c>
      <c r="K60">
        <f t="shared" si="4"/>
        <v>0</v>
      </c>
      <c r="L60">
        <f t="shared" si="12"/>
        <v>706.37970737816431</v>
      </c>
      <c r="M60">
        <f t="shared" si="13"/>
        <v>739.20935368908215</v>
      </c>
      <c r="N60">
        <f t="shared" si="14"/>
        <v>0.47856222735001525</v>
      </c>
      <c r="O60">
        <f t="shared" si="5"/>
        <v>1618892891.0789523</v>
      </c>
      <c r="P60">
        <f t="shared" si="6"/>
        <v>-1.0572875908110291E-11</v>
      </c>
      <c r="Q60">
        <f t="shared" si="15"/>
        <v>1.1368683772161603E-11</v>
      </c>
      <c r="R60" s="35"/>
    </row>
    <row r="61" spans="1:18" x14ac:dyDescent="0.25">
      <c r="A61">
        <v>45</v>
      </c>
      <c r="B61">
        <f t="shared" si="7"/>
        <v>706.37970737814157</v>
      </c>
      <c r="C61">
        <f t="shared" si="8"/>
        <v>739.20935368907078</v>
      </c>
      <c r="D61">
        <f t="shared" si="9"/>
        <v>0.47856222735000964</v>
      </c>
      <c r="E61">
        <f t="shared" si="0"/>
        <v>1618892891.0788803</v>
      </c>
      <c r="F61">
        <f t="shared" si="1"/>
        <v>1.1368683772161603E-11</v>
      </c>
      <c r="G61">
        <f t="shared" si="2"/>
        <v>706.37970737814726</v>
      </c>
      <c r="H61">
        <f t="shared" si="10"/>
        <v>739.20935368907362</v>
      </c>
      <c r="I61">
        <f t="shared" si="11"/>
        <v>0.47856222735001097</v>
      </c>
      <c r="J61">
        <f t="shared" si="3"/>
        <v>1618892891.0788982</v>
      </c>
      <c r="K61">
        <f t="shared" si="4"/>
        <v>5.9117155615240335E-12</v>
      </c>
      <c r="L61">
        <f t="shared" si="12"/>
        <v>706.37970737815294</v>
      </c>
      <c r="M61">
        <f t="shared" si="13"/>
        <v>739.20935368907647</v>
      </c>
      <c r="N61">
        <f t="shared" si="14"/>
        <v>0.47856222735001269</v>
      </c>
      <c r="O61">
        <f t="shared" si="5"/>
        <v>1618892891.0789161</v>
      </c>
      <c r="P61">
        <f t="shared" si="6"/>
        <v>0</v>
      </c>
      <c r="Q61">
        <f t="shared" si="15"/>
        <v>-5.6843418860808015E-12</v>
      </c>
      <c r="R61" s="35"/>
    </row>
    <row r="62" spans="1:18" x14ac:dyDescent="0.25">
      <c r="A62">
        <v>46</v>
      </c>
      <c r="B62">
        <f t="shared" si="7"/>
        <v>706.37970737814726</v>
      </c>
      <c r="C62">
        <f t="shared" si="8"/>
        <v>739.20935368907362</v>
      </c>
      <c r="D62">
        <f t="shared" si="9"/>
        <v>0.47856222735001097</v>
      </c>
      <c r="E62">
        <f t="shared" si="0"/>
        <v>1618892891.0788982</v>
      </c>
      <c r="F62">
        <f t="shared" si="1"/>
        <v>5.9117155615240335E-12</v>
      </c>
      <c r="G62">
        <f t="shared" si="2"/>
        <v>706.37970737814726</v>
      </c>
      <c r="H62">
        <f t="shared" si="10"/>
        <v>739.20935368907362</v>
      </c>
      <c r="I62">
        <f t="shared" si="11"/>
        <v>0.47856222735001097</v>
      </c>
      <c r="J62">
        <f t="shared" si="3"/>
        <v>1618892891.0788982</v>
      </c>
      <c r="K62">
        <f t="shared" si="4"/>
        <v>5.9117155615240335E-12</v>
      </c>
      <c r="L62">
        <f t="shared" si="12"/>
        <v>706.37970737814726</v>
      </c>
      <c r="M62">
        <f t="shared" si="13"/>
        <v>739.20935368907362</v>
      </c>
      <c r="N62">
        <f t="shared" si="14"/>
        <v>0.47856222735001097</v>
      </c>
      <c r="O62">
        <f t="shared" si="5"/>
        <v>1618892891.0788982</v>
      </c>
      <c r="P62">
        <f t="shared" si="6"/>
        <v>5.9117155615240335E-12</v>
      </c>
      <c r="Q62">
        <f t="shared" si="15"/>
        <v>0</v>
      </c>
      <c r="R62" s="35"/>
    </row>
    <row r="63" spans="1:18" x14ac:dyDescent="0.25">
      <c r="A63">
        <v>47</v>
      </c>
      <c r="B63">
        <f t="shared" si="7"/>
        <v>706.37970737814726</v>
      </c>
      <c r="C63">
        <f t="shared" si="8"/>
        <v>739.20935368907362</v>
      </c>
      <c r="D63">
        <f t="shared" si="9"/>
        <v>0.47856222735001097</v>
      </c>
      <c r="E63">
        <f t="shared" si="0"/>
        <v>1618892891.0788982</v>
      </c>
      <c r="F63">
        <f t="shared" si="1"/>
        <v>5.9117155615240335E-12</v>
      </c>
      <c r="G63">
        <f t="shared" si="2"/>
        <v>706.37970737814726</v>
      </c>
      <c r="H63">
        <f t="shared" si="10"/>
        <v>739.20935368907362</v>
      </c>
      <c r="I63">
        <f t="shared" si="11"/>
        <v>0.47856222735001097</v>
      </c>
      <c r="J63">
        <f t="shared" si="3"/>
        <v>1618892891.0788982</v>
      </c>
      <c r="K63">
        <f t="shared" si="4"/>
        <v>5.9117155615240335E-12</v>
      </c>
      <c r="L63">
        <f t="shared" si="12"/>
        <v>706.37970737814726</v>
      </c>
      <c r="M63">
        <f t="shared" si="13"/>
        <v>739.20935368907362</v>
      </c>
      <c r="N63">
        <f t="shared" si="14"/>
        <v>0.47856222735001097</v>
      </c>
      <c r="O63">
        <f t="shared" si="5"/>
        <v>1618892891.0788982</v>
      </c>
      <c r="P63">
        <f t="shared" si="6"/>
        <v>5.9117155615240335E-12</v>
      </c>
      <c r="Q63">
        <f t="shared" si="15"/>
        <v>0</v>
      </c>
      <c r="R63" s="35"/>
    </row>
    <row r="64" spans="1:18" x14ac:dyDescent="0.25">
      <c r="A64">
        <v>48</v>
      </c>
      <c r="B64">
        <f t="shared" si="7"/>
        <v>706.37970737814726</v>
      </c>
      <c r="C64">
        <f t="shared" si="8"/>
        <v>739.20935368907362</v>
      </c>
      <c r="D64">
        <f t="shared" si="9"/>
        <v>0.47856222735001097</v>
      </c>
      <c r="E64">
        <f t="shared" si="0"/>
        <v>1618892891.0788982</v>
      </c>
      <c r="F64">
        <f t="shared" si="1"/>
        <v>5.9117155615240335E-12</v>
      </c>
      <c r="G64">
        <f t="shared" si="2"/>
        <v>706.37970737814726</v>
      </c>
      <c r="H64">
        <f t="shared" si="10"/>
        <v>739.20935368907362</v>
      </c>
      <c r="I64">
        <f t="shared" si="11"/>
        <v>0.47856222735001097</v>
      </c>
      <c r="J64">
        <f t="shared" si="3"/>
        <v>1618892891.0788982</v>
      </c>
      <c r="K64">
        <f t="shared" si="4"/>
        <v>5.9117155615240335E-12</v>
      </c>
      <c r="L64">
        <f t="shared" si="12"/>
        <v>706.37970737814726</v>
      </c>
      <c r="M64">
        <f t="shared" si="13"/>
        <v>739.20935368907362</v>
      </c>
      <c r="N64">
        <f t="shared" si="14"/>
        <v>0.47856222735001097</v>
      </c>
      <c r="O64">
        <f t="shared" si="5"/>
        <v>1618892891.0788982</v>
      </c>
      <c r="P64">
        <f t="shared" si="6"/>
        <v>5.9117155615240335E-12</v>
      </c>
      <c r="Q64">
        <f t="shared" si="15"/>
        <v>0</v>
      </c>
      <c r="R64" s="35"/>
    </row>
    <row r="65" spans="1:18" x14ac:dyDescent="0.25">
      <c r="A65">
        <v>49</v>
      </c>
      <c r="B65">
        <f t="shared" si="7"/>
        <v>706.37970737814726</v>
      </c>
      <c r="C65">
        <f t="shared" si="8"/>
        <v>739.20935368907362</v>
      </c>
      <c r="D65">
        <f t="shared" si="9"/>
        <v>0.47856222735001097</v>
      </c>
      <c r="E65">
        <f t="shared" si="0"/>
        <v>1618892891.0788982</v>
      </c>
      <c r="F65">
        <f t="shared" si="1"/>
        <v>5.9117155615240335E-12</v>
      </c>
      <c r="G65">
        <f t="shared" si="2"/>
        <v>706.37970737814726</v>
      </c>
      <c r="H65">
        <f t="shared" si="10"/>
        <v>739.20935368907362</v>
      </c>
      <c r="I65">
        <f t="shared" si="11"/>
        <v>0.47856222735001097</v>
      </c>
      <c r="J65">
        <f t="shared" si="3"/>
        <v>1618892891.0788982</v>
      </c>
      <c r="K65">
        <f t="shared" si="4"/>
        <v>5.9117155615240335E-12</v>
      </c>
      <c r="L65">
        <f t="shared" si="12"/>
        <v>706.37970737814726</v>
      </c>
      <c r="M65">
        <f t="shared" si="13"/>
        <v>739.20935368907362</v>
      </c>
      <c r="N65">
        <f t="shared" si="14"/>
        <v>0.47856222735001097</v>
      </c>
      <c r="O65">
        <f t="shared" si="5"/>
        <v>1618892891.0788982</v>
      </c>
      <c r="P65">
        <f t="shared" si="6"/>
        <v>5.9117155615240335E-12</v>
      </c>
      <c r="Q65">
        <f t="shared" si="15"/>
        <v>0</v>
      </c>
      <c r="R65" s="35"/>
    </row>
    <row r="66" spans="1:18" x14ac:dyDescent="0.25">
      <c r="A66">
        <v>50</v>
      </c>
      <c r="B66">
        <f t="shared" si="7"/>
        <v>706.37970737814726</v>
      </c>
      <c r="C66">
        <f t="shared" si="8"/>
        <v>739.20935368907362</v>
      </c>
      <c r="D66">
        <f t="shared" si="9"/>
        <v>0.47856222735001097</v>
      </c>
      <c r="E66">
        <f t="shared" si="0"/>
        <v>1618892891.0788982</v>
      </c>
      <c r="F66">
        <f t="shared" si="1"/>
        <v>5.9117155615240335E-12</v>
      </c>
      <c r="G66">
        <f t="shared" si="2"/>
        <v>706.37970737814726</v>
      </c>
      <c r="H66">
        <f t="shared" si="10"/>
        <v>739.20935368907362</v>
      </c>
      <c r="I66">
        <f t="shared" si="11"/>
        <v>0.47856222735001097</v>
      </c>
      <c r="J66">
        <f t="shared" si="3"/>
        <v>1618892891.0788982</v>
      </c>
      <c r="K66">
        <f t="shared" si="4"/>
        <v>5.9117155615240335E-12</v>
      </c>
      <c r="L66">
        <f t="shared" si="12"/>
        <v>706.37970737814726</v>
      </c>
      <c r="M66">
        <f t="shared" si="13"/>
        <v>739.20935368907362</v>
      </c>
      <c r="N66">
        <f t="shared" si="14"/>
        <v>0.47856222735001097</v>
      </c>
      <c r="O66">
        <f t="shared" si="5"/>
        <v>1618892891.0788982</v>
      </c>
      <c r="P66">
        <f t="shared" si="6"/>
        <v>5.9117155615240335E-12</v>
      </c>
      <c r="Q66">
        <f t="shared" si="15"/>
        <v>0</v>
      </c>
      <c r="R66" s="35"/>
    </row>
    <row r="67" spans="1:18" x14ac:dyDescent="0.25">
      <c r="R67" s="35"/>
    </row>
    <row r="68" spans="1:18" x14ac:dyDescent="0.25">
      <c r="B68" t="s">
        <v>352</v>
      </c>
      <c r="C68">
        <f>(B1+G66)/2</f>
        <v>739.20935368907362</v>
      </c>
      <c r="R68" s="35"/>
    </row>
    <row r="69" spans="1:18" x14ac:dyDescent="0.25">
      <c r="R69" s="35"/>
    </row>
  </sheetData>
  <mergeCells count="5">
    <mergeCell ref="A15:A16"/>
    <mergeCell ref="A14:Q14"/>
    <mergeCell ref="B15:F15"/>
    <mergeCell ref="G15:K15"/>
    <mergeCell ref="L15:P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opLeftCell="A3" workbookViewId="0">
      <selection activeCell="G10" sqref="G10:G12"/>
    </sheetView>
  </sheetViews>
  <sheetFormatPr defaultRowHeight="15" x14ac:dyDescent="0.25"/>
  <cols>
    <col min="18" max="18" width="12" bestFit="1" customWidth="1"/>
    <col min="19" max="19" width="11.5703125" bestFit="1" customWidth="1"/>
  </cols>
  <sheetData>
    <row r="1" spans="1:19" ht="15.75" x14ac:dyDescent="0.25">
      <c r="A1" s="170" t="s">
        <v>381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</row>
    <row r="2" spans="1:19" ht="15.75" x14ac:dyDescent="0.25">
      <c r="A2" s="171" t="s">
        <v>353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3"/>
    </row>
    <row r="3" spans="1:19" ht="75" x14ac:dyDescent="0.25">
      <c r="A3" s="97" t="s">
        <v>354</v>
      </c>
      <c r="B3" s="97" t="s">
        <v>355</v>
      </c>
      <c r="C3" s="97" t="s">
        <v>356</v>
      </c>
      <c r="D3" s="97" t="s">
        <v>357</v>
      </c>
      <c r="E3" s="97" t="s">
        <v>358</v>
      </c>
      <c r="F3" s="97" t="s">
        <v>359</v>
      </c>
      <c r="G3" s="97" t="s">
        <v>360</v>
      </c>
      <c r="H3" s="97"/>
      <c r="I3" s="97" t="s">
        <v>361</v>
      </c>
      <c r="J3" s="97" t="s">
        <v>362</v>
      </c>
      <c r="K3" s="97" t="s">
        <v>363</v>
      </c>
      <c r="L3" s="97" t="s">
        <v>364</v>
      </c>
      <c r="M3" s="133" t="s">
        <v>382</v>
      </c>
      <c r="N3" s="133" t="s">
        <v>383</v>
      </c>
      <c r="O3" s="97" t="s">
        <v>365</v>
      </c>
      <c r="P3" s="97" t="s">
        <v>366</v>
      </c>
      <c r="Q3" s="97" t="s">
        <v>367</v>
      </c>
      <c r="R3" s="106" t="s">
        <v>368</v>
      </c>
    </row>
    <row r="4" spans="1:19" x14ac:dyDescent="0.25">
      <c r="A4" s="174" t="s">
        <v>369</v>
      </c>
      <c r="B4" s="99" t="s">
        <v>53</v>
      </c>
      <c r="C4" s="100">
        <f>4.6/100</f>
        <v>4.5999999999999999E-2</v>
      </c>
      <c r="D4" s="107">
        <v>238.04955989999999</v>
      </c>
      <c r="E4" s="174">
        <f>(C4*D4)+(C5*D5)+(C6*D6)+(C7*D7)+(C8*D8)</f>
        <v>239.7495783283</v>
      </c>
      <c r="F4" s="174">
        <f>E4+E9</f>
        <v>271.74838818501661</v>
      </c>
      <c r="G4" s="174">
        <v>0.12</v>
      </c>
      <c r="H4" s="174">
        <f>G4</f>
        <v>0.12</v>
      </c>
      <c r="I4" s="174">
        <f>(G4*F4)+(G10*F10)</f>
        <v>270.23439648232056</v>
      </c>
      <c r="J4" s="174">
        <f>11.46</f>
        <v>11.46</v>
      </c>
      <c r="K4" s="174">
        <v>100</v>
      </c>
      <c r="L4" s="174">
        <f>K4*H4</f>
        <v>12</v>
      </c>
      <c r="M4" s="174">
        <f>L4/F4</f>
        <v>4.4158495585371951E-2</v>
      </c>
      <c r="N4" s="174">
        <f>M4/(M4+M10)</f>
        <v>0.11933093573750687</v>
      </c>
      <c r="O4" s="174">
        <f>L4/J4</f>
        <v>1.0471204188481675</v>
      </c>
      <c r="P4" s="177">
        <f>O4+O10</f>
        <v>9.0763174991401385</v>
      </c>
      <c r="Q4" s="177">
        <f>O4/P4</f>
        <v>0.11536842105263158</v>
      </c>
      <c r="R4" s="180">
        <f>(Q4*J4)+(Q10*J10)</f>
        <v>11.017684210526316</v>
      </c>
      <c r="S4" s="112">
        <f t="shared" ref="S4:S14" si="0">R4*0.96</f>
        <v>10.576976842105262</v>
      </c>
    </row>
    <row r="5" spans="1:19" x14ac:dyDescent="0.25">
      <c r="A5" s="175"/>
      <c r="B5" s="99" t="s">
        <v>54</v>
      </c>
      <c r="C5" s="100">
        <f>50.5/100</f>
        <v>0.505</v>
      </c>
      <c r="D5" s="107">
        <v>239.05216340000001</v>
      </c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78"/>
      <c r="Q5" s="178"/>
      <c r="R5" s="181"/>
      <c r="S5" s="112"/>
    </row>
    <row r="6" spans="1:19" x14ac:dyDescent="0.25">
      <c r="A6" s="175"/>
      <c r="B6" s="99" t="s">
        <v>55</v>
      </c>
      <c r="C6" s="100">
        <f>24/100</f>
        <v>0.24</v>
      </c>
      <c r="D6" s="107">
        <v>240.05381349999999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8"/>
      <c r="Q6" s="178"/>
      <c r="R6" s="181"/>
      <c r="S6" s="112"/>
    </row>
    <row r="7" spans="1:19" x14ac:dyDescent="0.25">
      <c r="A7" s="175"/>
      <c r="B7" s="99" t="s">
        <v>56</v>
      </c>
      <c r="C7" s="100">
        <f>12.5/100</f>
        <v>0.125</v>
      </c>
      <c r="D7" s="108">
        <v>241.05685149999999</v>
      </c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8"/>
      <c r="Q7" s="178"/>
      <c r="R7" s="181"/>
      <c r="S7" s="112"/>
    </row>
    <row r="8" spans="1:19" x14ac:dyDescent="0.25">
      <c r="A8" s="175"/>
      <c r="B8" s="99" t="s">
        <v>57</v>
      </c>
      <c r="C8" s="100">
        <f>8.4/100</f>
        <v>8.4000000000000005E-2</v>
      </c>
      <c r="D8" s="108">
        <v>242.05874259999999</v>
      </c>
      <c r="E8" s="176"/>
      <c r="F8" s="175"/>
      <c r="G8" s="175"/>
      <c r="H8" s="175"/>
      <c r="I8" s="175"/>
      <c r="J8" s="175"/>
      <c r="K8" s="175"/>
      <c r="L8" s="175"/>
      <c r="M8" s="175"/>
      <c r="N8" s="175"/>
      <c r="O8" s="175"/>
      <c r="P8" s="178"/>
      <c r="Q8" s="178"/>
      <c r="R8" s="181"/>
      <c r="S8" s="112"/>
    </row>
    <row r="9" spans="1:19" x14ac:dyDescent="0.25">
      <c r="A9" s="176"/>
      <c r="B9" s="109" t="s">
        <v>66</v>
      </c>
      <c r="C9" s="109">
        <v>1</v>
      </c>
      <c r="D9" s="110">
        <v>15.999404928358301</v>
      </c>
      <c r="E9" s="109">
        <f>2*D9</f>
        <v>31.998809856716601</v>
      </c>
      <c r="F9" s="176"/>
      <c r="G9" s="176"/>
      <c r="H9" s="176"/>
      <c r="I9" s="175"/>
      <c r="J9" s="176"/>
      <c r="K9" s="175"/>
      <c r="L9" s="176"/>
      <c r="M9" s="176"/>
      <c r="N9" s="176"/>
      <c r="O9" s="176"/>
      <c r="P9" s="178"/>
      <c r="Q9" s="179"/>
      <c r="R9" s="181"/>
      <c r="S9" s="112"/>
    </row>
    <row r="10" spans="1:19" x14ac:dyDescent="0.25">
      <c r="A10" s="183" t="s">
        <v>370</v>
      </c>
      <c r="B10" s="100" t="s">
        <v>62</v>
      </c>
      <c r="C10" s="135">
        <v>7.1999999999999998E-3</v>
      </c>
      <c r="D10" s="100">
        <v>235.0439231</v>
      </c>
      <c r="E10" s="183">
        <f>(C10*D10)+(C11*D11)</f>
        <v>238.0291332116</v>
      </c>
      <c r="F10" s="177">
        <f>E10+E12</f>
        <v>270.02794306831657</v>
      </c>
      <c r="G10" s="177">
        <f>1-G4</f>
        <v>0.88</v>
      </c>
      <c r="H10" s="177">
        <f>G10</f>
        <v>0.88</v>
      </c>
      <c r="I10" s="175"/>
      <c r="J10" s="183">
        <v>10.96</v>
      </c>
      <c r="K10" s="175"/>
      <c r="L10" s="177">
        <f>K4*H10</f>
        <v>88</v>
      </c>
      <c r="M10" s="177">
        <f>L10/F10</f>
        <v>0.3258921984149476</v>
      </c>
      <c r="N10" s="177">
        <f>M10/(M10+M4)</f>
        <v>0.88066906426249314</v>
      </c>
      <c r="O10" s="177">
        <f>L10/J10</f>
        <v>8.0291970802919703</v>
      </c>
      <c r="P10" s="178"/>
      <c r="Q10" s="177">
        <f>O10/P4</f>
        <v>0.88463157894736832</v>
      </c>
      <c r="R10" s="181"/>
      <c r="S10" s="112"/>
    </row>
    <row r="11" spans="1:19" x14ac:dyDescent="0.25">
      <c r="A11" s="183"/>
      <c r="B11" s="100" t="s">
        <v>64</v>
      </c>
      <c r="C11" s="135">
        <f>1-C10</f>
        <v>0.99280000000000002</v>
      </c>
      <c r="D11" s="100">
        <v>238.05078259999999</v>
      </c>
      <c r="E11" s="183"/>
      <c r="F11" s="178"/>
      <c r="G11" s="178"/>
      <c r="H11" s="178"/>
      <c r="I11" s="175"/>
      <c r="J11" s="183"/>
      <c r="K11" s="175"/>
      <c r="L11" s="178"/>
      <c r="M11" s="178"/>
      <c r="N11" s="178"/>
      <c r="O11" s="178"/>
      <c r="P11" s="178"/>
      <c r="Q11" s="178"/>
      <c r="R11" s="181"/>
      <c r="S11" s="112"/>
    </row>
    <row r="12" spans="1:19" x14ac:dyDescent="0.25">
      <c r="A12" s="183"/>
      <c r="B12" s="100" t="s">
        <v>66</v>
      </c>
      <c r="C12" s="135">
        <v>1</v>
      </c>
      <c r="D12" s="110">
        <v>15.999404928358301</v>
      </c>
      <c r="E12" s="110">
        <f>(2*D12)</f>
        <v>31.998809856716601</v>
      </c>
      <c r="F12" s="179"/>
      <c r="G12" s="179"/>
      <c r="H12" s="179"/>
      <c r="I12" s="176"/>
      <c r="J12" s="183"/>
      <c r="K12" s="176"/>
      <c r="L12" s="179"/>
      <c r="M12" s="179"/>
      <c r="N12" s="179"/>
      <c r="O12" s="179"/>
      <c r="P12" s="179"/>
      <c r="Q12" s="179"/>
      <c r="R12" s="182"/>
      <c r="S12" s="112"/>
    </row>
    <row r="13" spans="1:19" ht="15.75" x14ac:dyDescent="0.25">
      <c r="A13" s="171" t="s">
        <v>371</v>
      </c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2"/>
      <c r="O13" s="172"/>
      <c r="P13" s="172"/>
      <c r="Q13" s="172"/>
      <c r="R13" s="173"/>
      <c r="S13" s="112"/>
    </row>
    <row r="14" spans="1:19" x14ac:dyDescent="0.25">
      <c r="A14" s="174" t="s">
        <v>369</v>
      </c>
      <c r="B14" s="99" t="s">
        <v>53</v>
      </c>
      <c r="C14" s="100">
        <f>4.6/100</f>
        <v>4.5999999999999999E-2</v>
      </c>
      <c r="D14" s="107">
        <v>238.04955989999999</v>
      </c>
      <c r="E14" s="174">
        <f>(C14*D14)+(C15*D15)+(C16*D16)+(C17*D17)+(C18*D18)</f>
        <v>239.7495783283</v>
      </c>
      <c r="F14" s="174">
        <f>E14+E19</f>
        <v>271.74838818501661</v>
      </c>
      <c r="G14" s="174">
        <f>G4</f>
        <v>0.12</v>
      </c>
      <c r="H14" s="184">
        <f>G14*0.9921</f>
        <v>0.11905199999999999</v>
      </c>
      <c r="I14" s="183">
        <f>(H14*F14)+(H20*F20)+(H23*F23)</f>
        <v>270.96331379065765</v>
      </c>
      <c r="J14" s="174">
        <f>11.46</f>
        <v>11.46</v>
      </c>
      <c r="K14" s="183">
        <v>100</v>
      </c>
      <c r="L14" s="183">
        <f>K14*H14</f>
        <v>11.905199999999999</v>
      </c>
      <c r="M14" s="177">
        <f>L14/F14</f>
        <v>4.380964347024751E-2</v>
      </c>
      <c r="N14" s="177">
        <f>M14/(M14+M20+M23)</f>
        <v>0.11862675817577309</v>
      </c>
      <c r="O14" s="183">
        <f>L14/J14</f>
        <v>1.0388481675392669</v>
      </c>
      <c r="P14" s="177">
        <f>O14+O20+O23</f>
        <v>9.1112272764569848</v>
      </c>
      <c r="Q14" s="183">
        <f>O14/P14</f>
        <v>0.11401846710855358</v>
      </c>
      <c r="R14" s="183">
        <f>(Q14*J14)+(Q20*J20)+(Q23*J23)</f>
        <v>10.975469820448412</v>
      </c>
      <c r="S14" s="112">
        <f t="shared" si="0"/>
        <v>10.536451027630475</v>
      </c>
    </row>
    <row r="15" spans="1:19" x14ac:dyDescent="0.25">
      <c r="A15" s="175"/>
      <c r="B15" s="99" t="s">
        <v>54</v>
      </c>
      <c r="C15" s="100">
        <f>50.5/100</f>
        <v>0.505</v>
      </c>
      <c r="D15" s="107">
        <v>239.05216340000001</v>
      </c>
      <c r="E15" s="175"/>
      <c r="F15" s="175"/>
      <c r="G15" s="175"/>
      <c r="H15" s="185"/>
      <c r="I15" s="183"/>
      <c r="J15" s="175"/>
      <c r="K15" s="183"/>
      <c r="L15" s="183"/>
      <c r="M15" s="178"/>
      <c r="N15" s="178"/>
      <c r="O15" s="183"/>
      <c r="P15" s="178"/>
      <c r="Q15" s="183"/>
      <c r="R15" s="183"/>
    </row>
    <row r="16" spans="1:19" x14ac:dyDescent="0.25">
      <c r="A16" s="175"/>
      <c r="B16" s="99" t="s">
        <v>55</v>
      </c>
      <c r="C16" s="100">
        <f>24/100</f>
        <v>0.24</v>
      </c>
      <c r="D16" s="107">
        <v>240.05381349999999</v>
      </c>
      <c r="E16" s="175"/>
      <c r="F16" s="175"/>
      <c r="G16" s="175"/>
      <c r="H16" s="185"/>
      <c r="I16" s="183"/>
      <c r="J16" s="175"/>
      <c r="K16" s="183"/>
      <c r="L16" s="183"/>
      <c r="M16" s="178"/>
      <c r="N16" s="178"/>
      <c r="O16" s="183"/>
      <c r="P16" s="178"/>
      <c r="Q16" s="183"/>
      <c r="R16" s="183"/>
    </row>
    <row r="17" spans="1:18" x14ac:dyDescent="0.25">
      <c r="A17" s="175"/>
      <c r="B17" s="99" t="s">
        <v>56</v>
      </c>
      <c r="C17" s="100">
        <f>12.5/100</f>
        <v>0.125</v>
      </c>
      <c r="D17" s="108">
        <v>241.05685149999999</v>
      </c>
      <c r="E17" s="175"/>
      <c r="F17" s="175"/>
      <c r="G17" s="175"/>
      <c r="H17" s="185"/>
      <c r="I17" s="183"/>
      <c r="J17" s="175"/>
      <c r="K17" s="183"/>
      <c r="L17" s="183"/>
      <c r="M17" s="178"/>
      <c r="N17" s="178"/>
      <c r="O17" s="183"/>
      <c r="P17" s="178"/>
      <c r="Q17" s="183"/>
      <c r="R17" s="183"/>
    </row>
    <row r="18" spans="1:18" x14ac:dyDescent="0.25">
      <c r="A18" s="175"/>
      <c r="B18" s="99" t="s">
        <v>57</v>
      </c>
      <c r="C18" s="100">
        <f>8.4/100</f>
        <v>8.4000000000000005E-2</v>
      </c>
      <c r="D18" s="108">
        <v>242.05874259999999</v>
      </c>
      <c r="E18" s="176"/>
      <c r="F18" s="175"/>
      <c r="G18" s="175"/>
      <c r="H18" s="185"/>
      <c r="I18" s="183"/>
      <c r="J18" s="175"/>
      <c r="K18" s="183"/>
      <c r="L18" s="183"/>
      <c r="M18" s="178"/>
      <c r="N18" s="178"/>
      <c r="O18" s="183"/>
      <c r="P18" s="178"/>
      <c r="Q18" s="183"/>
      <c r="R18" s="183"/>
    </row>
    <row r="19" spans="1:18" x14ac:dyDescent="0.25">
      <c r="A19" s="176"/>
      <c r="B19" s="109" t="s">
        <v>66</v>
      </c>
      <c r="C19" s="109">
        <v>1</v>
      </c>
      <c r="D19" s="110">
        <v>15.999404928358301</v>
      </c>
      <c r="E19" s="109">
        <f>2*D19</f>
        <v>31.998809856716601</v>
      </c>
      <c r="F19" s="176"/>
      <c r="G19" s="176"/>
      <c r="H19" s="186"/>
      <c r="I19" s="183"/>
      <c r="J19" s="176"/>
      <c r="K19" s="183"/>
      <c r="L19" s="183"/>
      <c r="M19" s="179"/>
      <c r="N19" s="179"/>
      <c r="O19" s="183"/>
      <c r="P19" s="178"/>
      <c r="Q19" s="183"/>
      <c r="R19" s="183"/>
    </row>
    <row r="20" spans="1:18" x14ac:dyDescent="0.25">
      <c r="A20" s="183" t="s">
        <v>370</v>
      </c>
      <c r="B20" s="100" t="s">
        <v>62</v>
      </c>
      <c r="C20" s="135">
        <v>7.1999999999999998E-3</v>
      </c>
      <c r="D20" s="100">
        <v>235.0439231</v>
      </c>
      <c r="E20" s="183">
        <f>(C20*D20)+(C21*D21)</f>
        <v>238.0291332116</v>
      </c>
      <c r="F20" s="177">
        <f>E20+E22</f>
        <v>270.02794306831657</v>
      </c>
      <c r="G20" s="177">
        <f>G10</f>
        <v>0.88</v>
      </c>
      <c r="H20" s="187">
        <f>G20*0.9921</f>
        <v>0.87304799999999994</v>
      </c>
      <c r="I20" s="183"/>
      <c r="J20" s="183">
        <v>10.96</v>
      </c>
      <c r="K20" s="183"/>
      <c r="L20" s="183">
        <f>K14*H20</f>
        <v>87.3048</v>
      </c>
      <c r="M20" s="177">
        <f>L20/F20</f>
        <v>0.32331765004746954</v>
      </c>
      <c r="N20" s="177">
        <f>M20/(M14+M20+M23)</f>
        <v>0.87547219397454989</v>
      </c>
      <c r="O20" s="183">
        <f>L20/J20</f>
        <v>7.9657664233576639</v>
      </c>
      <c r="P20" s="178"/>
      <c r="Q20" s="183">
        <f>O20/P14</f>
        <v>0.87428028976303318</v>
      </c>
      <c r="R20" s="183"/>
    </row>
    <row r="21" spans="1:18" x14ac:dyDescent="0.25">
      <c r="A21" s="183"/>
      <c r="B21" s="100" t="s">
        <v>64</v>
      </c>
      <c r="C21" s="135">
        <f>1-C20</f>
        <v>0.99280000000000002</v>
      </c>
      <c r="D21" s="100">
        <v>238.05078259999999</v>
      </c>
      <c r="E21" s="183"/>
      <c r="F21" s="178"/>
      <c r="G21" s="178"/>
      <c r="H21" s="188"/>
      <c r="I21" s="183"/>
      <c r="J21" s="183"/>
      <c r="K21" s="183"/>
      <c r="L21" s="183"/>
      <c r="M21" s="178"/>
      <c r="N21" s="178"/>
      <c r="O21" s="183"/>
      <c r="P21" s="178"/>
      <c r="Q21" s="183"/>
      <c r="R21" s="183"/>
    </row>
    <row r="22" spans="1:18" x14ac:dyDescent="0.25">
      <c r="A22" s="183"/>
      <c r="B22" s="100" t="s">
        <v>66</v>
      </c>
      <c r="C22" s="135">
        <v>1</v>
      </c>
      <c r="D22" s="110">
        <v>15.999404928358301</v>
      </c>
      <c r="E22" s="110">
        <f>(2*D22)</f>
        <v>31.998809856716601</v>
      </c>
      <c r="F22" s="179"/>
      <c r="G22" s="179"/>
      <c r="H22" s="189"/>
      <c r="I22" s="183"/>
      <c r="J22" s="183"/>
      <c r="K22" s="183"/>
      <c r="L22" s="183"/>
      <c r="M22" s="179"/>
      <c r="N22" s="179"/>
      <c r="O22" s="183"/>
      <c r="P22" s="178"/>
      <c r="Q22" s="183"/>
      <c r="R22" s="183"/>
    </row>
    <row r="23" spans="1:18" x14ac:dyDescent="0.25">
      <c r="A23" s="183" t="s">
        <v>122</v>
      </c>
      <c r="B23" s="100" t="s">
        <v>372</v>
      </c>
      <c r="C23" s="100">
        <v>1</v>
      </c>
      <c r="D23" s="3">
        <v>157.25209770539999</v>
      </c>
      <c r="E23" s="110">
        <f>2*D23</f>
        <v>314.50419541079998</v>
      </c>
      <c r="F23" s="177">
        <f>E23+E24</f>
        <v>362.50241019587486</v>
      </c>
      <c r="G23" s="177">
        <v>7.9000000000000008E-3</v>
      </c>
      <c r="H23" s="187">
        <v>7.9000000000000008E-3</v>
      </c>
      <c r="I23" s="183"/>
      <c r="J23" s="177">
        <v>7.41</v>
      </c>
      <c r="K23" s="183"/>
      <c r="L23" s="183">
        <f>K14*H23</f>
        <v>0.79</v>
      </c>
      <c r="M23" s="177">
        <f>L23/F23</f>
        <v>2.1792958550899862E-3</v>
      </c>
      <c r="N23" s="177">
        <f>M23/(M14+M20+M23)</f>
        <v>5.9010478496770991E-3</v>
      </c>
      <c r="O23" s="183">
        <f>L23/J23</f>
        <v>0.10661268556005399</v>
      </c>
      <c r="P23" s="178"/>
      <c r="Q23" s="183">
        <f>O23/P14</f>
        <v>1.1701243128413285E-2</v>
      </c>
      <c r="R23" s="183"/>
    </row>
    <row r="24" spans="1:18" x14ac:dyDescent="0.25">
      <c r="A24" s="183"/>
      <c r="B24" s="100" t="s">
        <v>66</v>
      </c>
      <c r="C24" s="100">
        <v>1</v>
      </c>
      <c r="D24" s="100">
        <v>15.999404928358299</v>
      </c>
      <c r="E24" s="110">
        <f>(3*D24)</f>
        <v>47.998214785074893</v>
      </c>
      <c r="F24" s="179"/>
      <c r="G24" s="179"/>
      <c r="H24" s="189"/>
      <c r="I24" s="183"/>
      <c r="J24" s="179"/>
      <c r="K24" s="183"/>
      <c r="L24" s="183"/>
      <c r="M24" s="179"/>
      <c r="N24" s="179"/>
      <c r="O24" s="183"/>
      <c r="P24" s="179"/>
      <c r="Q24" s="183"/>
      <c r="R24" s="183"/>
    </row>
  </sheetData>
  <mergeCells count="65">
    <mergeCell ref="M4:M9"/>
    <mergeCell ref="N4:N9"/>
    <mergeCell ref="M10:M12"/>
    <mergeCell ref="N10:N12"/>
    <mergeCell ref="M14:M19"/>
    <mergeCell ref="N14:N19"/>
    <mergeCell ref="Q20:Q22"/>
    <mergeCell ref="A23:A24"/>
    <mergeCell ref="F23:F24"/>
    <mergeCell ref="G23:G24"/>
    <mergeCell ref="H23:H24"/>
    <mergeCell ref="J23:J24"/>
    <mergeCell ref="L23:L24"/>
    <mergeCell ref="O23:O24"/>
    <mergeCell ref="Q23:Q24"/>
    <mergeCell ref="M20:M22"/>
    <mergeCell ref="N20:N22"/>
    <mergeCell ref="M23:M24"/>
    <mergeCell ref="N23:N24"/>
    <mergeCell ref="Q14:Q19"/>
    <mergeCell ref="R14:R24"/>
    <mergeCell ref="A20:A22"/>
    <mergeCell ref="E20:E21"/>
    <mergeCell ref="F20:F22"/>
    <mergeCell ref="G20:G22"/>
    <mergeCell ref="H20:H22"/>
    <mergeCell ref="J20:J22"/>
    <mergeCell ref="L20:L22"/>
    <mergeCell ref="O20:O22"/>
    <mergeCell ref="I14:I24"/>
    <mergeCell ref="J14:J19"/>
    <mergeCell ref="K14:K24"/>
    <mergeCell ref="L14:L19"/>
    <mergeCell ref="O14:O19"/>
    <mergeCell ref="P14:P24"/>
    <mergeCell ref="L10:L12"/>
    <mergeCell ref="O10:O12"/>
    <mergeCell ref="Q10:Q12"/>
    <mergeCell ref="A13:R13"/>
    <mergeCell ref="A10:A12"/>
    <mergeCell ref="E10:E11"/>
    <mergeCell ref="F10:F12"/>
    <mergeCell ref="G10:G12"/>
    <mergeCell ref="H10:H12"/>
    <mergeCell ref="A14:A19"/>
    <mergeCell ref="E14:E18"/>
    <mergeCell ref="F14:F19"/>
    <mergeCell ref="G14:G19"/>
    <mergeCell ref="H14:H19"/>
    <mergeCell ref="A1:R1"/>
    <mergeCell ref="A2:R2"/>
    <mergeCell ref="A4:A9"/>
    <mergeCell ref="E4:E8"/>
    <mergeCell ref="F4:F9"/>
    <mergeCell ref="G4:G9"/>
    <mergeCell ref="H4:H9"/>
    <mergeCell ref="I4:I12"/>
    <mergeCell ref="J4:J9"/>
    <mergeCell ref="K4:K12"/>
    <mergeCell ref="L4:L9"/>
    <mergeCell ref="O4:O9"/>
    <mergeCell ref="P4:P12"/>
    <mergeCell ref="Q4:Q9"/>
    <mergeCell ref="R4:R12"/>
    <mergeCell ref="J10:J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A3" sqref="A3:C18"/>
    </sheetView>
  </sheetViews>
  <sheetFormatPr defaultRowHeight="15" x14ac:dyDescent="0.25"/>
  <cols>
    <col min="1" max="1" width="27.5703125" bestFit="1" customWidth="1"/>
    <col min="2" max="2" width="17.85546875" bestFit="1" customWidth="1"/>
    <col min="3" max="3" width="16.7109375" bestFit="1" customWidth="1"/>
    <col min="6" max="6" width="3.85546875" bestFit="1" customWidth="1"/>
    <col min="7" max="8" width="2.140625" bestFit="1" customWidth="1"/>
    <col min="9" max="15" width="4" bestFit="1" customWidth="1"/>
    <col min="16" max="17" width="3" bestFit="1" customWidth="1"/>
  </cols>
  <sheetData>
    <row r="1" spans="1:17" x14ac:dyDescent="0.25">
      <c r="A1" s="192" t="s">
        <v>35</v>
      </c>
      <c r="B1" s="193" t="s">
        <v>251</v>
      </c>
      <c r="C1" s="193"/>
    </row>
    <row r="2" spans="1:17" x14ac:dyDescent="0.25">
      <c r="A2" s="192"/>
      <c r="B2" s="145" t="s">
        <v>235</v>
      </c>
      <c r="C2" s="145" t="s">
        <v>236</v>
      </c>
      <c r="F2" s="169" t="s">
        <v>280</v>
      </c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</row>
    <row r="3" spans="1:17" x14ac:dyDescent="0.25">
      <c r="A3" s="3" t="s">
        <v>237</v>
      </c>
      <c r="B3" s="3">
        <f t="shared" ref="B3:C3" si="0">B5/B4</f>
        <v>1.2121212121212122</v>
      </c>
      <c r="C3" s="3">
        <f t="shared" si="0"/>
        <v>1.2121212121212122</v>
      </c>
      <c r="F3" t="s">
        <v>281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</row>
    <row r="4" spans="1:17" x14ac:dyDescent="0.25">
      <c r="A4" s="9" t="s">
        <v>238</v>
      </c>
      <c r="B4" s="9">
        <v>165</v>
      </c>
      <c r="C4" s="9">
        <v>165</v>
      </c>
      <c r="F4">
        <v>1</v>
      </c>
      <c r="G4" s="80" t="s">
        <v>282</v>
      </c>
      <c r="H4" s="81" t="s">
        <v>282</v>
      </c>
      <c r="I4" s="81" t="s">
        <v>282</v>
      </c>
      <c r="J4" s="81" t="s">
        <v>282</v>
      </c>
      <c r="K4" s="81" t="s">
        <v>282</v>
      </c>
      <c r="L4" s="81" t="s">
        <v>282</v>
      </c>
      <c r="M4" s="81" t="s">
        <v>282</v>
      </c>
      <c r="N4" s="81" t="s">
        <v>282</v>
      </c>
      <c r="O4" s="81" t="s">
        <v>282</v>
      </c>
      <c r="P4" s="81" t="s">
        <v>282</v>
      </c>
      <c r="Q4" s="82" t="s">
        <v>282</v>
      </c>
    </row>
    <row r="5" spans="1:17" x14ac:dyDescent="0.25">
      <c r="A5" s="9" t="s">
        <v>239</v>
      </c>
      <c r="B5" s="47">
        <v>200</v>
      </c>
      <c r="C5" s="47">
        <v>200</v>
      </c>
      <c r="F5">
        <v>2</v>
      </c>
      <c r="G5" s="20" t="s">
        <v>282</v>
      </c>
      <c r="H5" s="15"/>
      <c r="I5" s="15"/>
      <c r="J5" s="15"/>
      <c r="K5" s="15"/>
      <c r="L5" s="15"/>
      <c r="M5" s="15"/>
      <c r="N5" s="15"/>
      <c r="O5" s="15"/>
      <c r="P5" s="15"/>
      <c r="Q5" s="19" t="s">
        <v>282</v>
      </c>
    </row>
    <row r="6" spans="1:17" x14ac:dyDescent="0.25">
      <c r="A6" s="3" t="s">
        <v>240</v>
      </c>
      <c r="B6" s="3">
        <f>(PI()*B7^2*B5)*B8*B9</f>
        <v>628146.28868232062</v>
      </c>
      <c r="C6" s="3">
        <f>(PI()*C7^2*C5)*C8*C9</f>
        <v>382349.91485010821</v>
      </c>
      <c r="F6">
        <v>3</v>
      </c>
      <c r="G6" s="20" t="s">
        <v>282</v>
      </c>
      <c r="H6" s="15"/>
      <c r="I6" s="80"/>
      <c r="J6" s="81"/>
      <c r="K6" s="83">
        <v>201</v>
      </c>
      <c r="L6" s="84">
        <v>101</v>
      </c>
      <c r="M6" s="83">
        <v>202</v>
      </c>
      <c r="N6" s="81"/>
      <c r="O6" s="82"/>
      <c r="P6" s="15"/>
      <c r="Q6" s="19" t="s">
        <v>282</v>
      </c>
    </row>
    <row r="7" spans="1:17" x14ac:dyDescent="0.25">
      <c r="A7" s="13" t="s">
        <v>241</v>
      </c>
      <c r="B7" s="12">
        <v>0.40576499999999999</v>
      </c>
      <c r="C7" s="12">
        <v>0.40576499999999999</v>
      </c>
      <c r="F7">
        <v>4</v>
      </c>
      <c r="G7" s="20" t="s">
        <v>282</v>
      </c>
      <c r="H7" s="15"/>
      <c r="I7" s="20"/>
      <c r="J7" s="85">
        <v>203</v>
      </c>
      <c r="K7" s="86">
        <v>102</v>
      </c>
      <c r="L7" s="86">
        <v>103</v>
      </c>
      <c r="M7" s="86">
        <v>104</v>
      </c>
      <c r="N7" s="85">
        <v>204</v>
      </c>
      <c r="O7" s="19"/>
      <c r="P7" s="15"/>
      <c r="Q7" s="19" t="s">
        <v>282</v>
      </c>
    </row>
    <row r="8" spans="1:17" x14ac:dyDescent="0.25">
      <c r="A8" s="12" t="s">
        <v>242</v>
      </c>
      <c r="B8" s="3">
        <v>23</v>
      </c>
      <c r="C8" s="3">
        <v>14</v>
      </c>
      <c r="F8">
        <v>5</v>
      </c>
      <c r="G8" s="20" t="s">
        <v>282</v>
      </c>
      <c r="H8" s="15"/>
      <c r="I8" s="87">
        <v>105</v>
      </c>
      <c r="J8" s="86">
        <v>106</v>
      </c>
      <c r="K8" s="85">
        <v>205</v>
      </c>
      <c r="L8" s="86">
        <v>107</v>
      </c>
      <c r="M8" s="85">
        <v>206</v>
      </c>
      <c r="N8" s="86">
        <v>108</v>
      </c>
      <c r="O8" s="88">
        <v>109</v>
      </c>
      <c r="P8" s="15"/>
      <c r="Q8" s="19" t="s">
        <v>282</v>
      </c>
    </row>
    <row r="9" spans="1:17" x14ac:dyDescent="0.25">
      <c r="A9" s="12" t="s">
        <v>243</v>
      </c>
      <c r="B9" s="3">
        <v>264</v>
      </c>
      <c r="C9" s="3">
        <v>264</v>
      </c>
      <c r="F9">
        <v>6</v>
      </c>
      <c r="G9" s="20" t="s">
        <v>282</v>
      </c>
      <c r="H9" s="15"/>
      <c r="I9" s="89">
        <v>207</v>
      </c>
      <c r="J9" s="86">
        <v>110</v>
      </c>
      <c r="K9" s="86">
        <v>111</v>
      </c>
      <c r="L9" s="86">
        <v>112</v>
      </c>
      <c r="M9" s="86">
        <v>113</v>
      </c>
      <c r="N9" s="86">
        <v>114</v>
      </c>
      <c r="O9" s="90">
        <v>208</v>
      </c>
      <c r="P9" s="15"/>
      <c r="Q9" s="19" t="s">
        <v>282</v>
      </c>
    </row>
    <row r="10" spans="1:17" x14ac:dyDescent="0.25">
      <c r="A10" s="3" t="s">
        <v>244</v>
      </c>
      <c r="B10">
        <v>10.576976842105262</v>
      </c>
      <c r="C10">
        <v>10.536451027630475</v>
      </c>
      <c r="F10">
        <v>7</v>
      </c>
      <c r="G10" s="20" t="s">
        <v>282</v>
      </c>
      <c r="H10" s="15"/>
      <c r="I10" s="87">
        <v>115</v>
      </c>
      <c r="J10" s="86">
        <v>116</v>
      </c>
      <c r="K10" s="85">
        <v>209</v>
      </c>
      <c r="L10" s="86">
        <v>117</v>
      </c>
      <c r="M10" s="85">
        <v>210</v>
      </c>
      <c r="N10" s="86">
        <v>118</v>
      </c>
      <c r="O10" s="88">
        <v>119</v>
      </c>
      <c r="P10" s="15"/>
      <c r="Q10" s="19" t="s">
        <v>282</v>
      </c>
    </row>
    <row r="11" spans="1:17" x14ac:dyDescent="0.25">
      <c r="A11" s="3" t="s">
        <v>245</v>
      </c>
      <c r="B11" s="48">
        <f>B10*B6</f>
        <v>6643888.7488472722</v>
      </c>
      <c r="C11" s="48">
        <f>C10*C6</f>
        <v>4028611.1532368474</v>
      </c>
      <c r="F11">
        <v>8</v>
      </c>
      <c r="G11" s="20" t="s">
        <v>282</v>
      </c>
      <c r="H11" s="15"/>
      <c r="I11" s="91"/>
      <c r="J11" s="85">
        <v>211</v>
      </c>
      <c r="K11" s="86">
        <v>120</v>
      </c>
      <c r="L11" s="86">
        <v>121</v>
      </c>
      <c r="M11" s="86">
        <v>122</v>
      </c>
      <c r="N11" s="85">
        <v>212</v>
      </c>
      <c r="O11" s="19"/>
      <c r="P11" s="15"/>
      <c r="Q11" s="19" t="s">
        <v>282</v>
      </c>
    </row>
    <row r="12" spans="1:17" x14ac:dyDescent="0.25">
      <c r="A12" s="12" t="s">
        <v>247</v>
      </c>
      <c r="B12" s="194">
        <f>B11+C11</f>
        <v>10672499.90208412</v>
      </c>
      <c r="C12" s="194"/>
      <c r="F12">
        <v>9</v>
      </c>
      <c r="G12" s="20" t="s">
        <v>282</v>
      </c>
      <c r="H12" s="15"/>
      <c r="I12" s="92"/>
      <c r="J12" s="55"/>
      <c r="K12" s="93">
        <v>213</v>
      </c>
      <c r="L12" s="94">
        <v>123</v>
      </c>
      <c r="M12" s="93">
        <v>214</v>
      </c>
      <c r="N12" s="55"/>
      <c r="O12" s="56"/>
      <c r="P12" s="15"/>
      <c r="Q12" s="19" t="s">
        <v>282</v>
      </c>
    </row>
    <row r="13" spans="1:17" x14ac:dyDescent="0.25">
      <c r="A13" s="12" t="s">
        <v>246</v>
      </c>
      <c r="B13" s="195">
        <v>10672499.90208412</v>
      </c>
      <c r="C13" s="196"/>
      <c r="F13">
        <v>10</v>
      </c>
      <c r="G13" s="20" t="s">
        <v>282</v>
      </c>
      <c r="H13" s="15"/>
      <c r="I13" s="15"/>
      <c r="J13" s="15"/>
      <c r="K13" s="15"/>
      <c r="L13" s="15"/>
      <c r="M13" s="15"/>
      <c r="N13" s="15"/>
      <c r="O13" s="15"/>
      <c r="P13" s="15"/>
      <c r="Q13" s="19" t="s">
        <v>282</v>
      </c>
    </row>
    <row r="14" spans="1:17" x14ac:dyDescent="0.25">
      <c r="A14" s="3" t="s">
        <v>248</v>
      </c>
      <c r="B14" s="197">
        <v>4</v>
      </c>
      <c r="C14" s="198"/>
      <c r="F14">
        <v>11</v>
      </c>
      <c r="G14" s="92" t="s">
        <v>282</v>
      </c>
      <c r="H14" s="55" t="s">
        <v>282</v>
      </c>
      <c r="I14" s="55" t="s">
        <v>282</v>
      </c>
      <c r="J14" s="55" t="s">
        <v>282</v>
      </c>
      <c r="K14" s="55" t="s">
        <v>282</v>
      </c>
      <c r="L14" s="55" t="s">
        <v>282</v>
      </c>
      <c r="M14" s="55" t="s">
        <v>282</v>
      </c>
      <c r="N14" s="55" t="s">
        <v>282</v>
      </c>
      <c r="O14" s="55" t="s">
        <v>282</v>
      </c>
      <c r="P14" s="55" t="s">
        <v>282</v>
      </c>
      <c r="Q14" s="56" t="s">
        <v>282</v>
      </c>
    </row>
    <row r="15" spans="1:17" x14ac:dyDescent="0.25">
      <c r="A15" s="3" t="s">
        <v>249</v>
      </c>
      <c r="B15" s="190">
        <f>B5/4</f>
        <v>50</v>
      </c>
      <c r="C15" s="190"/>
    </row>
    <row r="16" spans="1:17" x14ac:dyDescent="0.25">
      <c r="A16" s="3" t="s">
        <v>250</v>
      </c>
      <c r="B16" s="191">
        <f t="shared" ref="B16" si="1">B15*21.50364*21.50364</f>
        <v>23120.326662480002</v>
      </c>
      <c r="C16" s="191"/>
    </row>
    <row r="17" spans="1:3" x14ac:dyDescent="0.25">
      <c r="A17" s="12" t="s">
        <v>388</v>
      </c>
      <c r="B17" s="3">
        <f>(B6/B8)/B$14</f>
        <v>6827.6770508947893</v>
      </c>
      <c r="C17" s="3">
        <f>(C6/C8)/B$14</f>
        <v>6827.6770508947893</v>
      </c>
    </row>
    <row r="18" spans="1:3" x14ac:dyDescent="0.25">
      <c r="A18" s="12" t="s">
        <v>389</v>
      </c>
      <c r="B18" s="3">
        <f>B17/B$16</f>
        <v>0.29531057889311063</v>
      </c>
      <c r="C18" s="3">
        <f>C17/B$16</f>
        <v>0.29531057889311063</v>
      </c>
    </row>
  </sheetData>
  <mergeCells count="8">
    <mergeCell ref="F2:Q2"/>
    <mergeCell ref="B15:C15"/>
    <mergeCell ref="B16:C16"/>
    <mergeCell ref="A1:A2"/>
    <mergeCell ref="B1:C1"/>
    <mergeCell ref="B12:C12"/>
    <mergeCell ref="B13:C13"/>
    <mergeCell ref="B14:C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9"/>
  <sheetViews>
    <sheetView topLeftCell="Z1" zoomScale="82" zoomScaleNormal="82" workbookViewId="0">
      <selection activeCell="U21" sqref="U21"/>
    </sheetView>
  </sheetViews>
  <sheetFormatPr defaultRowHeight="15" x14ac:dyDescent="0.25"/>
  <cols>
    <col min="1" max="1" width="26" bestFit="1" customWidth="1"/>
    <col min="2" max="2" width="10.85546875" bestFit="1" customWidth="1"/>
    <col min="3" max="3" width="13.5703125" bestFit="1" customWidth="1"/>
    <col min="4" max="4" width="13" bestFit="1" customWidth="1"/>
    <col min="6" max="6" width="9.7109375" customWidth="1"/>
    <col min="7" max="7" width="10.42578125" bestFit="1" customWidth="1"/>
    <col min="8" max="8" width="13.85546875" bestFit="1" customWidth="1"/>
    <col min="9" max="9" width="8" customWidth="1"/>
    <col min="10" max="10" width="12" bestFit="1" customWidth="1"/>
    <col min="11" max="11" width="10.85546875" bestFit="1" customWidth="1"/>
    <col min="12" max="12" width="13.140625" bestFit="1" customWidth="1"/>
    <col min="13" max="13" width="13.42578125" bestFit="1" customWidth="1"/>
    <col min="14" max="14" width="13.140625" customWidth="1"/>
    <col min="15" max="15" width="13.140625" bestFit="1" customWidth="1"/>
    <col min="16" max="16" width="13.140625" customWidth="1"/>
    <col min="17" max="17" width="13.140625" bestFit="1" customWidth="1"/>
    <col min="18" max="18" width="13.140625" customWidth="1"/>
    <col min="19" max="19" width="13.42578125" bestFit="1" customWidth="1"/>
    <col min="20" max="20" width="11.28515625" bestFit="1" customWidth="1"/>
    <col min="21" max="21" width="13.140625" customWidth="1"/>
    <col min="22" max="22" width="13" bestFit="1" customWidth="1"/>
    <col min="23" max="24" width="12.85546875" bestFit="1" customWidth="1"/>
    <col min="25" max="25" width="13.42578125" bestFit="1" customWidth="1"/>
    <col min="26" max="26" width="12.85546875" bestFit="1" customWidth="1"/>
    <col min="27" max="27" width="13.140625" bestFit="1" customWidth="1"/>
    <col min="28" max="28" width="13" bestFit="1" customWidth="1"/>
    <col min="29" max="29" width="10.85546875" bestFit="1" customWidth="1"/>
    <col min="30" max="30" width="12" bestFit="1" customWidth="1"/>
    <col min="31" max="31" width="13.42578125" bestFit="1" customWidth="1"/>
    <col min="32" max="32" width="10.5703125" bestFit="1" customWidth="1"/>
    <col min="33" max="33" width="13.140625" bestFit="1" customWidth="1"/>
  </cols>
  <sheetData>
    <row r="1" spans="1:33" x14ac:dyDescent="0.25">
      <c r="A1" s="161" t="s">
        <v>34</v>
      </c>
      <c r="B1" s="161"/>
      <c r="C1" s="161"/>
      <c r="D1" s="161"/>
    </row>
    <row r="2" spans="1:33" x14ac:dyDescent="0.25">
      <c r="A2" s="1" t="s">
        <v>35</v>
      </c>
      <c r="B2" s="1" t="s">
        <v>36</v>
      </c>
      <c r="C2" s="1" t="s">
        <v>37</v>
      </c>
      <c r="D2" s="1" t="s">
        <v>38</v>
      </c>
    </row>
    <row r="3" spans="1:33" x14ac:dyDescent="0.25">
      <c r="A3" s="3" t="s">
        <v>39</v>
      </c>
      <c r="B3" s="11">
        <v>6.0221408570000002E+23</v>
      </c>
      <c r="C3" s="3" t="s">
        <v>40</v>
      </c>
      <c r="D3" s="3" t="s">
        <v>41</v>
      </c>
      <c r="F3" s="160" t="s">
        <v>27</v>
      </c>
      <c r="G3" s="160"/>
      <c r="H3" s="160"/>
      <c r="I3" s="160"/>
      <c r="J3" s="23" t="s">
        <v>58</v>
      </c>
      <c r="K3" s="23"/>
      <c r="L3" s="160" t="s">
        <v>111</v>
      </c>
      <c r="M3" s="160"/>
      <c r="N3" s="160"/>
      <c r="O3" s="160"/>
      <c r="P3" s="160"/>
      <c r="Q3" s="160"/>
      <c r="R3" s="160"/>
      <c r="S3" s="160"/>
    </row>
    <row r="4" spans="1:33" x14ac:dyDescent="0.25">
      <c r="A4" s="3" t="s">
        <v>44</v>
      </c>
      <c r="B4" s="3">
        <v>772.03899999999999</v>
      </c>
      <c r="C4" s="3" t="s">
        <v>45</v>
      </c>
      <c r="D4" s="3"/>
      <c r="F4" s="159" t="s">
        <v>115</v>
      </c>
      <c r="G4" s="159" t="s">
        <v>116</v>
      </c>
      <c r="H4" s="159" t="s">
        <v>113</v>
      </c>
      <c r="I4" s="159" t="s">
        <v>114</v>
      </c>
      <c r="J4" s="159" t="s">
        <v>112</v>
      </c>
      <c r="K4" s="205" t="s">
        <v>72</v>
      </c>
      <c r="L4" s="23" t="s">
        <v>62</v>
      </c>
      <c r="M4" s="23" t="s">
        <v>64</v>
      </c>
      <c r="N4" s="28" t="s">
        <v>53</v>
      </c>
      <c r="O4" s="28" t="s">
        <v>54</v>
      </c>
      <c r="P4" s="28" t="s">
        <v>55</v>
      </c>
      <c r="Q4" s="28" t="s">
        <v>56</v>
      </c>
      <c r="R4" s="28" t="s">
        <v>57</v>
      </c>
      <c r="S4" s="23" t="s">
        <v>66</v>
      </c>
      <c r="T4" s="159" t="s">
        <v>387</v>
      </c>
      <c r="U4" s="145" t="s">
        <v>62</v>
      </c>
      <c r="V4" s="145" t="s">
        <v>64</v>
      </c>
      <c r="W4" s="28" t="s">
        <v>53</v>
      </c>
      <c r="X4" s="28" t="s">
        <v>54</v>
      </c>
      <c r="Y4" s="28" t="s">
        <v>55</v>
      </c>
      <c r="Z4" s="28" t="s">
        <v>56</v>
      </c>
      <c r="AA4" s="28" t="s">
        <v>57</v>
      </c>
    </row>
    <row r="5" spans="1:33" x14ac:dyDescent="0.25">
      <c r="A5" s="12" t="s">
        <v>46</v>
      </c>
      <c r="B5" s="3">
        <v>0.75320399999999998</v>
      </c>
      <c r="C5" s="3" t="s">
        <v>42</v>
      </c>
      <c r="D5" s="3"/>
      <c r="F5" s="159"/>
      <c r="G5" s="159"/>
      <c r="H5" s="159"/>
      <c r="I5" s="159"/>
      <c r="J5" s="159"/>
      <c r="K5" s="206"/>
      <c r="L5" s="23" t="s">
        <v>63</v>
      </c>
      <c r="M5" s="23" t="s">
        <v>65</v>
      </c>
      <c r="N5" s="23" t="s">
        <v>117</v>
      </c>
      <c r="O5" s="23" t="s">
        <v>118</v>
      </c>
      <c r="P5" s="23" t="s">
        <v>119</v>
      </c>
      <c r="Q5" s="23" t="s">
        <v>120</v>
      </c>
      <c r="R5" s="23" t="s">
        <v>121</v>
      </c>
      <c r="S5" s="23" t="s">
        <v>67</v>
      </c>
      <c r="T5" s="159"/>
      <c r="U5" s="145" t="s">
        <v>63</v>
      </c>
      <c r="V5" s="145" t="s">
        <v>65</v>
      </c>
      <c r="W5" s="145" t="s">
        <v>117</v>
      </c>
      <c r="X5" s="145" t="s">
        <v>118</v>
      </c>
      <c r="Y5" s="145" t="s">
        <v>119</v>
      </c>
      <c r="Z5" s="145" t="s">
        <v>120</v>
      </c>
      <c r="AA5" s="145" t="s">
        <v>121</v>
      </c>
    </row>
    <row r="6" spans="1:33" x14ac:dyDescent="0.25">
      <c r="A6" s="3" t="s">
        <v>47</v>
      </c>
      <c r="B6" s="3">
        <v>557.03899999999999</v>
      </c>
      <c r="C6" s="3" t="s">
        <v>45</v>
      </c>
      <c r="D6" s="3"/>
      <c r="F6" s="3">
        <v>12</v>
      </c>
      <c r="G6" s="3">
        <f t="shared" ref="G6" si="0">100-F6</f>
        <v>88</v>
      </c>
      <c r="H6" s="3">
        <v>7.1999999999999998E-3</v>
      </c>
      <c r="I6" s="3">
        <f t="shared" ref="I6" si="1">1-H6</f>
        <v>0.99280000000000002</v>
      </c>
      <c r="J6" s="3">
        <f>'Fraksi Volume'!I4</f>
        <v>270.23439648232056</v>
      </c>
      <c r="K6" s="111">
        <f>'Fraksi Volume'!S4</f>
        <v>10.576976842105262</v>
      </c>
      <c r="L6" s="16">
        <f>G6/100*H6*K6*$B$3/J6*1E-24</f>
        <v>1.4934373361529722E-4</v>
      </c>
      <c r="M6" s="16">
        <f t="shared" ref="M6" si="2">G6/100*I6*K6*$B$3/J6*1E-24</f>
        <v>2.0592841490731539E-2</v>
      </c>
      <c r="N6" s="16">
        <f>F6/100*$B$16*K6*$B$3/J6*1E-24</f>
        <v>1.3011007095272106E-4</v>
      </c>
      <c r="O6" s="16">
        <f>F6/100*$B$17*K6*$B$3/J6*1E-24</f>
        <v>1.4283823006766116E-3</v>
      </c>
      <c r="P6" s="16">
        <f>F6/100*$B$18*K6*$B$3/J6*1E-24</f>
        <v>6.7883515279680562E-4</v>
      </c>
      <c r="Q6" s="16">
        <f>F6/100*$B$19*K6*$B$3/J6*1E-24</f>
        <v>3.5355997541500293E-4</v>
      </c>
      <c r="R6" s="16">
        <f>F6/100*$B$20*K6*$B$3/J6*1E-24</f>
        <v>2.3759230347888196E-4</v>
      </c>
      <c r="S6" s="16">
        <f>4*$B$3*K6/J6*1E-24</f>
        <v>9.4282660110667438E-2</v>
      </c>
      <c r="T6" s="159"/>
      <c r="U6" s="149">
        <f>L6*'HD FIX'!$B$18</f>
        <v>4.4102784427991928E-5</v>
      </c>
      <c r="V6" s="149">
        <f>M6*'HD FIX'!$B$18</f>
        <v>6.0812839416819978E-3</v>
      </c>
      <c r="W6" s="149">
        <f>N6*'HD FIX'!$B$18</f>
        <v>3.8422880372871757E-5</v>
      </c>
      <c r="X6" s="149">
        <f>O6*'HD FIX'!$B$18</f>
        <v>4.2181640409348338E-4</v>
      </c>
      <c r="Y6" s="149">
        <f>P6*'HD FIX'!$B$18</f>
        <v>2.0046720194541787E-4</v>
      </c>
      <c r="Z6" s="149">
        <f>Q6*'HD FIX'!$B$18</f>
        <v>1.0441000101323848E-4</v>
      </c>
      <c r="AA6" s="149">
        <f>R6*'HD FIX'!$B$18</f>
        <v>7.0163520680896252E-5</v>
      </c>
    </row>
    <row r="7" spans="1:33" x14ac:dyDescent="0.25">
      <c r="A7" s="12" t="s">
        <v>48</v>
      </c>
      <c r="B7" s="3">
        <v>9.0273999999999997E-3</v>
      </c>
      <c r="C7" s="3" t="s">
        <v>42</v>
      </c>
      <c r="D7" s="3" t="s">
        <v>41</v>
      </c>
      <c r="Q7" s="15"/>
      <c r="R7" s="15"/>
    </row>
    <row r="8" spans="1:33" x14ac:dyDescent="0.25">
      <c r="A8" s="12" t="s">
        <v>49</v>
      </c>
      <c r="B8" s="103">
        <v>739.20935368907362</v>
      </c>
      <c r="C8" s="12" t="s">
        <v>45</v>
      </c>
      <c r="D8" s="12"/>
      <c r="F8" s="202" t="s">
        <v>68</v>
      </c>
      <c r="G8" s="204"/>
      <c r="H8" s="17" t="s">
        <v>69</v>
      </c>
      <c r="J8" s="160" t="s">
        <v>209</v>
      </c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</row>
    <row r="9" spans="1:33" x14ac:dyDescent="0.25">
      <c r="A9" s="3" t="s">
        <v>50</v>
      </c>
      <c r="B9" s="3">
        <v>1850</v>
      </c>
      <c r="C9" s="3" t="s">
        <v>51</v>
      </c>
      <c r="D9" s="3"/>
      <c r="F9" s="14" t="s">
        <v>70</v>
      </c>
      <c r="G9" s="18"/>
      <c r="H9" s="19"/>
      <c r="J9" s="199" t="s">
        <v>165</v>
      </c>
      <c r="K9" s="200"/>
      <c r="L9" s="200"/>
      <c r="M9" s="200"/>
      <c r="N9" s="200"/>
      <c r="O9" s="201"/>
      <c r="P9" s="199" t="s">
        <v>210</v>
      </c>
      <c r="Q9" s="200"/>
      <c r="R9" s="200"/>
      <c r="S9" s="200"/>
      <c r="T9" s="200"/>
      <c r="U9" s="201"/>
      <c r="V9" s="199" t="s">
        <v>213</v>
      </c>
      <c r="W9" s="200"/>
      <c r="X9" s="200"/>
      <c r="Y9" s="200"/>
      <c r="Z9" s="200"/>
      <c r="AA9" s="201"/>
      <c r="AB9" s="199" t="s">
        <v>215</v>
      </c>
      <c r="AC9" s="200"/>
      <c r="AD9" s="200"/>
      <c r="AE9" s="200"/>
      <c r="AF9" s="200"/>
      <c r="AG9" s="201"/>
    </row>
    <row r="10" spans="1:33" x14ac:dyDescent="0.25">
      <c r="A10" s="12" t="s">
        <v>52</v>
      </c>
      <c r="B10" s="103">
        <v>645.57216968162379</v>
      </c>
      <c r="C10" s="12" t="s">
        <v>45</v>
      </c>
      <c r="D10" s="12"/>
      <c r="F10" s="3">
        <v>4.0026018980937002</v>
      </c>
      <c r="G10" s="15"/>
      <c r="H10" s="19"/>
      <c r="J10" s="36" t="s">
        <v>79</v>
      </c>
      <c r="K10" s="18"/>
      <c r="L10" s="160" t="s">
        <v>208</v>
      </c>
      <c r="M10" s="160"/>
      <c r="N10" s="15"/>
      <c r="O10" s="19"/>
      <c r="P10" s="36" t="s">
        <v>79</v>
      </c>
      <c r="Q10" s="18"/>
      <c r="R10" s="160" t="s">
        <v>208</v>
      </c>
      <c r="S10" s="160"/>
      <c r="T10" s="15"/>
      <c r="U10" s="19"/>
      <c r="V10" s="36" t="s">
        <v>79</v>
      </c>
      <c r="W10" s="18"/>
      <c r="X10" s="160" t="s">
        <v>208</v>
      </c>
      <c r="Y10" s="160"/>
      <c r="Z10" s="15"/>
      <c r="AA10" s="19"/>
      <c r="AB10" s="36" t="s">
        <v>79</v>
      </c>
      <c r="AC10" s="18"/>
      <c r="AD10" s="160" t="s">
        <v>208</v>
      </c>
      <c r="AE10" s="160"/>
      <c r="AF10" s="15"/>
      <c r="AG10" s="19"/>
    </row>
    <row r="11" spans="1:33" x14ac:dyDescent="0.25">
      <c r="F11" s="207"/>
      <c r="G11" s="208"/>
      <c r="H11" s="209"/>
      <c r="J11" s="3">
        <f>SUM(M13:M17)</f>
        <v>91.524026957999979</v>
      </c>
      <c r="K11" s="15"/>
      <c r="L11" s="161">
        <v>6.5508899999999999</v>
      </c>
      <c r="M11" s="161"/>
      <c r="N11" s="15"/>
      <c r="O11" s="40"/>
      <c r="P11" s="3">
        <f>SUM(S13:S20)</f>
        <v>56.30490907442119</v>
      </c>
      <c r="Q11" s="15"/>
      <c r="R11" s="161">
        <v>7.99</v>
      </c>
      <c r="S11" s="161"/>
      <c r="T11" s="15"/>
      <c r="U11" s="40"/>
      <c r="V11" s="3">
        <f>SUM(Y13:Y21)</f>
        <v>56.254944744770604</v>
      </c>
      <c r="W11" s="15"/>
      <c r="X11" s="161">
        <v>7.74</v>
      </c>
      <c r="Y11" s="161"/>
      <c r="Z11" s="15"/>
      <c r="AA11" s="40"/>
      <c r="AB11" s="3">
        <f>SUM(AE13:AE22)</f>
        <v>91.197073234029602</v>
      </c>
      <c r="AC11" s="15"/>
      <c r="AD11" s="161">
        <v>6.57</v>
      </c>
      <c r="AE11" s="161"/>
      <c r="AF11" s="15"/>
      <c r="AG11" s="40"/>
    </row>
    <row r="12" spans="1:33" x14ac:dyDescent="0.25">
      <c r="A12" s="161" t="s">
        <v>109</v>
      </c>
      <c r="B12" s="161"/>
      <c r="C12" s="161"/>
      <c r="F12" s="14" t="s">
        <v>59</v>
      </c>
      <c r="G12" s="14" t="s">
        <v>60</v>
      </c>
      <c r="H12" s="14" t="s">
        <v>61</v>
      </c>
      <c r="J12" s="36" t="s">
        <v>59</v>
      </c>
      <c r="K12" s="36" t="s">
        <v>76</v>
      </c>
      <c r="L12" s="36" t="s">
        <v>77</v>
      </c>
      <c r="M12" s="36" t="s">
        <v>207</v>
      </c>
      <c r="N12" s="36" t="s">
        <v>60</v>
      </c>
      <c r="O12" s="36" t="s">
        <v>61</v>
      </c>
      <c r="P12" s="36" t="s">
        <v>59</v>
      </c>
      <c r="Q12" s="36" t="s">
        <v>76</v>
      </c>
      <c r="R12" s="36" t="s">
        <v>77</v>
      </c>
      <c r="S12" s="36" t="s">
        <v>207</v>
      </c>
      <c r="T12" s="36" t="s">
        <v>60</v>
      </c>
      <c r="U12" s="36" t="s">
        <v>61</v>
      </c>
      <c r="V12" s="36" t="s">
        <v>59</v>
      </c>
      <c r="W12" s="36" t="s">
        <v>76</v>
      </c>
      <c r="X12" s="36" t="s">
        <v>77</v>
      </c>
      <c r="Y12" s="36" t="s">
        <v>207</v>
      </c>
      <c r="Z12" s="36" t="s">
        <v>60</v>
      </c>
      <c r="AA12" s="36" t="s">
        <v>61</v>
      </c>
      <c r="AB12" s="36" t="s">
        <v>59</v>
      </c>
      <c r="AC12" s="36" t="s">
        <v>76</v>
      </c>
      <c r="AD12" s="36" t="s">
        <v>77</v>
      </c>
      <c r="AE12" s="36" t="s">
        <v>207</v>
      </c>
      <c r="AF12" s="36" t="s">
        <v>60</v>
      </c>
      <c r="AG12" s="36" t="s">
        <v>61</v>
      </c>
    </row>
    <row r="13" spans="1:33" x14ac:dyDescent="0.25">
      <c r="A13" s="12" t="s">
        <v>2</v>
      </c>
      <c r="B13" s="160" t="s">
        <v>110</v>
      </c>
      <c r="C13" s="160"/>
      <c r="F13" s="3" t="s">
        <v>73</v>
      </c>
      <c r="G13" s="3" t="s">
        <v>74</v>
      </c>
      <c r="H13" s="16">
        <f>B3*B7/F10*1E-24</f>
        <v>1.3582233696129912E-3</v>
      </c>
      <c r="J13" s="3" t="s">
        <v>78</v>
      </c>
      <c r="K13" s="21">
        <v>0.98192999999999997</v>
      </c>
      <c r="L13" s="21">
        <v>91.224000000000004</v>
      </c>
      <c r="M13" s="3">
        <f>K13*L13</f>
        <v>89.575582319999995</v>
      </c>
      <c r="N13" s="3" t="s">
        <v>84</v>
      </c>
      <c r="O13" s="16">
        <f>$B$3*$L$11*K13*1E-24/$J$11</f>
        <v>4.2324966675679684E-2</v>
      </c>
      <c r="P13" s="3" t="s">
        <v>83</v>
      </c>
      <c r="Q13" s="21">
        <v>0.155</v>
      </c>
      <c r="R13" s="3">
        <v>58.693356299999998</v>
      </c>
      <c r="S13" s="3">
        <f>Q13*R13</f>
        <v>9.0974702265000005</v>
      </c>
      <c r="T13" s="3" t="s">
        <v>90</v>
      </c>
      <c r="U13" s="16">
        <f>$B$3*$R$11*Q13*1E-24/$P$11</f>
        <v>1.3245950427686256E-2</v>
      </c>
      <c r="V13" s="3" t="s">
        <v>83</v>
      </c>
      <c r="W13" s="21">
        <v>5.0000000000000001E-3</v>
      </c>
      <c r="X13" s="3">
        <v>58.693356299999998</v>
      </c>
      <c r="Y13" s="3">
        <f>W13*X13</f>
        <v>0.2934667815</v>
      </c>
      <c r="Z13" s="3" t="s">
        <v>90</v>
      </c>
      <c r="AA13" s="16">
        <f>$B$3*$X$11*W13*1E-24/$V$11</f>
        <v>4.1428687242211657E-4</v>
      </c>
      <c r="AB13" s="3" t="s">
        <v>78</v>
      </c>
      <c r="AC13" s="21">
        <v>0.97396000000000005</v>
      </c>
      <c r="AD13" s="21">
        <v>91.224000000000004</v>
      </c>
      <c r="AE13" s="3">
        <f>AC13*AD13</f>
        <v>88.848527040000008</v>
      </c>
      <c r="AF13" s="3" t="s">
        <v>84</v>
      </c>
      <c r="AG13" s="16">
        <f>$B$3*$AD$11*AC13*1E-24/$AB$11</f>
        <v>4.2254843652483449E-2</v>
      </c>
    </row>
    <row r="14" spans="1:33" x14ac:dyDescent="0.25">
      <c r="A14" s="12" t="s">
        <v>72</v>
      </c>
      <c r="B14" s="23"/>
      <c r="C14" s="23" t="s">
        <v>42</v>
      </c>
      <c r="J14" s="3" t="s">
        <v>80</v>
      </c>
      <c r="K14" s="21">
        <v>1.4999999999999999E-2</v>
      </c>
      <c r="L14" s="21">
        <v>118.71</v>
      </c>
      <c r="M14" s="3">
        <f t="shared" ref="M14:M17" si="3">K14*L14</f>
        <v>1.7806499999999998</v>
      </c>
      <c r="N14" s="3" t="s">
        <v>85</v>
      </c>
      <c r="O14" s="16">
        <f>$B$3*$L$11*K14*1E-24/$J$11</f>
        <v>6.4655779957348823E-4</v>
      </c>
      <c r="P14" s="3" t="s">
        <v>82</v>
      </c>
      <c r="Q14" s="21">
        <v>0.13500000000000001</v>
      </c>
      <c r="R14" s="3">
        <v>51.996137500000003</v>
      </c>
      <c r="S14" s="3">
        <f t="shared" ref="S14:S16" si="4">Q14*R14</f>
        <v>7.0194785625000007</v>
      </c>
      <c r="T14" s="3" t="s">
        <v>88</v>
      </c>
      <c r="U14" s="16">
        <f t="shared" ref="U14:U20" si="5">$B$3*$R$11*Q14*1E-24/$P$11</f>
        <v>1.1536795533791253E-2</v>
      </c>
      <c r="V14" s="3" t="s">
        <v>82</v>
      </c>
      <c r="W14" s="21">
        <v>0.12</v>
      </c>
      <c r="X14" s="3">
        <v>51.996137500000003</v>
      </c>
      <c r="Y14" s="3">
        <f>W14*X14</f>
        <v>6.2395364999999998</v>
      </c>
      <c r="Z14" s="3" t="s">
        <v>88</v>
      </c>
      <c r="AA14" s="16">
        <f t="shared" ref="AA14:AA21" si="6">$B$3*$X$11*W14*1E-24/$V$11</f>
        <v>9.9428849381307995E-3</v>
      </c>
      <c r="AB14" s="3" t="s">
        <v>216</v>
      </c>
      <c r="AC14" s="21">
        <v>2.5000000000000001E-2</v>
      </c>
      <c r="AD14">
        <v>92.906369999999995</v>
      </c>
      <c r="AE14" s="3">
        <f t="shared" ref="AE14:AE22" si="7">AC14*AD14</f>
        <v>2.3226592500000001</v>
      </c>
      <c r="AF14" s="3" t="s">
        <v>223</v>
      </c>
      <c r="AG14" s="16">
        <f t="shared" ref="AG14:AG22" si="8">$B$3*$AD$11*AC14*1E-24/$AB$11</f>
        <v>1.0846144516325992E-3</v>
      </c>
    </row>
    <row r="15" spans="1:33" x14ac:dyDescent="0.25">
      <c r="A15" s="1" t="s">
        <v>75</v>
      </c>
      <c r="B15" s="23" t="s">
        <v>76</v>
      </c>
      <c r="C15" s="23" t="s">
        <v>77</v>
      </c>
      <c r="J15" s="3" t="s">
        <v>81</v>
      </c>
      <c r="K15" s="21">
        <v>2E-3</v>
      </c>
      <c r="L15" s="21">
        <v>55.844999999999999</v>
      </c>
      <c r="M15" s="3">
        <f t="shared" si="3"/>
        <v>0.11169</v>
      </c>
      <c r="N15" s="3" t="s">
        <v>86</v>
      </c>
      <c r="O15" s="16">
        <f t="shared" ref="O15:O17" si="9">$B$3*$L$11*K15*1E-24/$J$11</f>
        <v>8.6207706609798434E-5</v>
      </c>
      <c r="P15" s="3" t="s">
        <v>96</v>
      </c>
      <c r="Q15" s="21">
        <v>0.02</v>
      </c>
      <c r="R15" s="25">
        <v>54.938049599999999</v>
      </c>
      <c r="S15" s="3">
        <f t="shared" si="4"/>
        <v>1.0987609920000001</v>
      </c>
      <c r="T15" s="3" t="s">
        <v>105</v>
      </c>
      <c r="U15" s="16">
        <f t="shared" si="5"/>
        <v>1.7091548938950004E-3</v>
      </c>
      <c r="V15" s="3" t="s">
        <v>96</v>
      </c>
      <c r="W15" s="21">
        <v>2E-3</v>
      </c>
      <c r="X15" s="25">
        <v>54.938049599999999</v>
      </c>
      <c r="Y15" s="3">
        <f>W15*X15</f>
        <v>0.10987609920000001</v>
      </c>
      <c r="Z15" s="3" t="s">
        <v>105</v>
      </c>
      <c r="AA15" s="16">
        <f t="shared" si="6"/>
        <v>1.6571474896884662E-4</v>
      </c>
      <c r="AB15" s="3" t="s">
        <v>81</v>
      </c>
      <c r="AC15" s="21">
        <v>1.4999999999999999E-4</v>
      </c>
      <c r="AD15" s="3">
        <v>55.845150199999999</v>
      </c>
      <c r="AE15" s="3">
        <f>AC15*AD15</f>
        <v>8.3767725299999998E-3</v>
      </c>
      <c r="AF15" s="3" t="s">
        <v>86</v>
      </c>
      <c r="AG15" s="16">
        <f t="shared" si="8"/>
        <v>6.5076867097955938E-6</v>
      </c>
    </row>
    <row r="16" spans="1:33" x14ac:dyDescent="0.25">
      <c r="A16" s="12" t="s">
        <v>53</v>
      </c>
      <c r="B16" s="3">
        <f>4.6/100</f>
        <v>4.5999999999999999E-2</v>
      </c>
      <c r="C16" s="3">
        <v>238.04955989999999</v>
      </c>
      <c r="D16">
        <f>B16*C16</f>
        <v>10.950279755399999</v>
      </c>
      <c r="J16" s="3" t="s">
        <v>82</v>
      </c>
      <c r="K16" s="21">
        <v>1E-3</v>
      </c>
      <c r="L16" s="21">
        <v>51.996099999999998</v>
      </c>
      <c r="M16" s="3">
        <f t="shared" si="3"/>
        <v>5.1996099999999996E-2</v>
      </c>
      <c r="N16" s="3" t="s">
        <v>88</v>
      </c>
      <c r="O16" s="16">
        <f t="shared" si="9"/>
        <v>4.3103853304899217E-5</v>
      </c>
      <c r="P16" s="3" t="s">
        <v>211</v>
      </c>
      <c r="Q16" s="21">
        <v>0.02</v>
      </c>
      <c r="R16" s="44">
        <v>95.931291557059993</v>
      </c>
      <c r="S16" s="3">
        <f t="shared" si="4"/>
        <v>1.9186258311411999</v>
      </c>
      <c r="T16" s="3" t="s">
        <v>218</v>
      </c>
      <c r="U16" s="16">
        <f t="shared" si="5"/>
        <v>1.7091548938950004E-3</v>
      </c>
      <c r="V16" s="3" t="s">
        <v>211</v>
      </c>
      <c r="W16" s="21">
        <v>0.01</v>
      </c>
      <c r="X16" s="44">
        <v>95.931291557059993</v>
      </c>
      <c r="Y16" s="3">
        <f t="shared" ref="Y16:Y21" si="10">W16*X16</f>
        <v>0.95931291557059994</v>
      </c>
      <c r="Z16" s="3" t="s">
        <v>218</v>
      </c>
      <c r="AA16" s="16">
        <f t="shared" si="6"/>
        <v>8.2857374484423315E-4</v>
      </c>
      <c r="AB16" s="3" t="s">
        <v>83</v>
      </c>
      <c r="AC16" s="21">
        <v>6.9999999999999994E-5</v>
      </c>
      <c r="AD16" s="3">
        <v>58.693356299999998</v>
      </c>
      <c r="AE16" s="3">
        <f>AC16*AD16</f>
        <v>4.1085349409999998E-3</v>
      </c>
      <c r="AF16" s="3" t="s">
        <v>90</v>
      </c>
      <c r="AG16" s="16">
        <f t="shared" si="8"/>
        <v>3.0369204645712769E-6</v>
      </c>
    </row>
    <row r="17" spans="1:33" x14ac:dyDescent="0.25">
      <c r="A17" s="12" t="s">
        <v>54</v>
      </c>
      <c r="B17" s="3">
        <f>50.5/100</f>
        <v>0.505</v>
      </c>
      <c r="C17" s="3">
        <v>239.05216340000001</v>
      </c>
      <c r="D17">
        <f>B17*C17</f>
        <v>120.72134251700001</v>
      </c>
      <c r="J17" s="3" t="s">
        <v>83</v>
      </c>
      <c r="K17" s="21">
        <v>6.9999999999999994E-5</v>
      </c>
      <c r="L17" s="21">
        <v>58.693399999999997</v>
      </c>
      <c r="M17" s="3">
        <f t="shared" si="3"/>
        <v>4.1085379999999993E-3</v>
      </c>
      <c r="N17" s="3" t="s">
        <v>90</v>
      </c>
      <c r="O17" s="16">
        <f t="shared" si="9"/>
        <v>3.0172697313429449E-6</v>
      </c>
      <c r="P17" s="3" t="s">
        <v>102</v>
      </c>
      <c r="Q17" s="21">
        <v>7.4999999999999997E-3</v>
      </c>
      <c r="R17" s="3">
        <v>28.0854128</v>
      </c>
      <c r="S17" s="3">
        <f>Q17*R17</f>
        <v>0.21064059599999999</v>
      </c>
      <c r="T17" s="3" t="s">
        <v>108</v>
      </c>
      <c r="U17" s="16">
        <f t="shared" si="5"/>
        <v>6.4093308521062512E-4</v>
      </c>
      <c r="V17" s="3" t="s">
        <v>102</v>
      </c>
      <c r="W17" s="21">
        <v>2.5000000000000001E-3</v>
      </c>
      <c r="X17" s="3">
        <v>28.0854128</v>
      </c>
      <c r="Y17" s="3">
        <f t="shared" si="10"/>
        <v>7.0213532000000009E-2</v>
      </c>
      <c r="Z17" s="3" t="s">
        <v>108</v>
      </c>
      <c r="AA17" s="16">
        <f t="shared" si="6"/>
        <v>2.0714343621105829E-4</v>
      </c>
      <c r="AB17" s="3" t="s">
        <v>212</v>
      </c>
      <c r="AC17" s="21">
        <v>3.0000000000000001E-5</v>
      </c>
      <c r="AD17">
        <v>47.866999999999997</v>
      </c>
      <c r="AE17" s="3">
        <f t="shared" si="7"/>
        <v>1.4360099999999999E-3</v>
      </c>
      <c r="AF17" s="13" t="s">
        <v>219</v>
      </c>
      <c r="AG17" s="16">
        <f t="shared" si="8"/>
        <v>1.3015373419591189E-6</v>
      </c>
    </row>
    <row r="18" spans="1:33" x14ac:dyDescent="0.25">
      <c r="A18" s="12" t="s">
        <v>55</v>
      </c>
      <c r="B18" s="3">
        <f>24/100</f>
        <v>0.24</v>
      </c>
      <c r="C18" s="3">
        <v>240.05381349999999</v>
      </c>
      <c r="D18">
        <f>B18*C18</f>
        <v>57.612915239999992</v>
      </c>
      <c r="P18" s="12" t="s">
        <v>212</v>
      </c>
      <c r="Q18" s="41">
        <v>2.5000000000000001E-3</v>
      </c>
      <c r="R18">
        <v>47.866999999999997</v>
      </c>
      <c r="S18" s="3">
        <f t="shared" ref="S18:S20" si="11">Q18*R18</f>
        <v>0.1196675</v>
      </c>
      <c r="T18" s="13" t="s">
        <v>219</v>
      </c>
      <c r="U18" s="16">
        <f t="shared" si="5"/>
        <v>2.1364436173687505E-4</v>
      </c>
      <c r="V18" s="12" t="s">
        <v>220</v>
      </c>
      <c r="W18" s="41">
        <f>0.005</f>
        <v>5.0000000000000001E-3</v>
      </c>
      <c r="X18" s="3">
        <v>183.84</v>
      </c>
      <c r="Y18" s="3">
        <f t="shared" si="10"/>
        <v>0.91920000000000002</v>
      </c>
      <c r="Z18" s="12" t="s">
        <v>221</v>
      </c>
      <c r="AA18" s="16">
        <f t="shared" si="6"/>
        <v>4.1428687242211657E-4</v>
      </c>
      <c r="AB18" s="3" t="s">
        <v>95</v>
      </c>
      <c r="AC18" s="41">
        <v>2.0000000000000001E-4</v>
      </c>
      <c r="AD18" s="3">
        <v>12.0107359</v>
      </c>
      <c r="AE18" s="3">
        <f t="shared" si="7"/>
        <v>2.40214718E-3</v>
      </c>
      <c r="AF18" s="3" t="s">
        <v>104</v>
      </c>
      <c r="AG18" s="16">
        <f t="shared" si="8"/>
        <v>8.6769156130607929E-6</v>
      </c>
    </row>
    <row r="19" spans="1:33" x14ac:dyDescent="0.25">
      <c r="A19" s="12" t="s">
        <v>56</v>
      </c>
      <c r="B19" s="3">
        <f>12.5/100</f>
        <v>0.125</v>
      </c>
      <c r="C19" s="39">
        <v>241.05685149999999</v>
      </c>
      <c r="D19">
        <f>B19*C19</f>
        <v>30.132106437499999</v>
      </c>
      <c r="F19" s="202" t="s">
        <v>31</v>
      </c>
      <c r="G19" s="203"/>
      <c r="H19" s="17" t="s">
        <v>92</v>
      </c>
      <c r="P19" s="12" t="s">
        <v>95</v>
      </c>
      <c r="Q19" s="41">
        <v>4.0000000000000002E-4</v>
      </c>
      <c r="R19" s="3">
        <v>12.0107359</v>
      </c>
      <c r="S19" s="3">
        <f t="shared" si="11"/>
        <v>4.80429436E-3</v>
      </c>
      <c r="T19" s="3" t="s">
        <v>104</v>
      </c>
      <c r="U19" s="16">
        <f t="shared" si="5"/>
        <v>3.4183097877900014E-5</v>
      </c>
      <c r="V19" s="12" t="s">
        <v>214</v>
      </c>
      <c r="W19" s="41">
        <v>5.0000000000000001E-3</v>
      </c>
      <c r="X19" s="3">
        <v>50.941499999999998</v>
      </c>
      <c r="Y19" s="3">
        <f t="shared" si="10"/>
        <v>0.25470749999999998</v>
      </c>
      <c r="Z19" s="3" t="s">
        <v>222</v>
      </c>
      <c r="AA19" s="16">
        <f t="shared" si="6"/>
        <v>4.1428687242211657E-4</v>
      </c>
      <c r="AB19" s="3" t="s">
        <v>102</v>
      </c>
      <c r="AC19" s="41">
        <v>4.0000000000000003E-5</v>
      </c>
      <c r="AD19" s="42">
        <v>28.0854128</v>
      </c>
      <c r="AE19" s="3">
        <f t="shared" si="7"/>
        <v>1.123416512E-3</v>
      </c>
      <c r="AF19" s="3" t="s">
        <v>108</v>
      </c>
      <c r="AG19" s="16">
        <f t="shared" si="8"/>
        <v>1.7353831226121589E-6</v>
      </c>
    </row>
    <row r="20" spans="1:33" x14ac:dyDescent="0.25">
      <c r="A20" s="12" t="s">
        <v>57</v>
      </c>
      <c r="B20" s="3">
        <f>8.4/100</f>
        <v>8.4000000000000005E-2</v>
      </c>
      <c r="C20" s="39">
        <v>242.05874259999999</v>
      </c>
      <c r="D20">
        <f>B20*C20</f>
        <v>20.332934378400001</v>
      </c>
      <c r="F20" s="14" t="s">
        <v>94</v>
      </c>
      <c r="G20" s="18"/>
      <c r="H20" s="22"/>
      <c r="P20" s="12" t="s">
        <v>81</v>
      </c>
      <c r="Q20" s="41">
        <v>0.65959999999999996</v>
      </c>
      <c r="R20" s="3">
        <v>55.845150199999999</v>
      </c>
      <c r="S20" s="3">
        <f t="shared" si="11"/>
        <v>36.835461071919994</v>
      </c>
      <c r="T20" s="3" t="s">
        <v>86</v>
      </c>
      <c r="U20" s="16">
        <f t="shared" si="5"/>
        <v>5.6367928400657116E-2</v>
      </c>
      <c r="V20" s="12" t="s">
        <v>95</v>
      </c>
      <c r="W20" s="41">
        <v>2E-3</v>
      </c>
      <c r="X20" s="3">
        <v>12.0107359</v>
      </c>
      <c r="Y20" s="3">
        <f t="shared" si="10"/>
        <v>2.4021471799999999E-2</v>
      </c>
      <c r="Z20" s="3" t="s">
        <v>104</v>
      </c>
      <c r="AA20" s="16">
        <f t="shared" si="6"/>
        <v>1.6571474896884662E-4</v>
      </c>
      <c r="AB20" s="3" t="s">
        <v>66</v>
      </c>
      <c r="AC20" s="41">
        <v>5.0000000000000001E-4</v>
      </c>
      <c r="AD20" s="45">
        <v>15.999404928358299</v>
      </c>
      <c r="AE20" s="3">
        <f t="shared" si="7"/>
        <v>7.9997024641791491E-3</v>
      </c>
      <c r="AF20" s="3" t="s">
        <v>67</v>
      </c>
      <c r="AG20" s="16">
        <f t="shared" si="8"/>
        <v>2.1692289032651981E-5</v>
      </c>
    </row>
    <row r="21" spans="1:33" x14ac:dyDescent="0.25">
      <c r="D21">
        <f>SUM(D16:D20)</f>
        <v>239.7495783283</v>
      </c>
      <c r="F21" s="3">
        <f>(2*1.00790548)+15.99940493</f>
        <v>18.01521589</v>
      </c>
      <c r="G21" s="15"/>
      <c r="H21" s="19"/>
      <c r="T21" s="15"/>
      <c r="V21" s="12" t="s">
        <v>81</v>
      </c>
      <c r="W21" s="41">
        <v>0.84850000000000003</v>
      </c>
      <c r="X21" s="3">
        <v>55.845150199999999</v>
      </c>
      <c r="Y21" s="3">
        <f t="shared" si="10"/>
        <v>47.384609944700003</v>
      </c>
      <c r="Z21" s="3" t="s">
        <v>86</v>
      </c>
      <c r="AA21" s="16">
        <f t="shared" si="6"/>
        <v>7.030448225003319E-2</v>
      </c>
      <c r="AB21" s="3" t="s">
        <v>217</v>
      </c>
      <c r="AC21" s="41">
        <v>3.0000000000000001E-5</v>
      </c>
      <c r="AD21" s="46">
        <v>14.006743093606977</v>
      </c>
      <c r="AE21" s="3">
        <f t="shared" si="7"/>
        <v>4.2020229280820932E-4</v>
      </c>
      <c r="AF21" s="3" t="s">
        <v>224</v>
      </c>
      <c r="AG21" s="16">
        <f t="shared" si="8"/>
        <v>1.3015373419591189E-6</v>
      </c>
    </row>
    <row r="22" spans="1:33" x14ac:dyDescent="0.25">
      <c r="F22" s="207"/>
      <c r="G22" s="208"/>
      <c r="H22" s="209"/>
      <c r="X22" s="43"/>
      <c r="AB22" s="3" t="s">
        <v>97</v>
      </c>
      <c r="AC22" s="41">
        <v>2.0000000000000002E-5</v>
      </c>
      <c r="AD22" s="46">
        <v>1.007905480049655</v>
      </c>
      <c r="AE22" s="3">
        <f t="shared" si="7"/>
        <v>2.0158109600993102E-5</v>
      </c>
      <c r="AF22" s="3" t="s">
        <v>225</v>
      </c>
      <c r="AG22" s="16">
        <f t="shared" si="8"/>
        <v>8.6769156130607944E-7</v>
      </c>
    </row>
    <row r="23" spans="1:33" x14ac:dyDescent="0.25">
      <c r="A23" s="160" t="s">
        <v>87</v>
      </c>
      <c r="B23" s="160"/>
      <c r="C23" s="160"/>
      <c r="F23" s="14" t="s">
        <v>59</v>
      </c>
      <c r="G23" s="14" t="s">
        <v>60</v>
      </c>
      <c r="H23" s="14" t="s">
        <v>61</v>
      </c>
      <c r="X23" s="43"/>
    </row>
    <row r="24" spans="1:33" x14ac:dyDescent="0.25">
      <c r="A24" s="24" t="s">
        <v>2</v>
      </c>
      <c r="B24" s="160" t="s">
        <v>89</v>
      </c>
      <c r="C24" s="160"/>
      <c r="F24" s="3" t="s">
        <v>97</v>
      </c>
      <c r="G24" s="3" t="s">
        <v>98</v>
      </c>
      <c r="H24" s="16">
        <f>2*$B$3/$F$21*$B$5*1E-24</f>
        <v>5.0356327781491024E-2</v>
      </c>
    </row>
    <row r="25" spans="1:33" x14ac:dyDescent="0.25">
      <c r="A25" s="3" t="s">
        <v>72</v>
      </c>
      <c r="B25" s="3">
        <v>8</v>
      </c>
      <c r="C25" s="3" t="s">
        <v>91</v>
      </c>
      <c r="F25" s="3" t="s">
        <v>66</v>
      </c>
      <c r="G25" s="3" t="s">
        <v>67</v>
      </c>
      <c r="H25" s="16">
        <f>1*$B$3/$F$21*$B$5*1E-24</f>
        <v>2.5178163890745512E-2</v>
      </c>
    </row>
    <row r="26" spans="1:33" x14ac:dyDescent="0.25">
      <c r="A26" s="20"/>
      <c r="B26" s="15"/>
      <c r="C26" s="19"/>
    </row>
    <row r="27" spans="1:33" x14ac:dyDescent="0.25">
      <c r="A27" s="14" t="s">
        <v>93</v>
      </c>
      <c r="B27" s="14" t="s">
        <v>76</v>
      </c>
      <c r="C27" s="14" t="s">
        <v>77</v>
      </c>
      <c r="M27" s="202" t="s">
        <v>87</v>
      </c>
      <c r="N27" s="203"/>
      <c r="O27" s="14" t="s">
        <v>101</v>
      </c>
    </row>
    <row r="28" spans="1:33" x14ac:dyDescent="0.25">
      <c r="A28" s="3" t="s">
        <v>81</v>
      </c>
      <c r="B28" s="3">
        <f>1-(SUM(B29:B35))</f>
        <v>0.66894999999999993</v>
      </c>
      <c r="C28" s="3">
        <v>55.845150199999999</v>
      </c>
      <c r="D28">
        <f>C28*B28</f>
        <v>37.357613226289999</v>
      </c>
      <c r="M28" s="14" t="s">
        <v>103</v>
      </c>
      <c r="N28" s="15"/>
      <c r="O28" s="19"/>
    </row>
    <row r="29" spans="1:33" x14ac:dyDescent="0.25">
      <c r="A29" s="3" t="s">
        <v>95</v>
      </c>
      <c r="B29" s="3">
        <f>0.03/100</f>
        <v>2.9999999999999997E-4</v>
      </c>
      <c r="C29" s="3">
        <v>12.0107359</v>
      </c>
      <c r="D29">
        <f t="shared" ref="D29:D33" si="12">C29*B29</f>
        <v>3.6032207699999998E-3</v>
      </c>
      <c r="M29" s="3">
        <f>D36</f>
        <v>55.032952715149506</v>
      </c>
      <c r="N29" s="15"/>
      <c r="O29" s="19"/>
    </row>
    <row r="30" spans="1:33" x14ac:dyDescent="0.25">
      <c r="A30" s="3" t="s">
        <v>82</v>
      </c>
      <c r="B30" s="3">
        <f>20/100</f>
        <v>0.2</v>
      </c>
      <c r="C30" s="3">
        <v>51.996137500000003</v>
      </c>
      <c r="D30">
        <f t="shared" si="12"/>
        <v>10.399227500000002</v>
      </c>
      <c r="M30" s="20"/>
      <c r="N30" s="15"/>
      <c r="O30" s="19"/>
    </row>
    <row r="31" spans="1:33" x14ac:dyDescent="0.25">
      <c r="A31" s="3" t="s">
        <v>96</v>
      </c>
      <c r="B31" s="3">
        <f>2/100</f>
        <v>0.02</v>
      </c>
      <c r="C31" s="25">
        <v>54.938049599999999</v>
      </c>
      <c r="D31">
        <f t="shared" si="12"/>
        <v>1.0987609920000001</v>
      </c>
      <c r="M31" s="14" t="s">
        <v>59</v>
      </c>
      <c r="N31" s="14" t="s">
        <v>60</v>
      </c>
      <c r="O31" s="14" t="s">
        <v>61</v>
      </c>
    </row>
    <row r="32" spans="1:33" x14ac:dyDescent="0.25">
      <c r="A32" s="3" t="s">
        <v>83</v>
      </c>
      <c r="B32" s="3">
        <f>10/100</f>
        <v>0.1</v>
      </c>
      <c r="C32" s="3">
        <v>58.693356299999998</v>
      </c>
      <c r="D32">
        <f t="shared" si="12"/>
        <v>5.8693356300000001</v>
      </c>
      <c r="M32" s="3" t="s">
        <v>81</v>
      </c>
      <c r="N32" s="3" t="s">
        <v>86</v>
      </c>
      <c r="O32" s="26">
        <f t="shared" ref="O32:O39" si="13">B28*$B$3*$B$25*1E-24/$M$29</f>
        <v>5.8561438956644285E-2</v>
      </c>
    </row>
    <row r="33" spans="1:15" x14ac:dyDescent="0.25">
      <c r="A33" s="3" t="s">
        <v>99</v>
      </c>
      <c r="B33" s="3">
        <f>0.045/100</f>
        <v>4.4999999999999999E-4</v>
      </c>
      <c r="C33" s="25">
        <v>30.973761509999999</v>
      </c>
      <c r="D33">
        <f t="shared" si="12"/>
        <v>1.39381926795E-2</v>
      </c>
      <c r="M33" s="3" t="s">
        <v>95</v>
      </c>
      <c r="N33" s="3" t="s">
        <v>104</v>
      </c>
      <c r="O33" s="26">
        <f t="shared" si="13"/>
        <v>2.626269779055727E-5</v>
      </c>
    </row>
    <row r="34" spans="1:15" x14ac:dyDescent="0.25">
      <c r="A34" s="3" t="s">
        <v>100</v>
      </c>
      <c r="B34" s="3">
        <f>0.03/100</f>
        <v>2.9999999999999997E-4</v>
      </c>
      <c r="C34" s="3">
        <v>32.066084699999998</v>
      </c>
      <c r="D34">
        <f>C34*B34</f>
        <v>9.6198254099999977E-3</v>
      </c>
      <c r="M34" s="3" t="s">
        <v>82</v>
      </c>
      <c r="N34" s="3" t="s">
        <v>88</v>
      </c>
      <c r="O34" s="26">
        <f t="shared" si="13"/>
        <v>1.7508465193704852E-2</v>
      </c>
    </row>
    <row r="35" spans="1:15" x14ac:dyDescent="0.25">
      <c r="A35" s="3" t="s">
        <v>102</v>
      </c>
      <c r="B35" s="3">
        <f>1/100</f>
        <v>0.01</v>
      </c>
      <c r="C35" s="3">
        <v>28.0854128</v>
      </c>
      <c r="D35">
        <f>C35*B35</f>
        <v>0.28085412800000004</v>
      </c>
      <c r="M35" s="3" t="s">
        <v>96</v>
      </c>
      <c r="N35" s="3" t="s">
        <v>105</v>
      </c>
      <c r="O35" s="26">
        <f t="shared" si="13"/>
        <v>1.7508465193704851E-3</v>
      </c>
    </row>
    <row r="36" spans="1:15" x14ac:dyDescent="0.25">
      <c r="D36">
        <f>SUM(D28:D35)</f>
        <v>55.032952715149506</v>
      </c>
      <c r="M36" s="3" t="s">
        <v>83</v>
      </c>
      <c r="N36" s="3" t="s">
        <v>90</v>
      </c>
      <c r="O36" s="26">
        <f t="shared" si="13"/>
        <v>8.7542325968524258E-3</v>
      </c>
    </row>
    <row r="37" spans="1:15" x14ac:dyDescent="0.25">
      <c r="M37" s="3" t="s">
        <v>99</v>
      </c>
      <c r="N37" s="3" t="s">
        <v>106</v>
      </c>
      <c r="O37" s="26">
        <f t="shared" si="13"/>
        <v>3.9394046685835918E-5</v>
      </c>
    </row>
    <row r="38" spans="1:15" x14ac:dyDescent="0.25">
      <c r="M38" s="3" t="s">
        <v>100</v>
      </c>
      <c r="N38" s="3" t="s">
        <v>107</v>
      </c>
      <c r="O38" s="26">
        <f t="shared" si="13"/>
        <v>2.626269779055727E-5</v>
      </c>
    </row>
    <row r="39" spans="1:15" x14ac:dyDescent="0.25">
      <c r="M39" s="3" t="s">
        <v>102</v>
      </c>
      <c r="N39" s="3" t="s">
        <v>108</v>
      </c>
      <c r="O39" s="26">
        <f t="shared" si="13"/>
        <v>8.7542325968524256E-4</v>
      </c>
    </row>
  </sheetData>
  <mergeCells count="32">
    <mergeCell ref="A12:C12"/>
    <mergeCell ref="B13:C13"/>
    <mergeCell ref="J9:O9"/>
    <mergeCell ref="A23:C23"/>
    <mergeCell ref="B24:C24"/>
    <mergeCell ref="F19:G19"/>
    <mergeCell ref="F22:H22"/>
    <mergeCell ref="F11:H11"/>
    <mergeCell ref="M27:N27"/>
    <mergeCell ref="AD11:AE11"/>
    <mergeCell ref="A1:D1"/>
    <mergeCell ref="F8:G8"/>
    <mergeCell ref="L3:S3"/>
    <mergeCell ref="F3:I3"/>
    <mergeCell ref="F4:F5"/>
    <mergeCell ref="G4:G5"/>
    <mergeCell ref="H4:H5"/>
    <mergeCell ref="I4:I5"/>
    <mergeCell ref="J4:J5"/>
    <mergeCell ref="K4:K5"/>
    <mergeCell ref="L11:M11"/>
    <mergeCell ref="R10:S10"/>
    <mergeCell ref="R11:S11"/>
    <mergeCell ref="X10:Y10"/>
    <mergeCell ref="T4:T6"/>
    <mergeCell ref="X11:Y11"/>
    <mergeCell ref="J8:AG8"/>
    <mergeCell ref="P9:U9"/>
    <mergeCell ref="V9:AA9"/>
    <mergeCell ref="AB9:AG9"/>
    <mergeCell ref="L10:M10"/>
    <mergeCell ref="AD10:AE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1"/>
  <sheetViews>
    <sheetView topLeftCell="Q1" zoomScale="80" zoomScaleNormal="80" workbookViewId="0">
      <selection activeCell="AA4" sqref="AA4:AO6"/>
    </sheetView>
  </sheetViews>
  <sheetFormatPr defaultRowHeight="15" x14ac:dyDescent="0.25"/>
  <cols>
    <col min="1" max="1" width="26" bestFit="1" customWidth="1"/>
    <col min="2" max="2" width="13" bestFit="1" customWidth="1"/>
    <col min="3" max="3" width="13.5703125" bestFit="1" customWidth="1"/>
    <col min="4" max="4" width="13" bestFit="1" customWidth="1"/>
    <col min="6" max="6" width="9.28515625" bestFit="1" customWidth="1"/>
    <col min="7" max="7" width="11" bestFit="1" customWidth="1"/>
    <col min="8" max="8" width="14" bestFit="1" customWidth="1"/>
    <col min="9" max="9" width="9.28515625" bestFit="1" customWidth="1"/>
    <col min="10" max="10" width="13" bestFit="1" customWidth="1"/>
    <col min="11" max="11" width="15.7109375" bestFit="1" customWidth="1"/>
    <col min="12" max="28" width="13.140625" bestFit="1" customWidth="1"/>
    <col min="29" max="29" width="10.85546875" bestFit="1" customWidth="1"/>
    <col min="31" max="31" width="13.42578125" bestFit="1" customWidth="1"/>
    <col min="32" max="32" width="10.28515625" bestFit="1" customWidth="1"/>
    <col min="33" max="33" width="13.140625" bestFit="1" customWidth="1"/>
  </cols>
  <sheetData>
    <row r="1" spans="1:41" x14ac:dyDescent="0.25">
      <c r="A1" s="161" t="s">
        <v>34</v>
      </c>
      <c r="B1" s="161"/>
      <c r="C1" s="161"/>
      <c r="D1" s="161"/>
    </row>
    <row r="2" spans="1:41" x14ac:dyDescent="0.25">
      <c r="A2" s="1" t="s">
        <v>35</v>
      </c>
      <c r="B2" s="1" t="s">
        <v>36</v>
      </c>
      <c r="C2" s="1" t="s">
        <v>37</v>
      </c>
      <c r="D2" s="1" t="s">
        <v>38</v>
      </c>
    </row>
    <row r="3" spans="1:41" x14ac:dyDescent="0.25">
      <c r="A3" s="3" t="s">
        <v>39</v>
      </c>
      <c r="B3" s="11">
        <v>6.0221408570000002E+23</v>
      </c>
      <c r="C3" s="3" t="s">
        <v>40</v>
      </c>
      <c r="D3" s="3" t="s">
        <v>41</v>
      </c>
      <c r="F3" s="160" t="s">
        <v>27</v>
      </c>
      <c r="G3" s="160"/>
      <c r="H3" s="160"/>
      <c r="I3" s="160"/>
      <c r="J3" s="211" t="s">
        <v>58</v>
      </c>
      <c r="K3" s="212"/>
      <c r="L3" s="160" t="s">
        <v>111</v>
      </c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</row>
    <row r="4" spans="1:41" x14ac:dyDescent="0.25">
      <c r="A4" s="3" t="s">
        <v>44</v>
      </c>
      <c r="B4" s="3">
        <v>772.03899999999999</v>
      </c>
      <c r="C4" s="3" t="s">
        <v>45</v>
      </c>
      <c r="D4" s="3"/>
      <c r="F4" s="159" t="s">
        <v>115</v>
      </c>
      <c r="G4" s="159" t="s">
        <v>116</v>
      </c>
      <c r="H4" s="159" t="s">
        <v>113</v>
      </c>
      <c r="I4" s="159" t="s">
        <v>114</v>
      </c>
      <c r="J4" s="159" t="s">
        <v>141</v>
      </c>
      <c r="K4" s="205" t="s">
        <v>72</v>
      </c>
      <c r="L4" s="1" t="s">
        <v>62</v>
      </c>
      <c r="M4" s="1" t="s">
        <v>64</v>
      </c>
      <c r="N4" s="2" t="s">
        <v>53</v>
      </c>
      <c r="O4" s="2" t="s">
        <v>54</v>
      </c>
      <c r="P4" s="2" t="s">
        <v>55</v>
      </c>
      <c r="Q4" s="2" t="s">
        <v>56</v>
      </c>
      <c r="R4" s="2" t="s">
        <v>57</v>
      </c>
      <c r="S4" s="2" t="s">
        <v>126</v>
      </c>
      <c r="T4" s="2" t="s">
        <v>127</v>
      </c>
      <c r="U4" s="2" t="s">
        <v>128</v>
      </c>
      <c r="V4" s="2" t="s">
        <v>129</v>
      </c>
      <c r="W4" s="2" t="s">
        <v>130</v>
      </c>
      <c r="X4" s="2" t="s">
        <v>131</v>
      </c>
      <c r="Y4" s="2" t="s">
        <v>132</v>
      </c>
      <c r="Z4" s="1" t="s">
        <v>66</v>
      </c>
      <c r="AA4" s="210" t="s">
        <v>387</v>
      </c>
      <c r="AB4" s="146" t="s">
        <v>62</v>
      </c>
      <c r="AC4" s="146" t="s">
        <v>64</v>
      </c>
      <c r="AD4" s="2" t="s">
        <v>53</v>
      </c>
      <c r="AE4" s="2" t="s">
        <v>54</v>
      </c>
      <c r="AF4" s="2" t="s">
        <v>55</v>
      </c>
      <c r="AG4" s="2" t="s">
        <v>56</v>
      </c>
      <c r="AH4" s="2" t="s">
        <v>57</v>
      </c>
      <c r="AI4" s="150" t="s">
        <v>126</v>
      </c>
      <c r="AJ4" s="2" t="s">
        <v>127</v>
      </c>
      <c r="AK4" s="2" t="s">
        <v>128</v>
      </c>
      <c r="AL4" s="2" t="s">
        <v>129</v>
      </c>
      <c r="AM4" s="2" t="s">
        <v>130</v>
      </c>
      <c r="AN4" s="2" t="s">
        <v>131</v>
      </c>
      <c r="AO4" s="2" t="s">
        <v>132</v>
      </c>
    </row>
    <row r="5" spans="1:41" x14ac:dyDescent="0.25">
      <c r="A5" s="12" t="s">
        <v>46</v>
      </c>
      <c r="B5" s="3">
        <v>0.75320399999999998</v>
      </c>
      <c r="C5" s="3" t="s">
        <v>42</v>
      </c>
      <c r="D5" s="3"/>
      <c r="F5" s="159"/>
      <c r="G5" s="159"/>
      <c r="H5" s="159"/>
      <c r="I5" s="159"/>
      <c r="J5" s="159"/>
      <c r="K5" s="206"/>
      <c r="L5" s="1" t="s">
        <v>63</v>
      </c>
      <c r="M5" s="1" t="s">
        <v>65</v>
      </c>
      <c r="N5" s="1" t="s">
        <v>117</v>
      </c>
      <c r="O5" s="1" t="s">
        <v>118</v>
      </c>
      <c r="P5" s="1" t="s">
        <v>119</v>
      </c>
      <c r="Q5" s="1" t="s">
        <v>120</v>
      </c>
      <c r="R5" s="1" t="s">
        <v>121</v>
      </c>
      <c r="S5" s="2" t="s">
        <v>134</v>
      </c>
      <c r="T5" s="1" t="s">
        <v>135</v>
      </c>
      <c r="U5" s="1" t="s">
        <v>136</v>
      </c>
      <c r="V5" s="1" t="s">
        <v>137</v>
      </c>
      <c r="W5" s="1" t="s">
        <v>138</v>
      </c>
      <c r="X5" s="1" t="s">
        <v>139</v>
      </c>
      <c r="Y5" s="1" t="s">
        <v>140</v>
      </c>
      <c r="Z5" s="1" t="s">
        <v>67</v>
      </c>
      <c r="AA5" s="210"/>
      <c r="AB5" s="146" t="s">
        <v>63</v>
      </c>
      <c r="AC5" s="146" t="s">
        <v>65</v>
      </c>
      <c r="AD5" s="146" t="s">
        <v>117</v>
      </c>
      <c r="AE5" s="146" t="s">
        <v>118</v>
      </c>
      <c r="AF5" s="146" t="s">
        <v>119</v>
      </c>
      <c r="AG5" s="146" t="s">
        <v>120</v>
      </c>
      <c r="AH5" s="146" t="s">
        <v>121</v>
      </c>
      <c r="AI5" s="150" t="s">
        <v>134</v>
      </c>
      <c r="AJ5" s="146" t="s">
        <v>135</v>
      </c>
      <c r="AK5" s="146" t="s">
        <v>136</v>
      </c>
      <c r="AL5" s="146" t="s">
        <v>137</v>
      </c>
      <c r="AM5" s="146" t="s">
        <v>138</v>
      </c>
      <c r="AN5" s="146" t="s">
        <v>139</v>
      </c>
      <c r="AO5" s="146" t="s">
        <v>140</v>
      </c>
    </row>
    <row r="6" spans="1:41" x14ac:dyDescent="0.25">
      <c r="A6" s="3" t="s">
        <v>47</v>
      </c>
      <c r="B6" s="3">
        <v>557.03899999999999</v>
      </c>
      <c r="C6" s="3" t="s">
        <v>45</v>
      </c>
      <c r="D6" s="3"/>
      <c r="F6" s="3">
        <v>12</v>
      </c>
      <c r="G6" s="3">
        <f t="shared" ref="G6" si="0">100-F6</f>
        <v>88</v>
      </c>
      <c r="H6" s="3">
        <v>7.1999999999999998E-3</v>
      </c>
      <c r="I6" s="3">
        <f t="shared" ref="I6" si="1">1-H6</f>
        <v>0.99280000000000002</v>
      </c>
      <c r="J6" s="3">
        <f>'Fraksi Volume'!I14</f>
        <v>270.96331379065765</v>
      </c>
      <c r="K6" s="34">
        <f>'Fraksi Volume'!S14</f>
        <v>10.536451027630475</v>
      </c>
      <c r="L6" s="34">
        <f>$B$24*G6/100*H6*K6*$B$3/J6*1E-24</f>
        <v>1.4719917827056699E-4</v>
      </c>
      <c r="M6" s="34">
        <f>$B$24*G6/100*I6*K6*$B$3/J6*1E-24</f>
        <v>2.0297131137085964E-2</v>
      </c>
      <c r="N6" s="34">
        <f>$B$24*F6/100*$B$16*K6*$B$3/J6*1E-24</f>
        <v>1.2824170834178184E-4</v>
      </c>
      <c r="O6" s="34">
        <f>$B$24*F6/100*$B$17*K6*$B$3/J6*1E-24</f>
        <v>1.4078709285347789E-3</v>
      </c>
      <c r="P6" s="34">
        <f>$B$24*F6/100*$B$18*K6*$B$3/J6*1E-24</f>
        <v>6.6908717395712275E-4</v>
      </c>
      <c r="Q6" s="34">
        <f>$B$24*F6/100*$B$19*K6*$B$3/J6*1E-24</f>
        <v>3.4848290310266812E-4</v>
      </c>
      <c r="R6" s="34">
        <f>$B$24*F6/100*$B$20*K6*$B$3/J6*1E-24</f>
        <v>2.3418051088499296E-4</v>
      </c>
      <c r="S6" s="76">
        <f>2*$B$25*$B$31*K6*$B$3/J6*1E-24</f>
        <v>7.3998318301544278E-7</v>
      </c>
      <c r="T6" s="34">
        <f>2*$B$25*$B$32*K6*$B$3/J6*1E-24</f>
        <v>8.0658166948683271E-6</v>
      </c>
      <c r="U6" s="34">
        <f>2*$B$25*$B$33*K6*$B$3/J6*1E-24</f>
        <v>5.4758755543142773E-5</v>
      </c>
      <c r="V6" s="34">
        <f>2*$B$25*$B$34*K6*$B$3/J6*1E-24</f>
        <v>7.5737278781630576E-5</v>
      </c>
      <c r="W6" s="34">
        <f>2*$B$25*$B$35*K6*$B$3/J6*1E-24</f>
        <v>5.7903684070958398E-5</v>
      </c>
      <c r="X6" s="34">
        <f>2*$B$25*$B$36*K6*$B$3/J6*1E-24</f>
        <v>9.1905911330517989E-5</v>
      </c>
      <c r="Y6" s="34">
        <f>2*$B$25*$B$37*K6*$B$3/J6*1E-24</f>
        <v>8.0880161903587892E-5</v>
      </c>
      <c r="Z6" s="34">
        <f>7*((2*$B$24)+(3*$B$25))*$B$3*K6/J6*1E-24</f>
        <v>0.32913562127332124</v>
      </c>
      <c r="AA6" s="210"/>
      <c r="AB6" s="34">
        <f>L6*'HD FIX'!$B$18</f>
        <v>4.3469474547671327E-5</v>
      </c>
      <c r="AC6" s="34">
        <f>M6*'HD FIX'!$B$18</f>
        <v>5.9939575459622366E-3</v>
      </c>
      <c r="AD6" s="34">
        <f>N6*'HD FIX'!$B$18</f>
        <v>3.787113312865305E-5</v>
      </c>
      <c r="AE6" s="34">
        <f>O6*'HD FIX'!$B$18</f>
        <v>4.1575917891238672E-4</v>
      </c>
      <c r="AF6" s="34">
        <f>P6*'HD FIX'!$B$18</f>
        <v>1.9758852067123335E-4</v>
      </c>
      <c r="AG6" s="34">
        <f>Q6*'HD FIX'!$B$18</f>
        <v>1.029106878496007E-4</v>
      </c>
      <c r="AH6" s="34">
        <f>R6*'HD FIX'!$B$18</f>
        <v>6.9155982234931666E-5</v>
      </c>
      <c r="AI6" s="34">
        <f>S6*'HD FIX'!$B$18</f>
        <v>2.1852486214745704E-7</v>
      </c>
      <c r="AJ6" s="34">
        <f>T6*'HD FIX'!$B$18</f>
        <v>2.3819209974072821E-6</v>
      </c>
      <c r="AK6" s="34">
        <f>U6*'HD FIX'!$B$18</f>
        <v>1.6170839798911824E-5</v>
      </c>
      <c r="AL6" s="34">
        <f>V6*'HD FIX'!$B$18</f>
        <v>2.236601964079223E-5</v>
      </c>
      <c r="AM6" s="34">
        <f>W6*'HD FIX'!$B$18</f>
        <v>1.7099570463038512E-5</v>
      </c>
      <c r="AN6" s="34">
        <f>X6*'HD FIX'!$B$18</f>
        <v>2.7140787878714162E-5</v>
      </c>
      <c r="AO6" s="34">
        <f>Y6*'HD FIX'!$B$18</f>
        <v>2.3884767432717052E-5</v>
      </c>
    </row>
    <row r="7" spans="1:41" x14ac:dyDescent="0.25">
      <c r="A7" s="12" t="s">
        <v>48</v>
      </c>
      <c r="B7" s="3">
        <v>9.0273999999999997E-3</v>
      </c>
      <c r="C7" s="3" t="s">
        <v>42</v>
      </c>
      <c r="D7" s="3" t="s">
        <v>41</v>
      </c>
    </row>
    <row r="8" spans="1:41" x14ac:dyDescent="0.25">
      <c r="A8" s="12" t="s">
        <v>49</v>
      </c>
      <c r="B8" s="103">
        <v>739.20935368907362</v>
      </c>
      <c r="C8" s="12" t="s">
        <v>45</v>
      </c>
      <c r="D8" s="12"/>
      <c r="F8" s="202" t="s">
        <v>68</v>
      </c>
      <c r="G8" s="204"/>
      <c r="H8" s="17" t="s">
        <v>69</v>
      </c>
      <c r="J8" s="160" t="s">
        <v>209</v>
      </c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</row>
    <row r="9" spans="1:41" x14ac:dyDescent="0.25">
      <c r="A9" s="3" t="s">
        <v>50</v>
      </c>
      <c r="B9" s="3">
        <v>1850</v>
      </c>
      <c r="C9" s="3" t="s">
        <v>51</v>
      </c>
      <c r="D9" s="3"/>
      <c r="F9" s="23" t="s">
        <v>70</v>
      </c>
      <c r="G9" s="18"/>
      <c r="H9" s="19"/>
      <c r="J9" s="199" t="s">
        <v>165</v>
      </c>
      <c r="K9" s="200"/>
      <c r="L9" s="200"/>
      <c r="M9" s="200"/>
      <c r="N9" s="200"/>
      <c r="O9" s="201"/>
      <c r="P9" s="199" t="s">
        <v>210</v>
      </c>
      <c r="Q9" s="200"/>
      <c r="R9" s="200"/>
      <c r="S9" s="200"/>
      <c r="T9" s="200"/>
      <c r="U9" s="201"/>
      <c r="V9" s="199" t="s">
        <v>213</v>
      </c>
      <c r="W9" s="200"/>
      <c r="X9" s="200"/>
      <c r="Y9" s="200"/>
      <c r="Z9" s="200"/>
      <c r="AA9" s="201"/>
      <c r="AB9" s="199" t="s">
        <v>215</v>
      </c>
      <c r="AC9" s="200"/>
      <c r="AD9" s="200"/>
      <c r="AE9" s="200"/>
      <c r="AF9" s="200"/>
      <c r="AG9" s="201"/>
    </row>
    <row r="10" spans="1:41" x14ac:dyDescent="0.25">
      <c r="A10" s="12" t="s">
        <v>52</v>
      </c>
      <c r="B10" s="103">
        <v>645.57216968162379</v>
      </c>
      <c r="C10" s="12" t="s">
        <v>45</v>
      </c>
      <c r="D10" s="12"/>
      <c r="F10" s="3">
        <v>4.0026018980937002</v>
      </c>
      <c r="G10" s="15"/>
      <c r="H10" s="19"/>
      <c r="J10" s="36" t="s">
        <v>79</v>
      </c>
      <c r="K10" s="18"/>
      <c r="L10" s="160" t="s">
        <v>208</v>
      </c>
      <c r="M10" s="160"/>
      <c r="N10" s="15"/>
      <c r="O10" s="19"/>
      <c r="P10" s="36" t="s">
        <v>79</v>
      </c>
      <c r="Q10" s="18"/>
      <c r="R10" s="160" t="s">
        <v>208</v>
      </c>
      <c r="S10" s="160"/>
      <c r="T10" s="15"/>
      <c r="U10" s="19"/>
      <c r="V10" s="36" t="s">
        <v>79</v>
      </c>
      <c r="W10" s="18"/>
      <c r="X10" s="160" t="s">
        <v>208</v>
      </c>
      <c r="Y10" s="160"/>
      <c r="Z10" s="15"/>
      <c r="AA10" s="19"/>
      <c r="AB10" s="36" t="s">
        <v>79</v>
      </c>
      <c r="AC10" s="18"/>
      <c r="AD10" s="160" t="s">
        <v>208</v>
      </c>
      <c r="AE10" s="160"/>
      <c r="AF10" s="15"/>
      <c r="AG10" s="19"/>
    </row>
    <row r="11" spans="1:41" x14ac:dyDescent="0.25">
      <c r="A11" s="3" t="s">
        <v>142</v>
      </c>
      <c r="B11" s="3">
        <v>7.41</v>
      </c>
      <c r="C11" s="3" t="s">
        <v>42</v>
      </c>
      <c r="D11" s="3"/>
      <c r="F11" s="207"/>
      <c r="G11" s="208"/>
      <c r="H11" s="209"/>
      <c r="J11" s="3">
        <f>SUM(M13:M17)</f>
        <v>91.524026957999979</v>
      </c>
      <c r="K11" s="15"/>
      <c r="L11" s="161">
        <v>6.5508899999999999</v>
      </c>
      <c r="M11" s="161"/>
      <c r="N11" s="15"/>
      <c r="O11" s="40"/>
      <c r="P11" s="3">
        <f>SUM(S13:S20)</f>
        <v>56.30490907442119</v>
      </c>
      <c r="Q11" s="15"/>
      <c r="R11" s="161">
        <v>7.99</v>
      </c>
      <c r="S11" s="161"/>
      <c r="T11" s="15"/>
      <c r="U11" s="40"/>
      <c r="V11" s="3">
        <f>SUM(Y13:Y21)</f>
        <v>56.254944744770604</v>
      </c>
      <c r="W11" s="15"/>
      <c r="X11" s="161">
        <v>7.74</v>
      </c>
      <c r="Y11" s="161"/>
      <c r="Z11" s="15"/>
      <c r="AA11" s="40"/>
      <c r="AB11" s="3">
        <f>SUM(AE13:AE22)</f>
        <v>91.197073234029602</v>
      </c>
      <c r="AC11" s="15"/>
      <c r="AD11" s="161">
        <v>6.57</v>
      </c>
      <c r="AE11" s="161"/>
      <c r="AF11" s="15"/>
      <c r="AG11" s="40"/>
    </row>
    <row r="12" spans="1:41" x14ac:dyDescent="0.25">
      <c r="F12" s="23" t="s">
        <v>59</v>
      </c>
      <c r="G12" s="23" t="s">
        <v>60</v>
      </c>
      <c r="H12" s="23" t="s">
        <v>61</v>
      </c>
      <c r="J12" s="36" t="s">
        <v>59</v>
      </c>
      <c r="K12" s="36" t="s">
        <v>76</v>
      </c>
      <c r="L12" s="36" t="s">
        <v>77</v>
      </c>
      <c r="M12" s="36" t="s">
        <v>207</v>
      </c>
      <c r="N12" s="36" t="s">
        <v>60</v>
      </c>
      <c r="O12" s="36" t="s">
        <v>61</v>
      </c>
      <c r="P12" s="36" t="s">
        <v>59</v>
      </c>
      <c r="Q12" s="36" t="s">
        <v>76</v>
      </c>
      <c r="R12" s="36" t="s">
        <v>77</v>
      </c>
      <c r="S12" s="36" t="s">
        <v>207</v>
      </c>
      <c r="T12" s="36" t="s">
        <v>60</v>
      </c>
      <c r="U12" s="36" t="s">
        <v>61</v>
      </c>
      <c r="V12" s="36" t="s">
        <v>59</v>
      </c>
      <c r="W12" s="36" t="s">
        <v>76</v>
      </c>
      <c r="X12" s="36" t="s">
        <v>77</v>
      </c>
      <c r="Y12" s="36" t="s">
        <v>207</v>
      </c>
      <c r="Z12" s="36" t="s">
        <v>60</v>
      </c>
      <c r="AA12" s="36" t="s">
        <v>61</v>
      </c>
      <c r="AB12" s="36" t="s">
        <v>59</v>
      </c>
      <c r="AC12" s="36" t="s">
        <v>76</v>
      </c>
      <c r="AD12" s="36" t="s">
        <v>77</v>
      </c>
      <c r="AE12" s="36" t="s">
        <v>207</v>
      </c>
      <c r="AF12" s="36" t="s">
        <v>60</v>
      </c>
      <c r="AG12" s="36" t="s">
        <v>61</v>
      </c>
    </row>
    <row r="13" spans="1:41" x14ac:dyDescent="0.25">
      <c r="A13" s="161" t="s">
        <v>109</v>
      </c>
      <c r="B13" s="161"/>
      <c r="C13" s="161"/>
      <c r="F13" s="3" t="s">
        <v>73</v>
      </c>
      <c r="G13" s="3" t="s">
        <v>74</v>
      </c>
      <c r="H13" s="16">
        <f>B3*B7/F10*1E-24</f>
        <v>1.3582233696129912E-3</v>
      </c>
      <c r="J13" s="3" t="s">
        <v>78</v>
      </c>
      <c r="K13" s="21">
        <v>0.98192999999999997</v>
      </c>
      <c r="L13" s="21">
        <v>91.224000000000004</v>
      </c>
      <c r="M13" s="3">
        <f>K13*L13</f>
        <v>89.575582319999995</v>
      </c>
      <c r="N13" s="3" t="s">
        <v>84</v>
      </c>
      <c r="O13" s="16">
        <f>$B$3*$L$11*K13*1E-24/$J$11</f>
        <v>4.2324966675679684E-2</v>
      </c>
      <c r="P13" s="3" t="s">
        <v>83</v>
      </c>
      <c r="Q13" s="21">
        <v>0.155</v>
      </c>
      <c r="R13" s="3">
        <v>58.693356299999998</v>
      </c>
      <c r="S13" s="3">
        <f>Q13*R13</f>
        <v>9.0974702265000005</v>
      </c>
      <c r="T13" s="3" t="s">
        <v>90</v>
      </c>
      <c r="U13" s="16">
        <f>$B$3*$R$11*Q13*1E-24/$P$11</f>
        <v>1.3245950427686256E-2</v>
      </c>
      <c r="V13" s="3" t="s">
        <v>83</v>
      </c>
      <c r="W13" s="21">
        <v>5.0000000000000001E-3</v>
      </c>
      <c r="X13" s="3">
        <v>58.693356299999998</v>
      </c>
      <c r="Y13" s="3">
        <f>W13*X13</f>
        <v>0.2934667815</v>
      </c>
      <c r="Z13" s="3" t="s">
        <v>90</v>
      </c>
      <c r="AA13" s="16">
        <f>$B$3*$X$11*W13*1E-24/$V$11</f>
        <v>4.1428687242211657E-4</v>
      </c>
      <c r="AB13" s="3" t="s">
        <v>78</v>
      </c>
      <c r="AC13" s="21">
        <v>0.97396000000000005</v>
      </c>
      <c r="AD13" s="21">
        <v>91.224000000000004</v>
      </c>
      <c r="AE13" s="3">
        <f>AC13*AD13</f>
        <v>88.848527040000008</v>
      </c>
      <c r="AF13" s="3" t="s">
        <v>84</v>
      </c>
      <c r="AG13" s="16">
        <f>$B$3*$AD$11*AC13*1E-24/$AB$11</f>
        <v>4.2254843652483449E-2</v>
      </c>
    </row>
    <row r="14" spans="1:41" x14ac:dyDescent="0.25">
      <c r="A14" s="12" t="s">
        <v>2</v>
      </c>
      <c r="B14" s="160" t="s">
        <v>110</v>
      </c>
      <c r="C14" s="160"/>
      <c r="J14" s="3" t="s">
        <v>80</v>
      </c>
      <c r="K14" s="21">
        <v>1.4999999999999999E-2</v>
      </c>
      <c r="L14" s="21">
        <v>118.71</v>
      </c>
      <c r="M14" s="3">
        <f t="shared" ref="M14:M17" si="2">K14*L14</f>
        <v>1.7806499999999998</v>
      </c>
      <c r="N14" s="3" t="s">
        <v>85</v>
      </c>
      <c r="O14" s="16">
        <f>$B$3*$L$11*K14*1E-24/$J$11</f>
        <v>6.4655779957348823E-4</v>
      </c>
      <c r="P14" s="3" t="s">
        <v>82</v>
      </c>
      <c r="Q14" s="21">
        <v>0.13500000000000001</v>
      </c>
      <c r="R14" s="3">
        <v>51.996137500000003</v>
      </c>
      <c r="S14" s="3">
        <f t="shared" ref="S14:S16" si="3">Q14*R14</f>
        <v>7.0194785625000007</v>
      </c>
      <c r="T14" s="3" t="s">
        <v>88</v>
      </c>
      <c r="U14" s="16">
        <f t="shared" ref="U14:U20" si="4">$B$3*$R$11*Q14*1E-24/$P$11</f>
        <v>1.1536795533791253E-2</v>
      </c>
      <c r="V14" s="3" t="s">
        <v>82</v>
      </c>
      <c r="W14" s="21">
        <v>0.12</v>
      </c>
      <c r="X14" s="3">
        <v>51.996137500000003</v>
      </c>
      <c r="Y14" s="3">
        <f>W14*X14</f>
        <v>6.2395364999999998</v>
      </c>
      <c r="Z14" s="3" t="s">
        <v>88</v>
      </c>
      <c r="AA14" s="16">
        <f t="shared" ref="AA14:AA21" si="5">$B$3*$X$11*W14*1E-24/$V$11</f>
        <v>9.9428849381307995E-3</v>
      </c>
      <c r="AB14" s="3" t="s">
        <v>216</v>
      </c>
      <c r="AC14" s="21">
        <v>2.5000000000000001E-2</v>
      </c>
      <c r="AD14">
        <v>92.906369999999995</v>
      </c>
      <c r="AE14" s="3">
        <f t="shared" ref="AE14:AE22" si="6">AC14*AD14</f>
        <v>2.3226592500000001</v>
      </c>
      <c r="AF14" s="3" t="s">
        <v>223</v>
      </c>
      <c r="AG14" s="16">
        <f t="shared" ref="AG14:AG22" si="7">$B$3*$AD$11*AC14*1E-24/$AB$11</f>
        <v>1.0846144516325992E-3</v>
      </c>
    </row>
    <row r="15" spans="1:41" x14ac:dyDescent="0.25">
      <c r="A15" s="1" t="s">
        <v>75</v>
      </c>
      <c r="B15" s="23" t="s">
        <v>76</v>
      </c>
      <c r="C15" s="23" t="s">
        <v>77</v>
      </c>
      <c r="J15" s="3" t="s">
        <v>81</v>
      </c>
      <c r="K15" s="21">
        <v>2E-3</v>
      </c>
      <c r="L15" s="21">
        <v>55.844999999999999</v>
      </c>
      <c r="M15" s="3">
        <f t="shared" si="2"/>
        <v>0.11169</v>
      </c>
      <c r="N15" s="3" t="s">
        <v>86</v>
      </c>
      <c r="O15" s="16">
        <f t="shared" ref="O15:O17" si="8">$B$3*$L$11*K15*1E-24/$J$11</f>
        <v>8.6207706609798434E-5</v>
      </c>
      <c r="P15" s="3" t="s">
        <v>96</v>
      </c>
      <c r="Q15" s="21">
        <v>0.02</v>
      </c>
      <c r="R15" s="25">
        <v>54.938049599999999</v>
      </c>
      <c r="S15" s="3">
        <f t="shared" si="3"/>
        <v>1.0987609920000001</v>
      </c>
      <c r="T15" s="3" t="s">
        <v>105</v>
      </c>
      <c r="U15" s="16">
        <f t="shared" si="4"/>
        <v>1.7091548938950004E-3</v>
      </c>
      <c r="V15" s="3" t="s">
        <v>96</v>
      </c>
      <c r="W15" s="21">
        <v>2E-3</v>
      </c>
      <c r="X15" s="25">
        <v>54.938049599999999</v>
      </c>
      <c r="Y15" s="3">
        <f>W15*X15</f>
        <v>0.10987609920000001</v>
      </c>
      <c r="Z15" s="3" t="s">
        <v>105</v>
      </c>
      <c r="AA15" s="16">
        <f t="shared" si="5"/>
        <v>1.6571474896884662E-4</v>
      </c>
      <c r="AB15" s="3" t="s">
        <v>81</v>
      </c>
      <c r="AC15" s="21">
        <v>1.4999999999999999E-4</v>
      </c>
      <c r="AD15" s="3">
        <v>55.845150199999999</v>
      </c>
      <c r="AE15" s="3">
        <f>AC15*AD15</f>
        <v>8.3767725299999998E-3</v>
      </c>
      <c r="AF15" s="3" t="s">
        <v>86</v>
      </c>
      <c r="AG15" s="16">
        <f t="shared" si="7"/>
        <v>6.5076867097955938E-6</v>
      </c>
    </row>
    <row r="16" spans="1:41" x14ac:dyDescent="0.25">
      <c r="A16" s="12" t="s">
        <v>53</v>
      </c>
      <c r="B16" s="3">
        <f>4.6/100</f>
        <v>4.5999999999999999E-2</v>
      </c>
      <c r="C16" s="3">
        <v>238.04955989999999</v>
      </c>
      <c r="D16">
        <f>B16*C16</f>
        <v>10.950279755399999</v>
      </c>
      <c r="J16" s="3" t="s">
        <v>82</v>
      </c>
      <c r="K16" s="21">
        <v>1E-3</v>
      </c>
      <c r="L16" s="21">
        <v>51.996099999999998</v>
      </c>
      <c r="M16" s="3">
        <f t="shared" si="2"/>
        <v>5.1996099999999996E-2</v>
      </c>
      <c r="N16" s="3" t="s">
        <v>88</v>
      </c>
      <c r="O16" s="16">
        <f t="shared" si="8"/>
        <v>4.3103853304899217E-5</v>
      </c>
      <c r="P16" s="3" t="s">
        <v>211</v>
      </c>
      <c r="Q16" s="21">
        <v>0.02</v>
      </c>
      <c r="R16" s="44">
        <v>95.931291557059993</v>
      </c>
      <c r="S16" s="3">
        <f t="shared" si="3"/>
        <v>1.9186258311411999</v>
      </c>
      <c r="T16" s="3" t="s">
        <v>218</v>
      </c>
      <c r="U16" s="16">
        <f t="shared" si="4"/>
        <v>1.7091548938950004E-3</v>
      </c>
      <c r="V16" s="3" t="s">
        <v>211</v>
      </c>
      <c r="W16" s="21">
        <v>0.01</v>
      </c>
      <c r="X16" s="44">
        <v>95.931291557059993</v>
      </c>
      <c r="Y16" s="3">
        <f t="shared" ref="Y16:Y21" si="9">W16*X16</f>
        <v>0.95931291557059994</v>
      </c>
      <c r="Z16" s="3" t="s">
        <v>218</v>
      </c>
      <c r="AA16" s="16">
        <f t="shared" si="5"/>
        <v>8.2857374484423315E-4</v>
      </c>
      <c r="AB16" s="3" t="s">
        <v>83</v>
      </c>
      <c r="AC16" s="21">
        <v>6.9999999999999994E-5</v>
      </c>
      <c r="AD16" s="3">
        <v>58.693356299999998</v>
      </c>
      <c r="AE16" s="3">
        <f>AC16*AD16</f>
        <v>4.1085349409999998E-3</v>
      </c>
      <c r="AF16" s="3" t="s">
        <v>90</v>
      </c>
      <c r="AG16" s="16">
        <f t="shared" si="7"/>
        <v>3.0369204645712769E-6</v>
      </c>
    </row>
    <row r="17" spans="1:33" x14ac:dyDescent="0.25">
      <c r="A17" s="12" t="s">
        <v>54</v>
      </c>
      <c r="B17" s="3">
        <f>50.5/100</f>
        <v>0.505</v>
      </c>
      <c r="C17" s="3">
        <v>239.05216340000001</v>
      </c>
      <c r="D17">
        <f>B17*C17</f>
        <v>120.72134251700001</v>
      </c>
      <c r="J17" s="3" t="s">
        <v>83</v>
      </c>
      <c r="K17" s="21">
        <v>6.9999999999999994E-5</v>
      </c>
      <c r="L17" s="21">
        <v>58.693399999999997</v>
      </c>
      <c r="M17" s="3">
        <f t="shared" si="2"/>
        <v>4.1085379999999993E-3</v>
      </c>
      <c r="N17" s="3" t="s">
        <v>90</v>
      </c>
      <c r="O17" s="16">
        <f t="shared" si="8"/>
        <v>3.0172697313429449E-6</v>
      </c>
      <c r="P17" s="3" t="s">
        <v>102</v>
      </c>
      <c r="Q17" s="21">
        <v>7.4999999999999997E-3</v>
      </c>
      <c r="R17" s="3">
        <v>28.0854128</v>
      </c>
      <c r="S17" s="3">
        <f>Q17*R17</f>
        <v>0.21064059599999999</v>
      </c>
      <c r="T17" s="3" t="s">
        <v>108</v>
      </c>
      <c r="U17" s="16">
        <f t="shared" si="4"/>
        <v>6.4093308521062512E-4</v>
      </c>
      <c r="V17" s="3" t="s">
        <v>102</v>
      </c>
      <c r="W17" s="21">
        <v>2.5000000000000001E-3</v>
      </c>
      <c r="X17" s="3">
        <v>28.0854128</v>
      </c>
      <c r="Y17" s="3">
        <f t="shared" si="9"/>
        <v>7.0213532000000009E-2</v>
      </c>
      <c r="Z17" s="3" t="s">
        <v>108</v>
      </c>
      <c r="AA17" s="16">
        <f t="shared" si="5"/>
        <v>2.0714343621105829E-4</v>
      </c>
      <c r="AB17" s="3" t="s">
        <v>212</v>
      </c>
      <c r="AC17" s="21">
        <v>3.0000000000000001E-5</v>
      </c>
      <c r="AD17">
        <v>47.866999999999997</v>
      </c>
      <c r="AE17" s="3">
        <f t="shared" si="6"/>
        <v>1.4360099999999999E-3</v>
      </c>
      <c r="AF17" s="13" t="s">
        <v>219</v>
      </c>
      <c r="AG17" s="16">
        <f t="shared" si="7"/>
        <v>1.3015373419591189E-6</v>
      </c>
    </row>
    <row r="18" spans="1:33" ht="15" customHeight="1" x14ac:dyDescent="0.25">
      <c r="A18" s="12" t="s">
        <v>55</v>
      </c>
      <c r="B18" s="3">
        <f>24/100</f>
        <v>0.24</v>
      </c>
      <c r="C18" s="3">
        <v>240.05381349999999</v>
      </c>
      <c r="D18">
        <f>B18*C18</f>
        <v>57.612915239999992</v>
      </c>
      <c r="P18" s="12" t="s">
        <v>212</v>
      </c>
      <c r="Q18" s="41">
        <v>2.5000000000000001E-3</v>
      </c>
      <c r="R18">
        <v>47.866999999999997</v>
      </c>
      <c r="S18" s="3">
        <f t="shared" ref="S18:S20" si="10">Q18*R18</f>
        <v>0.1196675</v>
      </c>
      <c r="T18" s="13" t="s">
        <v>219</v>
      </c>
      <c r="U18" s="16">
        <f t="shared" si="4"/>
        <v>2.1364436173687505E-4</v>
      </c>
      <c r="V18" s="12" t="s">
        <v>220</v>
      </c>
      <c r="W18" s="41">
        <f>0.005</f>
        <v>5.0000000000000001E-3</v>
      </c>
      <c r="X18" s="3">
        <v>183.84</v>
      </c>
      <c r="Y18" s="3">
        <f t="shared" si="9"/>
        <v>0.91920000000000002</v>
      </c>
      <c r="Z18" s="12" t="s">
        <v>221</v>
      </c>
      <c r="AA18" s="16">
        <f t="shared" si="5"/>
        <v>4.1428687242211657E-4</v>
      </c>
      <c r="AB18" s="3" t="s">
        <v>95</v>
      </c>
      <c r="AC18" s="41">
        <v>2.0000000000000001E-4</v>
      </c>
      <c r="AD18" s="3">
        <v>12.0107359</v>
      </c>
      <c r="AE18" s="3">
        <f t="shared" si="6"/>
        <v>2.40214718E-3</v>
      </c>
      <c r="AF18" s="3" t="s">
        <v>104</v>
      </c>
      <c r="AG18" s="16">
        <f t="shared" si="7"/>
        <v>8.6769156130607929E-6</v>
      </c>
    </row>
    <row r="19" spans="1:33" x14ac:dyDescent="0.25">
      <c r="A19" s="12" t="s">
        <v>56</v>
      </c>
      <c r="B19" s="3">
        <f>12.5/100</f>
        <v>0.125</v>
      </c>
      <c r="C19" s="39">
        <v>241.05685149999999</v>
      </c>
      <c r="D19">
        <f>B19*C19</f>
        <v>30.132106437499999</v>
      </c>
      <c r="P19" s="12" t="s">
        <v>95</v>
      </c>
      <c r="Q19" s="41">
        <v>4.0000000000000002E-4</v>
      </c>
      <c r="R19" s="3">
        <v>12.0107359</v>
      </c>
      <c r="S19" s="3">
        <f t="shared" si="10"/>
        <v>4.80429436E-3</v>
      </c>
      <c r="T19" s="3" t="s">
        <v>104</v>
      </c>
      <c r="U19" s="16">
        <f t="shared" si="4"/>
        <v>3.4183097877900014E-5</v>
      </c>
      <c r="V19" s="12" t="s">
        <v>214</v>
      </c>
      <c r="W19" s="41">
        <v>5.0000000000000001E-3</v>
      </c>
      <c r="X19" s="3">
        <v>50.941499999999998</v>
      </c>
      <c r="Y19" s="3">
        <f t="shared" si="9"/>
        <v>0.25470749999999998</v>
      </c>
      <c r="Z19" s="3" t="s">
        <v>222</v>
      </c>
      <c r="AA19" s="16">
        <f t="shared" si="5"/>
        <v>4.1428687242211657E-4</v>
      </c>
      <c r="AB19" s="3" t="s">
        <v>102</v>
      </c>
      <c r="AC19" s="41">
        <v>4.0000000000000003E-5</v>
      </c>
      <c r="AD19" s="42">
        <v>28.0854128</v>
      </c>
      <c r="AE19" s="3">
        <f t="shared" si="6"/>
        <v>1.123416512E-3</v>
      </c>
      <c r="AF19" s="3" t="s">
        <v>108</v>
      </c>
      <c r="AG19" s="16">
        <f t="shared" si="7"/>
        <v>1.7353831226121589E-6</v>
      </c>
    </row>
    <row r="20" spans="1:33" x14ac:dyDescent="0.25">
      <c r="A20" s="12" t="s">
        <v>57</v>
      </c>
      <c r="B20" s="3">
        <f>8.4/100</f>
        <v>8.4000000000000005E-2</v>
      </c>
      <c r="C20" s="39">
        <v>242.05874259999999</v>
      </c>
      <c r="D20">
        <f>B20*C20</f>
        <v>20.332934378400001</v>
      </c>
      <c r="F20" s="202" t="s">
        <v>31</v>
      </c>
      <c r="G20" s="203"/>
      <c r="H20" s="17" t="s">
        <v>92</v>
      </c>
      <c r="J20" s="202" t="s">
        <v>87</v>
      </c>
      <c r="K20" s="203"/>
      <c r="L20" s="23" t="s">
        <v>101</v>
      </c>
      <c r="P20" s="12" t="s">
        <v>81</v>
      </c>
      <c r="Q20" s="41">
        <v>0.65959999999999996</v>
      </c>
      <c r="R20" s="3">
        <v>55.845150199999999</v>
      </c>
      <c r="S20" s="3">
        <f t="shared" si="10"/>
        <v>36.835461071919994</v>
      </c>
      <c r="T20" s="3" t="s">
        <v>86</v>
      </c>
      <c r="U20" s="16">
        <f t="shared" si="4"/>
        <v>5.6367928400657116E-2</v>
      </c>
      <c r="V20" s="12" t="s">
        <v>95</v>
      </c>
      <c r="W20" s="41">
        <v>2E-3</v>
      </c>
      <c r="X20" s="3">
        <v>12.0107359</v>
      </c>
      <c r="Y20" s="3">
        <f t="shared" si="9"/>
        <v>2.4021471799999999E-2</v>
      </c>
      <c r="Z20" s="3" t="s">
        <v>104</v>
      </c>
      <c r="AA20" s="16">
        <f t="shared" si="5"/>
        <v>1.6571474896884662E-4</v>
      </c>
      <c r="AB20" s="3" t="s">
        <v>66</v>
      </c>
      <c r="AC20" s="41">
        <v>5.0000000000000001E-4</v>
      </c>
      <c r="AD20" s="45">
        <v>15.999404928358299</v>
      </c>
      <c r="AE20" s="3">
        <f t="shared" si="6"/>
        <v>7.9997024641791491E-3</v>
      </c>
      <c r="AF20" s="3" t="s">
        <v>67</v>
      </c>
      <c r="AG20" s="16">
        <f t="shared" si="7"/>
        <v>2.1692289032651981E-5</v>
      </c>
    </row>
    <row r="21" spans="1:33" x14ac:dyDescent="0.25">
      <c r="D21">
        <f>SUM(D16:D20)</f>
        <v>239.7495783283</v>
      </c>
      <c r="F21" s="23" t="s">
        <v>94</v>
      </c>
      <c r="G21" s="18"/>
      <c r="H21" s="22"/>
      <c r="J21" s="23" t="s">
        <v>103</v>
      </c>
      <c r="K21" s="15"/>
      <c r="L21" s="19"/>
      <c r="T21" s="15"/>
      <c r="V21" s="12" t="s">
        <v>81</v>
      </c>
      <c r="W21" s="41">
        <v>0.84850000000000003</v>
      </c>
      <c r="X21" s="3">
        <v>55.845150199999999</v>
      </c>
      <c r="Y21" s="3">
        <f t="shared" si="9"/>
        <v>47.384609944700003</v>
      </c>
      <c r="Z21" s="3" t="s">
        <v>86</v>
      </c>
      <c r="AA21" s="16">
        <f t="shared" si="5"/>
        <v>7.030448225003319E-2</v>
      </c>
      <c r="AB21" s="3" t="s">
        <v>217</v>
      </c>
      <c r="AC21" s="41">
        <v>3.0000000000000001E-5</v>
      </c>
      <c r="AD21" s="46">
        <v>14.006743093606977</v>
      </c>
      <c r="AE21" s="3">
        <f t="shared" si="6"/>
        <v>4.2020229280820932E-4</v>
      </c>
      <c r="AF21" s="3" t="s">
        <v>224</v>
      </c>
      <c r="AG21" s="16">
        <f t="shared" si="7"/>
        <v>1.3015373419591189E-6</v>
      </c>
    </row>
    <row r="22" spans="1:33" x14ac:dyDescent="0.25">
      <c r="F22" s="3">
        <f>(2*1.00790548)+15.99940493</f>
        <v>18.01521589</v>
      </c>
      <c r="G22" s="15"/>
      <c r="H22" s="19"/>
      <c r="J22" s="3">
        <f>D53</f>
        <v>55.032952715149506</v>
      </c>
      <c r="K22" s="15"/>
      <c r="L22" s="19"/>
      <c r="X22" s="43"/>
      <c r="AB22" s="3" t="s">
        <v>97</v>
      </c>
      <c r="AC22" s="41">
        <v>2.0000000000000002E-5</v>
      </c>
      <c r="AD22" s="46">
        <v>1.007905480049655</v>
      </c>
      <c r="AE22" s="3">
        <f t="shared" si="6"/>
        <v>2.0158109600993102E-5</v>
      </c>
      <c r="AF22" s="3" t="s">
        <v>225</v>
      </c>
      <c r="AG22" s="16">
        <f t="shared" si="7"/>
        <v>8.6769156130607944E-7</v>
      </c>
    </row>
    <row r="23" spans="1:33" x14ac:dyDescent="0.25">
      <c r="A23" s="197" t="s">
        <v>229</v>
      </c>
      <c r="B23" s="198"/>
      <c r="F23" s="207"/>
      <c r="G23" s="208"/>
      <c r="H23" s="209"/>
      <c r="J23" s="20"/>
      <c r="K23" s="15"/>
      <c r="L23" s="19"/>
      <c r="N23" s="160" t="s">
        <v>379</v>
      </c>
      <c r="O23" s="160"/>
      <c r="P23" s="160"/>
      <c r="Q23" s="160"/>
      <c r="R23" s="160"/>
    </row>
    <row r="24" spans="1:33" x14ac:dyDescent="0.25">
      <c r="A24" s="3" t="s">
        <v>109</v>
      </c>
      <c r="B24" s="29">
        <v>0.99209999999999998</v>
      </c>
      <c r="F24" s="23" t="s">
        <v>59</v>
      </c>
      <c r="G24" s="23" t="s">
        <v>60</v>
      </c>
      <c r="H24" s="23" t="s">
        <v>61</v>
      </c>
      <c r="J24" s="23" t="s">
        <v>59</v>
      </c>
      <c r="K24" s="23" t="s">
        <v>60</v>
      </c>
      <c r="L24" s="23" t="s">
        <v>61</v>
      </c>
      <c r="N24" s="3">
        <v>1000</v>
      </c>
      <c r="O24" s="3">
        <v>2000</v>
      </c>
      <c r="P24" s="131">
        <v>3000</v>
      </c>
      <c r="Q24" s="131">
        <v>4000</v>
      </c>
      <c r="R24" s="131">
        <v>5000</v>
      </c>
    </row>
    <row r="25" spans="1:33" x14ac:dyDescent="0.25">
      <c r="A25" s="3" t="s">
        <v>122</v>
      </c>
      <c r="B25" s="3">
        <v>7.9000000000000008E-3</v>
      </c>
      <c r="F25" s="3" t="s">
        <v>97</v>
      </c>
      <c r="G25" s="3" t="s">
        <v>98</v>
      </c>
      <c r="H25" s="16">
        <f>2*$B$3/$F$22*$B$5*1E-24</f>
        <v>5.0356327781491024E-2</v>
      </c>
      <c r="J25" s="3" t="s">
        <v>81</v>
      </c>
      <c r="K25" s="3" t="s">
        <v>86</v>
      </c>
      <c r="L25" s="16">
        <f t="shared" ref="L25:L32" si="11">B45*$B$3*$B$42*1E-24/$J$22</f>
        <v>5.8561438956644285E-2</v>
      </c>
      <c r="N25" s="3">
        <v>6000</v>
      </c>
      <c r="O25" s="3">
        <v>8000</v>
      </c>
      <c r="P25" s="3">
        <v>10000</v>
      </c>
      <c r="Q25" s="3">
        <v>12000</v>
      </c>
      <c r="R25" s="3">
        <v>14000</v>
      </c>
    </row>
    <row r="26" spans="1:33" x14ac:dyDescent="0.25">
      <c r="F26" s="3" t="s">
        <v>66</v>
      </c>
      <c r="G26" s="3" t="s">
        <v>67</v>
      </c>
      <c r="H26" s="16">
        <f>1*$B$3/$F$22*$B$5*1E-24</f>
        <v>2.5178163890745512E-2</v>
      </c>
      <c r="J26" s="3" t="s">
        <v>95</v>
      </c>
      <c r="K26" s="3" t="s">
        <v>104</v>
      </c>
      <c r="L26" s="16">
        <f t="shared" si="11"/>
        <v>2.626269779055727E-5</v>
      </c>
      <c r="N26" s="3">
        <v>16000</v>
      </c>
      <c r="O26" s="3">
        <v>20000</v>
      </c>
      <c r="P26" s="3">
        <v>24000</v>
      </c>
      <c r="Q26" s="3">
        <v>28000</v>
      </c>
      <c r="R26" s="3">
        <v>32000</v>
      </c>
    </row>
    <row r="27" spans="1:33" x14ac:dyDescent="0.25">
      <c r="A27" s="3" t="s">
        <v>123</v>
      </c>
      <c r="B27" s="3">
        <v>157.25209770539999</v>
      </c>
      <c r="C27">
        <f>2*B27</f>
        <v>314.50419541079998</v>
      </c>
      <c r="J27" s="3" t="s">
        <v>82</v>
      </c>
      <c r="K27" s="3" t="s">
        <v>88</v>
      </c>
      <c r="L27" s="16">
        <f t="shared" si="11"/>
        <v>1.7508465193704852E-2</v>
      </c>
      <c r="N27" s="3">
        <v>40000</v>
      </c>
      <c r="O27" s="3">
        <v>48000</v>
      </c>
      <c r="P27" s="3">
        <v>56000</v>
      </c>
      <c r="Q27" s="3">
        <v>64000</v>
      </c>
      <c r="R27" s="3">
        <v>72000</v>
      </c>
    </row>
    <row r="28" spans="1:33" x14ac:dyDescent="0.25">
      <c r="A28" s="3" t="s">
        <v>124</v>
      </c>
      <c r="B28" s="30">
        <v>15.999404928358299</v>
      </c>
      <c r="C28">
        <f>B28*3</f>
        <v>47.998214785074893</v>
      </c>
      <c r="J28" s="3" t="s">
        <v>96</v>
      </c>
      <c r="K28" s="3" t="s">
        <v>105</v>
      </c>
      <c r="L28" s="16">
        <f t="shared" si="11"/>
        <v>1.7508465193704851E-3</v>
      </c>
      <c r="N28" s="3">
        <v>80000</v>
      </c>
      <c r="O28" s="3">
        <v>104000</v>
      </c>
      <c r="P28" s="3">
        <v>128000</v>
      </c>
      <c r="Q28" s="3">
        <v>152000</v>
      </c>
      <c r="R28" s="3">
        <v>176000</v>
      </c>
    </row>
    <row r="29" spans="1:33" x14ac:dyDescent="0.25">
      <c r="B29" s="15"/>
      <c r="C29">
        <f>SUM(C27:C28)</f>
        <v>362.50241019587486</v>
      </c>
      <c r="F29" s="202" t="s">
        <v>226</v>
      </c>
      <c r="G29" s="204"/>
      <c r="H29" s="98" t="s">
        <v>227</v>
      </c>
      <c r="J29" s="3" t="s">
        <v>83</v>
      </c>
      <c r="K29" s="3" t="s">
        <v>90</v>
      </c>
      <c r="L29" s="16">
        <f t="shared" si="11"/>
        <v>8.7542325968524258E-3</v>
      </c>
    </row>
    <row r="30" spans="1:33" x14ac:dyDescent="0.25">
      <c r="A30" s="23" t="s">
        <v>125</v>
      </c>
      <c r="B30" s="31" t="s">
        <v>76</v>
      </c>
      <c r="F30" s="98" t="s">
        <v>228</v>
      </c>
      <c r="G30" s="18"/>
      <c r="H30" s="19"/>
      <c r="J30" s="3" t="s">
        <v>99</v>
      </c>
      <c r="K30" s="3" t="s">
        <v>106</v>
      </c>
      <c r="L30" s="16">
        <f t="shared" si="11"/>
        <v>3.9394046685835918E-5</v>
      </c>
    </row>
    <row r="31" spans="1:33" x14ac:dyDescent="0.25">
      <c r="A31" s="32" t="s">
        <v>126</v>
      </c>
      <c r="B31" s="33">
        <v>2E-3</v>
      </c>
      <c r="F31" s="3">
        <f>D71</f>
        <v>55.235364606774297</v>
      </c>
      <c r="G31" s="15"/>
      <c r="H31" s="19"/>
      <c r="J31" s="3" t="s">
        <v>100</v>
      </c>
      <c r="K31" s="3" t="s">
        <v>107</v>
      </c>
      <c r="L31" s="16">
        <f t="shared" si="11"/>
        <v>2.626269779055727E-5</v>
      </c>
    </row>
    <row r="32" spans="1:33" x14ac:dyDescent="0.25">
      <c r="A32" s="32" t="s">
        <v>127</v>
      </c>
      <c r="B32" s="33">
        <v>2.18E-2</v>
      </c>
      <c r="F32" s="207"/>
      <c r="G32" s="208"/>
      <c r="H32" s="209"/>
      <c r="J32" s="3" t="s">
        <v>102</v>
      </c>
      <c r="K32" s="3" t="s">
        <v>108</v>
      </c>
      <c r="L32" s="16">
        <f t="shared" si="11"/>
        <v>8.7542325968524256E-4</v>
      </c>
    </row>
    <row r="33" spans="1:8" x14ac:dyDescent="0.25">
      <c r="A33" s="32" t="s">
        <v>128</v>
      </c>
      <c r="B33" s="33">
        <v>0.14800000000000002</v>
      </c>
      <c r="F33" s="98" t="s">
        <v>59</v>
      </c>
      <c r="G33" s="98" t="s">
        <v>60</v>
      </c>
      <c r="H33" s="98" t="s">
        <v>61</v>
      </c>
    </row>
    <row r="34" spans="1:8" x14ac:dyDescent="0.25">
      <c r="A34" s="32" t="s">
        <v>129</v>
      </c>
      <c r="B34" s="33">
        <v>0.20469999999999999</v>
      </c>
      <c r="F34" s="3" t="s">
        <v>95</v>
      </c>
      <c r="G34" s="3" t="s">
        <v>104</v>
      </c>
      <c r="H34" s="16">
        <f>B63*$B$3*$B$60/$F$31*1E-24</f>
        <v>1.2211013374957949E-5</v>
      </c>
    </row>
    <row r="35" spans="1:8" x14ac:dyDescent="0.25">
      <c r="A35" s="32" t="s">
        <v>130</v>
      </c>
      <c r="B35" s="33">
        <v>0.1565</v>
      </c>
      <c r="F35" s="12" t="s">
        <v>102</v>
      </c>
      <c r="G35" s="3" t="s">
        <v>108</v>
      </c>
      <c r="H35" s="16">
        <f t="shared" ref="H35:H41" si="12">B64*$B$3*$B$60/$F$31*1E-24</f>
        <v>4.3610762053421259E-4</v>
      </c>
    </row>
    <row r="36" spans="1:8" x14ac:dyDescent="0.25">
      <c r="A36" s="32" t="s">
        <v>131</v>
      </c>
      <c r="B36" s="33">
        <v>0.24840000000000001</v>
      </c>
      <c r="F36" s="12" t="s">
        <v>99</v>
      </c>
      <c r="G36" s="3" t="s">
        <v>376</v>
      </c>
      <c r="H36" s="16">
        <f t="shared" si="12"/>
        <v>2.0060950544573778E-5</v>
      </c>
    </row>
    <row r="37" spans="1:8" x14ac:dyDescent="0.25">
      <c r="A37" s="32" t="s">
        <v>132</v>
      </c>
      <c r="B37" s="33">
        <v>0.21859999999999999</v>
      </c>
      <c r="F37" s="12" t="s">
        <v>100</v>
      </c>
      <c r="G37" s="3" t="s">
        <v>107</v>
      </c>
      <c r="H37" s="16">
        <f t="shared" si="12"/>
        <v>1.3083228616026375E-5</v>
      </c>
    </row>
    <row r="38" spans="1:8" x14ac:dyDescent="0.25">
      <c r="F38" s="12" t="s">
        <v>82</v>
      </c>
      <c r="G38" s="3" t="s">
        <v>88</v>
      </c>
      <c r="H38" s="16">
        <f t="shared" si="12"/>
        <v>1.6572089580300077E-2</v>
      </c>
    </row>
    <row r="39" spans="1:8" x14ac:dyDescent="0.25">
      <c r="F39" s="12" t="s">
        <v>96</v>
      </c>
      <c r="G39" s="3" t="s">
        <v>105</v>
      </c>
      <c r="H39" s="16">
        <f t="shared" si="12"/>
        <v>8.7221524106842517E-4</v>
      </c>
    </row>
    <row r="40" spans="1:8" x14ac:dyDescent="0.25">
      <c r="A40" s="160" t="s">
        <v>87</v>
      </c>
      <c r="B40" s="160"/>
      <c r="C40" s="160"/>
      <c r="F40" s="12" t="s">
        <v>81</v>
      </c>
      <c r="G40" s="3" t="s">
        <v>86</v>
      </c>
      <c r="H40" s="16">
        <f t="shared" si="12"/>
        <v>6.0573604061719979E-2</v>
      </c>
    </row>
    <row r="41" spans="1:8" x14ac:dyDescent="0.25">
      <c r="A41" s="24" t="s">
        <v>2</v>
      </c>
      <c r="B41" s="160" t="s">
        <v>89</v>
      </c>
      <c r="C41" s="160"/>
      <c r="F41" s="12" t="s">
        <v>83</v>
      </c>
      <c r="G41" s="3" t="s">
        <v>90</v>
      </c>
      <c r="H41" s="16">
        <f t="shared" si="12"/>
        <v>8.7221524106842509E-3</v>
      </c>
    </row>
    <row r="42" spans="1:8" x14ac:dyDescent="0.25">
      <c r="A42" s="3" t="s">
        <v>72</v>
      </c>
      <c r="B42" s="3">
        <v>8</v>
      </c>
      <c r="C42" s="3" t="s">
        <v>91</v>
      </c>
    </row>
    <row r="43" spans="1:8" x14ac:dyDescent="0.25">
      <c r="A43" s="20"/>
      <c r="B43" s="15"/>
      <c r="C43" s="19"/>
    </row>
    <row r="44" spans="1:8" x14ac:dyDescent="0.25">
      <c r="A44" s="23" t="s">
        <v>93</v>
      </c>
      <c r="B44" s="23" t="s">
        <v>76</v>
      </c>
      <c r="C44" s="23" t="s">
        <v>77</v>
      </c>
    </row>
    <row r="45" spans="1:8" x14ac:dyDescent="0.25">
      <c r="A45" s="3" t="s">
        <v>81</v>
      </c>
      <c r="B45" s="3">
        <f>1-(SUM(B46:B52))</f>
        <v>0.66894999999999993</v>
      </c>
      <c r="C45" s="3">
        <v>55.845150199999999</v>
      </c>
      <c r="D45">
        <f>C45*B45</f>
        <v>37.357613226289999</v>
      </c>
    </row>
    <row r="46" spans="1:8" x14ac:dyDescent="0.25">
      <c r="A46" s="3" t="s">
        <v>95</v>
      </c>
      <c r="B46" s="3">
        <f>0.03/100</f>
        <v>2.9999999999999997E-4</v>
      </c>
      <c r="C46" s="3">
        <v>12.0107359</v>
      </c>
      <c r="D46">
        <f t="shared" ref="D46:D50" si="13">C46*B46</f>
        <v>3.6032207699999998E-3</v>
      </c>
    </row>
    <row r="47" spans="1:8" x14ac:dyDescent="0.25">
      <c r="A47" s="3" t="s">
        <v>82</v>
      </c>
      <c r="B47" s="3">
        <f>20/100</f>
        <v>0.2</v>
      </c>
      <c r="C47" s="3">
        <v>51.996137500000003</v>
      </c>
      <c r="D47">
        <f t="shared" si="13"/>
        <v>10.399227500000002</v>
      </c>
    </row>
    <row r="48" spans="1:8" x14ac:dyDescent="0.25">
      <c r="A48" s="3" t="s">
        <v>96</v>
      </c>
      <c r="B48" s="3">
        <f>2/100</f>
        <v>0.02</v>
      </c>
      <c r="C48" s="25">
        <v>54.938049599999999</v>
      </c>
      <c r="D48">
        <f t="shared" si="13"/>
        <v>1.0987609920000001</v>
      </c>
    </row>
    <row r="49" spans="1:4" x14ac:dyDescent="0.25">
      <c r="A49" s="3" t="s">
        <v>83</v>
      </c>
      <c r="B49" s="3">
        <f>10/100</f>
        <v>0.1</v>
      </c>
      <c r="C49" s="3">
        <v>58.693356299999998</v>
      </c>
      <c r="D49">
        <f t="shared" si="13"/>
        <v>5.8693356300000001</v>
      </c>
    </row>
    <row r="50" spans="1:4" x14ac:dyDescent="0.25">
      <c r="A50" s="3" t="s">
        <v>99</v>
      </c>
      <c r="B50" s="3">
        <f>0.045/100</f>
        <v>4.4999999999999999E-4</v>
      </c>
      <c r="C50" s="25">
        <v>30.973761509999999</v>
      </c>
      <c r="D50">
        <f t="shared" si="13"/>
        <v>1.39381926795E-2</v>
      </c>
    </row>
    <row r="51" spans="1:4" x14ac:dyDescent="0.25">
      <c r="A51" s="3" t="s">
        <v>100</v>
      </c>
      <c r="B51" s="3">
        <f>0.03/100</f>
        <v>2.9999999999999997E-4</v>
      </c>
      <c r="C51" s="3">
        <v>32.066084699999998</v>
      </c>
      <c r="D51">
        <f>C51*B51</f>
        <v>9.6198254099999977E-3</v>
      </c>
    </row>
    <row r="52" spans="1:4" x14ac:dyDescent="0.25">
      <c r="A52" s="3" t="s">
        <v>102</v>
      </c>
      <c r="B52" s="3">
        <f>1/100</f>
        <v>0.01</v>
      </c>
      <c r="C52" s="3">
        <v>28.0854128</v>
      </c>
      <c r="D52">
        <f>C52*B52</f>
        <v>0.28085412800000004</v>
      </c>
    </row>
    <row r="53" spans="1:4" x14ac:dyDescent="0.25">
      <c r="D53">
        <f>SUM(D45:D52)</f>
        <v>55.032952715149506</v>
      </c>
    </row>
    <row r="55" spans="1:4" x14ac:dyDescent="0.25">
      <c r="A55" s="160" t="s">
        <v>133</v>
      </c>
      <c r="B55" s="160"/>
      <c r="C55" s="160"/>
    </row>
    <row r="56" spans="1:4" x14ac:dyDescent="0.25">
      <c r="A56" s="113" t="s">
        <v>253</v>
      </c>
      <c r="B56" s="130">
        <f>200+25+15</f>
        <v>240</v>
      </c>
      <c r="C56" s="130" t="s">
        <v>149</v>
      </c>
    </row>
    <row r="57" spans="1:4" x14ac:dyDescent="0.25">
      <c r="A57" s="113" t="s">
        <v>373</v>
      </c>
      <c r="B57" s="130">
        <v>12.5</v>
      </c>
      <c r="C57" s="130" t="s">
        <v>149</v>
      </c>
    </row>
    <row r="58" spans="1:4" x14ac:dyDescent="0.25">
      <c r="A58" s="113" t="s">
        <v>374</v>
      </c>
      <c r="B58" s="130">
        <v>14</v>
      </c>
      <c r="C58" s="130" t="s">
        <v>149</v>
      </c>
    </row>
    <row r="59" spans="1:4" x14ac:dyDescent="0.25">
      <c r="A59" s="24" t="s">
        <v>2</v>
      </c>
      <c r="B59" s="160" t="s">
        <v>375</v>
      </c>
      <c r="C59" s="160"/>
    </row>
    <row r="60" spans="1:4" x14ac:dyDescent="0.25">
      <c r="A60" s="3" t="s">
        <v>72</v>
      </c>
      <c r="B60" s="3">
        <v>8</v>
      </c>
      <c r="C60" s="3" t="s">
        <v>91</v>
      </c>
    </row>
    <row r="62" spans="1:4" x14ac:dyDescent="0.25">
      <c r="A62" s="98" t="s">
        <v>93</v>
      </c>
      <c r="B62" s="98" t="s">
        <v>76</v>
      </c>
      <c r="C62" s="98" t="s">
        <v>77</v>
      </c>
    </row>
    <row r="63" spans="1:4" x14ac:dyDescent="0.25">
      <c r="A63" s="3" t="s">
        <v>95</v>
      </c>
      <c r="B63" s="3">
        <v>1.3999999999999999E-4</v>
      </c>
      <c r="C63" s="3">
        <v>12.0107359</v>
      </c>
      <c r="D63">
        <f>B63*C63</f>
        <v>1.6815030259999999E-3</v>
      </c>
    </row>
    <row r="64" spans="1:4" x14ac:dyDescent="0.25">
      <c r="A64" s="12" t="s">
        <v>102</v>
      </c>
      <c r="B64" s="3">
        <v>5.0000000000000001E-3</v>
      </c>
      <c r="C64" s="3">
        <v>28.0854128</v>
      </c>
      <c r="D64">
        <f t="shared" ref="D64:D70" si="14">B64*C64</f>
        <v>0.14042706400000002</v>
      </c>
    </row>
    <row r="65" spans="1:4" x14ac:dyDescent="0.25">
      <c r="A65" s="12" t="s">
        <v>99</v>
      </c>
      <c r="B65" s="3">
        <v>2.3000000000000001E-4</v>
      </c>
      <c r="C65" s="25">
        <v>30.973761509999999</v>
      </c>
      <c r="D65">
        <f t="shared" si="14"/>
        <v>7.1239651472999998E-3</v>
      </c>
    </row>
    <row r="66" spans="1:4" x14ac:dyDescent="0.25">
      <c r="A66" s="12" t="s">
        <v>100</v>
      </c>
      <c r="B66" s="3">
        <v>1.4999999999999999E-4</v>
      </c>
      <c r="C66" s="3">
        <v>32.066084699999998</v>
      </c>
      <c r="D66">
        <f t="shared" si="14"/>
        <v>4.8099127049999989E-3</v>
      </c>
    </row>
    <row r="67" spans="1:4" x14ac:dyDescent="0.25">
      <c r="A67" s="12" t="s">
        <v>82</v>
      </c>
      <c r="B67" s="3">
        <v>0.19</v>
      </c>
      <c r="C67" s="3">
        <v>51.996137500000003</v>
      </c>
      <c r="D67">
        <f t="shared" si="14"/>
        <v>9.8792661250000009</v>
      </c>
    </row>
    <row r="68" spans="1:4" x14ac:dyDescent="0.25">
      <c r="A68" s="12" t="s">
        <v>96</v>
      </c>
      <c r="B68" s="3">
        <v>0.01</v>
      </c>
      <c r="C68" s="25">
        <v>54.938049599999999</v>
      </c>
      <c r="D68">
        <f t="shared" si="14"/>
        <v>0.54938049600000005</v>
      </c>
    </row>
    <row r="69" spans="1:4" x14ac:dyDescent="0.25">
      <c r="A69" s="12" t="s">
        <v>81</v>
      </c>
      <c r="B69" s="3">
        <v>0.69447999999999999</v>
      </c>
      <c r="C69" s="3">
        <v>55.845150199999999</v>
      </c>
      <c r="D69">
        <f t="shared" si="14"/>
        <v>38.783339910895997</v>
      </c>
    </row>
    <row r="70" spans="1:4" x14ac:dyDescent="0.25">
      <c r="A70" s="12" t="s">
        <v>83</v>
      </c>
      <c r="B70" s="3">
        <v>0.1</v>
      </c>
      <c r="C70" s="3">
        <v>58.693356299999998</v>
      </c>
      <c r="D70">
        <f t="shared" si="14"/>
        <v>5.8693356300000001</v>
      </c>
    </row>
    <row r="71" spans="1:4" x14ac:dyDescent="0.25">
      <c r="D71">
        <f>SUM(D63:D70)</f>
        <v>55.235364606774297</v>
      </c>
    </row>
  </sheetData>
  <mergeCells count="39">
    <mergeCell ref="N23:R23"/>
    <mergeCell ref="B59:C59"/>
    <mergeCell ref="F32:H32"/>
    <mergeCell ref="A1:D1"/>
    <mergeCell ref="A13:C13"/>
    <mergeCell ref="B14:C14"/>
    <mergeCell ref="A23:B23"/>
    <mergeCell ref="L11:M11"/>
    <mergeCell ref="L3:Z3"/>
    <mergeCell ref="A40:C40"/>
    <mergeCell ref="B41:C41"/>
    <mergeCell ref="A55:C55"/>
    <mergeCell ref="J20:K20"/>
    <mergeCell ref="J3:K3"/>
    <mergeCell ref="F3:I3"/>
    <mergeCell ref="F4:F5"/>
    <mergeCell ref="R10:S10"/>
    <mergeCell ref="X10:Y10"/>
    <mergeCell ref="G4:G5"/>
    <mergeCell ref="H4:H5"/>
    <mergeCell ref="I4:I5"/>
    <mergeCell ref="K4:K5"/>
    <mergeCell ref="J4:J5"/>
    <mergeCell ref="AA4:AA6"/>
    <mergeCell ref="AD10:AE10"/>
    <mergeCell ref="F8:G8"/>
    <mergeCell ref="F29:G29"/>
    <mergeCell ref="R11:S11"/>
    <mergeCell ref="X11:Y11"/>
    <mergeCell ref="AD11:AE11"/>
    <mergeCell ref="F23:H23"/>
    <mergeCell ref="F11:H11"/>
    <mergeCell ref="F20:G20"/>
    <mergeCell ref="J8:AG8"/>
    <mergeCell ref="J9:O9"/>
    <mergeCell ref="P9:U9"/>
    <mergeCell ref="V9:AA9"/>
    <mergeCell ref="AB9:AG9"/>
    <mergeCell ref="L10:M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74"/>
  <sheetViews>
    <sheetView tabSelected="1" topLeftCell="N53" zoomScaleNormal="100" workbookViewId="0">
      <selection activeCell="U8" sqref="U8"/>
    </sheetView>
  </sheetViews>
  <sheetFormatPr defaultRowHeight="15" x14ac:dyDescent="0.25"/>
  <cols>
    <col min="7" max="7" width="13.7109375" bestFit="1" customWidth="1"/>
    <col min="8" max="10" width="12" bestFit="1" customWidth="1"/>
    <col min="11" max="12" width="15.28515625" bestFit="1" customWidth="1"/>
    <col min="13" max="13" width="12" bestFit="1" customWidth="1"/>
    <col min="21" max="21" width="13.7109375" bestFit="1" customWidth="1"/>
    <col min="22" max="23" width="12" bestFit="1" customWidth="1"/>
    <col min="26" max="26" width="15.28515625" bestFit="1" customWidth="1"/>
    <col min="27" max="27" width="12" bestFit="1" customWidth="1"/>
    <col min="29" max="29" width="10.28515625" bestFit="1" customWidth="1"/>
    <col min="30" max="30" width="10.85546875" bestFit="1" customWidth="1"/>
    <col min="32" max="38" width="10.5703125" bestFit="1" customWidth="1"/>
    <col min="41" max="41" width="3" bestFit="1" customWidth="1"/>
    <col min="42" max="42" width="10.85546875" bestFit="1" customWidth="1"/>
    <col min="43" max="43" width="12.5703125" bestFit="1" customWidth="1"/>
    <col min="44" max="44" width="3" bestFit="1" customWidth="1"/>
    <col min="45" max="45" width="10.85546875" bestFit="1" customWidth="1"/>
    <col min="46" max="46" width="12.5703125" bestFit="1" customWidth="1"/>
    <col min="47" max="47" width="3" bestFit="1" customWidth="1"/>
    <col min="48" max="48" width="10.85546875" bestFit="1" customWidth="1"/>
    <col min="49" max="49" width="12.5703125" bestFit="1" customWidth="1"/>
    <col min="50" max="50" width="3" bestFit="1" customWidth="1"/>
    <col min="51" max="51" width="10.85546875" bestFit="1" customWidth="1"/>
    <col min="52" max="52" width="12.5703125" bestFit="1" customWidth="1"/>
    <col min="53" max="53" width="3" bestFit="1" customWidth="1"/>
    <col min="55" max="56" width="12.5703125" bestFit="1" customWidth="1"/>
    <col min="57" max="57" width="7.5703125" bestFit="1" customWidth="1"/>
    <col min="58" max="58" width="10.85546875" bestFit="1" customWidth="1"/>
    <col min="59" max="63" width="12.5703125" bestFit="1" customWidth="1"/>
  </cols>
  <sheetData>
    <row r="1" spans="1:63" x14ac:dyDescent="0.25">
      <c r="G1" s="50" t="s">
        <v>273</v>
      </c>
      <c r="H1" s="49" t="s">
        <v>165</v>
      </c>
      <c r="I1" s="77" t="s">
        <v>165</v>
      </c>
      <c r="J1" s="49" t="s">
        <v>274</v>
      </c>
      <c r="K1" s="49" t="s">
        <v>275</v>
      </c>
      <c r="L1" s="115" t="s">
        <v>215</v>
      </c>
      <c r="M1" s="68"/>
      <c r="N1" s="68"/>
      <c r="O1" s="72"/>
      <c r="U1" s="50" t="s">
        <v>273</v>
      </c>
      <c r="V1" s="114" t="s">
        <v>165</v>
      </c>
      <c r="W1" s="77" t="s">
        <v>165</v>
      </c>
      <c r="X1" s="114" t="s">
        <v>274</v>
      </c>
      <c r="Y1" s="114" t="s">
        <v>275</v>
      </c>
      <c r="Z1" s="115" t="s">
        <v>215</v>
      </c>
    </row>
    <row r="2" spans="1:63" x14ac:dyDescent="0.25">
      <c r="G2" s="50" t="s">
        <v>252</v>
      </c>
      <c r="H2" s="12">
        <v>0</v>
      </c>
      <c r="I2" s="10">
        <v>14</v>
      </c>
      <c r="J2" s="12">
        <v>14</v>
      </c>
      <c r="K2" s="12">
        <v>14</v>
      </c>
      <c r="L2" s="12">
        <v>14</v>
      </c>
      <c r="U2" s="50" t="s">
        <v>252</v>
      </c>
      <c r="V2" s="12">
        <v>0</v>
      </c>
      <c r="W2" s="10">
        <v>14</v>
      </c>
      <c r="X2" s="12">
        <v>14</v>
      </c>
      <c r="Y2" s="12">
        <v>14</v>
      </c>
      <c r="Z2" s="12">
        <v>14</v>
      </c>
    </row>
    <row r="3" spans="1:63" x14ac:dyDescent="0.25">
      <c r="G3" s="51" t="s">
        <v>147</v>
      </c>
      <c r="H3" s="52">
        <v>165</v>
      </c>
      <c r="I3" s="78">
        <v>165</v>
      </c>
      <c r="J3" s="52">
        <v>165</v>
      </c>
      <c r="K3" s="52">
        <v>165</v>
      </c>
      <c r="L3" s="52">
        <v>165</v>
      </c>
      <c r="U3" s="51" t="s">
        <v>147</v>
      </c>
      <c r="V3" s="52">
        <v>165</v>
      </c>
      <c r="W3" s="78">
        <v>165</v>
      </c>
      <c r="X3" s="52">
        <v>165</v>
      </c>
      <c r="Y3" s="52">
        <v>165</v>
      </c>
      <c r="Z3" s="52">
        <v>165</v>
      </c>
    </row>
    <row r="4" spans="1:63" x14ac:dyDescent="0.25">
      <c r="A4" s="53"/>
      <c r="B4" s="53"/>
      <c r="C4" s="53"/>
      <c r="D4" s="53"/>
      <c r="E4" s="53"/>
      <c r="F4" s="53"/>
      <c r="G4" s="51" t="s">
        <v>253</v>
      </c>
      <c r="H4" s="54">
        <v>200</v>
      </c>
      <c r="I4" s="78">
        <v>200</v>
      </c>
      <c r="J4" s="52">
        <v>200</v>
      </c>
      <c r="K4" s="52">
        <v>200</v>
      </c>
      <c r="L4" s="52">
        <v>200</v>
      </c>
      <c r="U4" s="51" t="s">
        <v>253</v>
      </c>
      <c r="V4" s="54">
        <v>200</v>
      </c>
      <c r="W4" s="78">
        <v>200</v>
      </c>
      <c r="X4" s="52">
        <v>200</v>
      </c>
      <c r="Y4" s="52">
        <v>200</v>
      </c>
      <c r="Z4" s="52">
        <v>200</v>
      </c>
    </row>
    <row r="5" spans="1:63" x14ac:dyDescent="0.25">
      <c r="A5" s="53"/>
      <c r="B5" s="53"/>
      <c r="C5" s="53"/>
      <c r="D5" s="53"/>
      <c r="E5" s="53"/>
      <c r="F5" s="53"/>
      <c r="G5" s="51" t="s">
        <v>237</v>
      </c>
      <c r="H5" s="54">
        <f>H4/H3</f>
        <v>1.2121212121212122</v>
      </c>
      <c r="I5" s="79">
        <f t="shared" ref="I5:L5" si="0">I4/I3</f>
        <v>1.2121212121212122</v>
      </c>
      <c r="J5" s="54">
        <f t="shared" si="0"/>
        <v>1.2121212121212122</v>
      </c>
      <c r="K5" s="54">
        <f t="shared" si="0"/>
        <v>1.2121212121212122</v>
      </c>
      <c r="L5" s="54">
        <f t="shared" si="0"/>
        <v>1.2121212121212122</v>
      </c>
      <c r="U5" s="51" t="s">
        <v>237</v>
      </c>
      <c r="V5" s="54">
        <f>V4/V3</f>
        <v>1.2121212121212122</v>
      </c>
      <c r="W5" s="79">
        <f t="shared" ref="W5:Z5" si="1">W4/W3</f>
        <v>1.2121212121212122</v>
      </c>
      <c r="X5" s="54">
        <f t="shared" si="1"/>
        <v>1.2121212121212122</v>
      </c>
      <c r="Y5" s="54">
        <f t="shared" si="1"/>
        <v>1.2121212121212122</v>
      </c>
      <c r="Z5" s="54">
        <f t="shared" si="1"/>
        <v>1.2121212121212122</v>
      </c>
    </row>
    <row r="6" spans="1:63" x14ac:dyDescent="0.25">
      <c r="G6" s="51" t="s">
        <v>235</v>
      </c>
      <c r="H6" s="3">
        <v>23</v>
      </c>
      <c r="I6" s="10">
        <v>23</v>
      </c>
      <c r="J6" s="12">
        <v>23</v>
      </c>
      <c r="K6" s="12">
        <v>23</v>
      </c>
      <c r="L6" s="12">
        <v>23</v>
      </c>
      <c r="U6" s="51" t="s">
        <v>235</v>
      </c>
      <c r="V6" s="3">
        <v>23</v>
      </c>
      <c r="W6" s="10">
        <v>23</v>
      </c>
      <c r="X6" s="12">
        <v>23</v>
      </c>
      <c r="Y6" s="12">
        <v>23</v>
      </c>
      <c r="Z6" s="12">
        <v>23</v>
      </c>
    </row>
    <row r="7" spans="1:63" x14ac:dyDescent="0.25">
      <c r="A7" s="55"/>
      <c r="B7" s="55"/>
      <c r="C7" s="55"/>
      <c r="D7" s="55"/>
      <c r="E7" s="55"/>
      <c r="F7" s="55"/>
      <c r="G7" s="51" t="s">
        <v>236</v>
      </c>
      <c r="H7" s="3">
        <v>14</v>
      </c>
      <c r="I7" s="10">
        <v>14</v>
      </c>
      <c r="J7" s="12">
        <v>14</v>
      </c>
      <c r="K7" s="12">
        <v>14</v>
      </c>
      <c r="L7" s="12">
        <v>14</v>
      </c>
      <c r="M7" s="15"/>
      <c r="O7" s="55"/>
      <c r="P7" s="55"/>
      <c r="Q7" s="55"/>
      <c r="R7" s="55"/>
      <c r="S7" s="55"/>
      <c r="T7" s="56"/>
      <c r="U7" s="51" t="s">
        <v>236</v>
      </c>
      <c r="V7" s="3">
        <v>14</v>
      </c>
      <c r="W7" s="10">
        <v>14</v>
      </c>
      <c r="X7" s="12">
        <v>14</v>
      </c>
      <c r="Y7" s="12">
        <v>14</v>
      </c>
      <c r="Z7" s="12">
        <v>14</v>
      </c>
      <c r="AD7" s="192" t="s">
        <v>254</v>
      </c>
      <c r="AE7" s="192"/>
      <c r="AF7" s="192"/>
      <c r="AG7" s="192"/>
      <c r="AH7" s="192"/>
      <c r="AI7" s="192"/>
      <c r="AJ7" s="192"/>
      <c r="AK7" s="192"/>
      <c r="AL7" s="192"/>
      <c r="AO7" s="221" t="s">
        <v>386</v>
      </c>
      <c r="AP7" s="221"/>
      <c r="AQ7" s="221"/>
      <c r="AR7" s="221"/>
      <c r="AS7" s="221"/>
      <c r="AT7" s="221"/>
      <c r="AU7" s="221"/>
      <c r="AV7" s="221"/>
      <c r="AW7" s="221"/>
      <c r="AX7" s="221"/>
      <c r="AY7" s="221"/>
      <c r="AZ7" s="221"/>
      <c r="BA7" s="221"/>
      <c r="BB7" s="221"/>
      <c r="BC7" s="221"/>
      <c r="BD7" s="221"/>
      <c r="BE7" s="221"/>
      <c r="BF7" s="221"/>
      <c r="BG7" s="221"/>
      <c r="BH7" s="221"/>
      <c r="BI7" s="221"/>
      <c r="BJ7" s="221"/>
      <c r="BK7" s="221"/>
    </row>
    <row r="8" spans="1:63" ht="15" customHeight="1" x14ac:dyDescent="0.25">
      <c r="A8" s="216" t="s">
        <v>255</v>
      </c>
      <c r="B8" s="57"/>
      <c r="C8" s="216" t="s">
        <v>256</v>
      </c>
      <c r="D8" s="206" t="s">
        <v>257</v>
      </c>
      <c r="E8" s="216" t="s">
        <v>258</v>
      </c>
      <c r="F8" s="216" t="s">
        <v>259</v>
      </c>
      <c r="G8" s="222"/>
      <c r="H8" s="160" t="s">
        <v>261</v>
      </c>
      <c r="I8" s="160"/>
      <c r="J8" s="160"/>
      <c r="K8" s="160"/>
      <c r="L8" s="160"/>
      <c r="O8" s="217" t="s">
        <v>255</v>
      </c>
      <c r="P8" s="57"/>
      <c r="Q8" s="217" t="s">
        <v>256</v>
      </c>
      <c r="R8" s="205" t="s">
        <v>257</v>
      </c>
      <c r="S8" s="217" t="s">
        <v>258</v>
      </c>
      <c r="T8" s="217" t="s">
        <v>259</v>
      </c>
      <c r="U8" s="222"/>
      <c r="V8" s="192" t="s">
        <v>262</v>
      </c>
      <c r="W8" s="192"/>
      <c r="X8" s="192"/>
      <c r="Y8" s="192"/>
      <c r="Z8" s="192"/>
      <c r="AA8" s="58"/>
      <c r="AB8" s="58"/>
      <c r="AD8" s="217" t="s">
        <v>255</v>
      </c>
      <c r="AE8" s="192" t="s">
        <v>260</v>
      </c>
      <c r="AF8" s="192" t="s">
        <v>263</v>
      </c>
      <c r="AG8" s="192"/>
      <c r="AH8" s="192"/>
      <c r="AI8" s="192"/>
      <c r="AJ8" s="192"/>
      <c r="AK8" s="192"/>
      <c r="AL8" s="192"/>
      <c r="AO8" s="221" t="s">
        <v>283</v>
      </c>
      <c r="AP8" s="221"/>
      <c r="AQ8" s="221"/>
      <c r="AR8" s="221"/>
      <c r="AS8" s="221"/>
      <c r="AT8" s="221"/>
      <c r="AU8" s="221"/>
      <c r="AV8" s="221"/>
      <c r="AW8" s="221"/>
      <c r="AX8" s="221"/>
      <c r="AY8" s="221"/>
      <c r="AZ8" s="221"/>
      <c r="BA8" s="221"/>
      <c r="BB8" s="221"/>
      <c r="BC8" s="221"/>
      <c r="BF8" s="192" t="s">
        <v>284</v>
      </c>
      <c r="BG8" s="192"/>
      <c r="BH8" s="192"/>
      <c r="BI8" s="192"/>
      <c r="BJ8" s="192"/>
      <c r="BK8" s="192"/>
    </row>
    <row r="9" spans="1:63" x14ac:dyDescent="0.25">
      <c r="A9" s="192"/>
      <c r="B9" s="51"/>
      <c r="C9" s="192"/>
      <c r="D9" s="159"/>
      <c r="E9" s="192"/>
      <c r="F9" s="192"/>
      <c r="G9" s="222" t="s">
        <v>260</v>
      </c>
      <c r="H9" s="51" t="s">
        <v>264</v>
      </c>
      <c r="I9" s="155" t="s">
        <v>165</v>
      </c>
      <c r="J9" s="153" t="s">
        <v>274</v>
      </c>
      <c r="K9" s="153" t="s">
        <v>275</v>
      </c>
      <c r="L9" s="28" t="s">
        <v>215</v>
      </c>
      <c r="M9" s="59" t="s">
        <v>265</v>
      </c>
      <c r="O9" s="216"/>
      <c r="P9" s="51"/>
      <c r="Q9" s="216"/>
      <c r="R9" s="206"/>
      <c r="S9" s="216"/>
      <c r="T9" s="216"/>
      <c r="U9" s="222" t="s">
        <v>260</v>
      </c>
      <c r="V9" s="154" t="s">
        <v>264</v>
      </c>
      <c r="W9" s="155" t="s">
        <v>165</v>
      </c>
      <c r="X9" s="153" t="s">
        <v>274</v>
      </c>
      <c r="Y9" s="153" t="s">
        <v>275</v>
      </c>
      <c r="Z9" s="28" t="s">
        <v>215</v>
      </c>
      <c r="AA9" s="59" t="s">
        <v>265</v>
      </c>
      <c r="AB9" s="58"/>
      <c r="AD9" s="216"/>
      <c r="AE9" s="192"/>
      <c r="AF9" s="136" t="s">
        <v>62</v>
      </c>
      <c r="AG9" s="136" t="s">
        <v>266</v>
      </c>
      <c r="AH9" s="136" t="s">
        <v>64</v>
      </c>
      <c r="AI9" s="136" t="s">
        <v>54</v>
      </c>
      <c r="AJ9" s="136" t="s">
        <v>55</v>
      </c>
      <c r="AK9" s="136" t="s">
        <v>56</v>
      </c>
      <c r="AL9" s="136" t="s">
        <v>57</v>
      </c>
      <c r="AP9" s="147" t="s">
        <v>380</v>
      </c>
      <c r="AQ9" s="16">
        <v>131.11959999999999</v>
      </c>
      <c r="AS9" s="147" t="s">
        <v>380</v>
      </c>
      <c r="AT9" s="16">
        <v>103.6721</v>
      </c>
      <c r="AV9" s="143" t="s">
        <v>380</v>
      </c>
      <c r="AW9" s="16">
        <v>79.897580000000005</v>
      </c>
      <c r="AX9" s="140"/>
      <c r="AY9" s="143" t="s">
        <v>380</v>
      </c>
      <c r="AZ9" s="16">
        <v>66.338999999999999</v>
      </c>
      <c r="BB9" s="143" t="s">
        <v>380</v>
      </c>
      <c r="BC9" s="16">
        <v>58.737050000000004</v>
      </c>
      <c r="BF9" s="154" t="s">
        <v>285</v>
      </c>
      <c r="BG9" s="154" t="s">
        <v>390</v>
      </c>
      <c r="BH9" s="154" t="s">
        <v>391</v>
      </c>
      <c r="BI9" s="154" t="s">
        <v>392</v>
      </c>
      <c r="BJ9" s="154" t="s">
        <v>393</v>
      </c>
      <c r="BK9" s="154" t="s">
        <v>394</v>
      </c>
    </row>
    <row r="10" spans="1:63" x14ac:dyDescent="0.25">
      <c r="A10" s="3" t="s">
        <v>267</v>
      </c>
      <c r="B10" s="3">
        <v>1</v>
      </c>
      <c r="C10" s="3">
        <v>1</v>
      </c>
      <c r="D10" s="3">
        <v>0</v>
      </c>
      <c r="E10" s="3">
        <f>D10</f>
        <v>0</v>
      </c>
      <c r="F10" s="3">
        <f>E10</f>
        <v>0</v>
      </c>
      <c r="G10" s="3">
        <f>F10/365.25</f>
        <v>0</v>
      </c>
      <c r="H10" s="3">
        <v>1.1035820999999999</v>
      </c>
      <c r="I10" s="141">
        <v>1.0745932</v>
      </c>
      <c r="J10" s="69">
        <v>1.0434277999999999</v>
      </c>
      <c r="K10" s="12">
        <v>1.0519617000000001</v>
      </c>
      <c r="L10" s="70">
        <v>1.0736502000000001</v>
      </c>
      <c r="M10" t="s">
        <v>268</v>
      </c>
      <c r="O10" s="3" t="s">
        <v>267</v>
      </c>
      <c r="P10" s="3">
        <v>1</v>
      </c>
      <c r="Q10" s="3">
        <v>1</v>
      </c>
      <c r="R10" s="3">
        <v>0</v>
      </c>
      <c r="S10" s="3">
        <f>R10</f>
        <v>0</v>
      </c>
      <c r="T10" s="3">
        <f>S10</f>
        <v>0</v>
      </c>
      <c r="U10" s="3">
        <f>T10/365.25</f>
        <v>0</v>
      </c>
      <c r="V10" s="11">
        <v>0.45779999999999998</v>
      </c>
      <c r="W10" s="129">
        <v>0.622004</v>
      </c>
      <c r="X10" s="132">
        <v>0.63389499999999999</v>
      </c>
      <c r="Y10" s="128">
        <v>0.63181299999999996</v>
      </c>
      <c r="Z10" s="128">
        <v>0.62204099999999996</v>
      </c>
      <c r="AA10" t="s">
        <v>268</v>
      </c>
      <c r="AC10" s="142">
        <f>AF10/(AF10+AH10)</f>
        <v>4.1862521150138353E-2</v>
      </c>
      <c r="AD10" s="177" t="s">
        <v>264</v>
      </c>
      <c r="AE10" s="3">
        <v>0</v>
      </c>
      <c r="AF10" s="151">
        <v>390170</v>
      </c>
      <c r="AG10" s="152">
        <v>0</v>
      </c>
      <c r="AH10" s="152">
        <v>8930100</v>
      </c>
      <c r="AI10" s="151">
        <v>0</v>
      </c>
      <c r="AJ10" s="152">
        <v>0</v>
      </c>
      <c r="AK10" s="152">
        <v>0</v>
      </c>
      <c r="AL10" s="152">
        <v>0</v>
      </c>
      <c r="AP10" s="147" t="s">
        <v>285</v>
      </c>
      <c r="AQ10" s="147" t="s">
        <v>384</v>
      </c>
      <c r="AR10" s="148"/>
      <c r="AS10" s="147" t="s">
        <v>285</v>
      </c>
      <c r="AT10" s="147" t="s">
        <v>269</v>
      </c>
      <c r="AU10" s="144"/>
      <c r="AV10" s="143" t="s">
        <v>285</v>
      </c>
      <c r="AW10" s="143" t="s">
        <v>271</v>
      </c>
      <c r="AX10" s="18"/>
      <c r="AY10" s="143" t="s">
        <v>285</v>
      </c>
      <c r="AZ10" s="143" t="s">
        <v>272</v>
      </c>
      <c r="BA10" s="144"/>
      <c r="BB10" s="143" t="s">
        <v>285</v>
      </c>
      <c r="BC10" s="143" t="s">
        <v>385</v>
      </c>
      <c r="BE10" s="101" t="s">
        <v>286</v>
      </c>
      <c r="BF10" s="116">
        <v>0</v>
      </c>
      <c r="BG10" s="16">
        <f>$AQ$9*AQ11</f>
        <v>0</v>
      </c>
      <c r="BH10" s="16">
        <f>$AT$9*AT11</f>
        <v>0</v>
      </c>
      <c r="BI10" s="16">
        <f>$AW$9*AW11</f>
        <v>0</v>
      </c>
      <c r="BJ10" s="16">
        <f>$AZ$9*AZ11</f>
        <v>0</v>
      </c>
      <c r="BK10" s="16">
        <f>$BC$9*BC11</f>
        <v>0</v>
      </c>
    </row>
    <row r="11" spans="1:63" x14ac:dyDescent="0.25">
      <c r="A11" s="3"/>
      <c r="B11" s="3">
        <v>2</v>
      </c>
      <c r="C11" s="3">
        <v>2</v>
      </c>
      <c r="D11" s="3">
        <v>24</v>
      </c>
      <c r="E11" s="3">
        <f>E10+D11</f>
        <v>24</v>
      </c>
      <c r="F11" s="3">
        <f>E11/24</f>
        <v>1</v>
      </c>
      <c r="G11" s="3">
        <f>F11/365.25</f>
        <v>2.7378507871321013E-3</v>
      </c>
      <c r="H11" s="3">
        <v>1.0720516</v>
      </c>
      <c r="I11" s="127">
        <v>1.0656914</v>
      </c>
      <c r="J11" s="69">
        <v>1.0352528999999999</v>
      </c>
      <c r="K11" s="12">
        <v>1.0436364</v>
      </c>
      <c r="L11" s="70">
        <v>1.0647696</v>
      </c>
      <c r="O11" s="3"/>
      <c r="P11" s="3">
        <v>2</v>
      </c>
      <c r="Q11" s="3">
        <v>2</v>
      </c>
      <c r="R11" s="3">
        <v>24</v>
      </c>
      <c r="S11" s="3">
        <f>S10+R11</f>
        <v>24</v>
      </c>
      <c r="T11" s="3">
        <f>S11/24</f>
        <v>1</v>
      </c>
      <c r="U11" s="3">
        <f>T11/365.25</f>
        <v>2.7378507871321013E-3</v>
      </c>
      <c r="V11" s="11">
        <v>0.46750000000000003</v>
      </c>
      <c r="W11" s="61">
        <v>0.62578400000000001</v>
      </c>
      <c r="X11" s="71">
        <v>0.63754900000000003</v>
      </c>
      <c r="Y11" s="128">
        <v>0.63549</v>
      </c>
      <c r="Z11" s="128">
        <v>0.62581600000000004</v>
      </c>
      <c r="AD11" s="178"/>
      <c r="AE11" s="3">
        <v>1</v>
      </c>
      <c r="AF11" s="152">
        <v>334300</v>
      </c>
      <c r="AG11" s="152">
        <v>10651</v>
      </c>
      <c r="AH11" s="152">
        <v>8895500</v>
      </c>
      <c r="AI11" s="152">
        <v>21006</v>
      </c>
      <c r="AJ11" s="152">
        <v>2309</v>
      </c>
      <c r="AK11" s="152">
        <v>865.22</v>
      </c>
      <c r="AL11" s="152">
        <v>72.168999999999997</v>
      </c>
      <c r="AO11" s="75">
        <v>1</v>
      </c>
      <c r="AP11" s="117">
        <v>0</v>
      </c>
      <c r="AQ11" s="118">
        <v>0</v>
      </c>
      <c r="AR11" s="75">
        <v>1</v>
      </c>
      <c r="AS11" s="117">
        <v>0</v>
      </c>
      <c r="AT11" s="119">
        <v>0</v>
      </c>
      <c r="AU11" s="75">
        <v>1</v>
      </c>
      <c r="AV11" s="117">
        <v>0</v>
      </c>
      <c r="AW11" s="121">
        <v>0</v>
      </c>
      <c r="AX11" s="75">
        <v>1</v>
      </c>
      <c r="AY11" s="117">
        <v>0</v>
      </c>
      <c r="AZ11" s="121">
        <v>0</v>
      </c>
      <c r="BA11" s="75">
        <v>1</v>
      </c>
      <c r="BB11" s="117">
        <v>0</v>
      </c>
      <c r="BC11" s="119">
        <v>0</v>
      </c>
      <c r="BF11" s="118">
        <f>14.7624/2</f>
        <v>7.3811999999999998</v>
      </c>
      <c r="BG11" s="16">
        <f t="shared" ref="BG11:BG48" si="2">$AQ$9*AQ12</f>
        <v>0</v>
      </c>
      <c r="BH11" s="16">
        <f t="shared" ref="BH11:BH48" si="3">$AT$9*AT12</f>
        <v>0</v>
      </c>
      <c r="BI11" s="16">
        <f t="shared" ref="BI11:BI48" si="4">$AW$9*AW12</f>
        <v>0</v>
      </c>
      <c r="BJ11" s="16">
        <f t="shared" ref="BJ11:BJ48" si="5">$AZ$9*AZ12</f>
        <v>0</v>
      </c>
      <c r="BK11" s="16">
        <f t="shared" ref="BK11:BK48" si="6">$BC$9*BC12</f>
        <v>0</v>
      </c>
    </row>
    <row r="12" spans="1:63" x14ac:dyDescent="0.25">
      <c r="A12" s="3"/>
      <c r="B12" s="3">
        <v>3</v>
      </c>
      <c r="C12" s="3">
        <v>3</v>
      </c>
      <c r="D12" s="3">
        <v>96</v>
      </c>
      <c r="E12" s="3">
        <f t="shared" ref="E12:E74" si="7">E11+D12</f>
        <v>120</v>
      </c>
      <c r="F12" s="3">
        <f t="shared" ref="F12:F74" si="8">E12/24</f>
        <v>5</v>
      </c>
      <c r="G12" s="3">
        <f t="shared" ref="G12:G74" si="9">F12/365.25</f>
        <v>1.3689253935660506E-2</v>
      </c>
      <c r="H12" s="3">
        <v>1.0714644</v>
      </c>
      <c r="I12" s="127">
        <v>1.0656106000000001</v>
      </c>
      <c r="J12" s="69">
        <v>1.0351634000000001</v>
      </c>
      <c r="K12" s="12">
        <v>1.0435506000000001</v>
      </c>
      <c r="L12" s="70">
        <v>1.0646909</v>
      </c>
      <c r="O12" s="3"/>
      <c r="P12" s="3">
        <v>3</v>
      </c>
      <c r="Q12" s="3">
        <v>3</v>
      </c>
      <c r="R12" s="3">
        <v>96</v>
      </c>
      <c r="S12" s="3">
        <f t="shared" ref="S12:S74" si="10">S11+R12</f>
        <v>120</v>
      </c>
      <c r="T12" s="3">
        <f t="shared" ref="T12:T21" si="11">S12/24</f>
        <v>5</v>
      </c>
      <c r="U12" s="3">
        <f t="shared" ref="U12:U74" si="12">T12/365.25</f>
        <v>1.3689253935660506E-2</v>
      </c>
      <c r="V12" s="11">
        <v>0.46768999999999999</v>
      </c>
      <c r="W12" s="61">
        <v>0.62583999999999995</v>
      </c>
      <c r="X12" s="71">
        <v>0.63760700000000003</v>
      </c>
      <c r="Y12" s="128">
        <v>0.63554600000000006</v>
      </c>
      <c r="Z12" s="128">
        <v>0.62587000000000004</v>
      </c>
      <c r="AD12" s="178"/>
      <c r="AE12" s="3">
        <v>3</v>
      </c>
      <c r="AF12" s="63">
        <v>242380</v>
      </c>
      <c r="AG12" s="63">
        <v>27145</v>
      </c>
      <c r="AH12" s="63">
        <v>8819700</v>
      </c>
      <c r="AI12" s="63">
        <v>43225</v>
      </c>
      <c r="AJ12" s="63">
        <v>9752.7000000000007</v>
      </c>
      <c r="AK12" s="63">
        <v>5417.8</v>
      </c>
      <c r="AL12" s="63">
        <v>1097.9000000000001</v>
      </c>
      <c r="AO12" s="95">
        <v>2</v>
      </c>
      <c r="AP12" s="117">
        <f>14.7624/2</f>
        <v>7.3811999999999998</v>
      </c>
      <c r="AQ12" s="120">
        <v>0</v>
      </c>
      <c r="AR12" s="96"/>
      <c r="AS12" s="118">
        <f>14.7624/2</f>
        <v>7.3811999999999998</v>
      </c>
      <c r="AT12" s="11">
        <v>0</v>
      </c>
      <c r="AU12" s="96">
        <v>2</v>
      </c>
      <c r="AV12" s="118">
        <f>14.7624/2</f>
        <v>7.3811999999999998</v>
      </c>
      <c r="AW12" s="121">
        <v>0</v>
      </c>
      <c r="AX12" s="96">
        <v>2</v>
      </c>
      <c r="AY12" s="118">
        <f>14.7624/2</f>
        <v>7.3811999999999998</v>
      </c>
      <c r="AZ12" s="121">
        <v>0</v>
      </c>
      <c r="BA12" s="96">
        <v>2</v>
      </c>
      <c r="BB12" s="118">
        <f>14.7624/2</f>
        <v>7.3811999999999998</v>
      </c>
      <c r="BC12" s="120">
        <v>0</v>
      </c>
      <c r="BF12" s="118">
        <f>2*BF11</f>
        <v>14.7624</v>
      </c>
      <c r="BG12" s="16">
        <f t="shared" si="2"/>
        <v>0</v>
      </c>
      <c r="BH12" s="16">
        <f t="shared" si="3"/>
        <v>0</v>
      </c>
      <c r="BI12" s="16">
        <f t="shared" si="4"/>
        <v>0</v>
      </c>
      <c r="BJ12" s="16">
        <f t="shared" si="5"/>
        <v>0</v>
      </c>
      <c r="BK12" s="16">
        <f t="shared" si="6"/>
        <v>0</v>
      </c>
    </row>
    <row r="13" spans="1:63" x14ac:dyDescent="0.25">
      <c r="A13" s="3"/>
      <c r="B13" s="3">
        <v>4</v>
      </c>
      <c r="C13" s="3">
        <v>4</v>
      </c>
      <c r="D13" s="3">
        <v>120</v>
      </c>
      <c r="E13" s="3">
        <f t="shared" si="7"/>
        <v>240</v>
      </c>
      <c r="F13" s="3">
        <f t="shared" si="8"/>
        <v>10</v>
      </c>
      <c r="G13" s="3">
        <f t="shared" si="9"/>
        <v>2.7378507871321012E-2</v>
      </c>
      <c r="H13" s="3">
        <v>1.0695281999999999</v>
      </c>
      <c r="I13" s="127">
        <v>1.0648196000000001</v>
      </c>
      <c r="J13" s="69">
        <v>1.0343659999999999</v>
      </c>
      <c r="K13" s="12">
        <v>1.0427512000000001</v>
      </c>
      <c r="L13" s="70">
        <v>1.0638962999999999</v>
      </c>
      <c r="O13" s="3"/>
      <c r="P13" s="3">
        <v>4</v>
      </c>
      <c r="Q13" s="3">
        <v>4</v>
      </c>
      <c r="R13" s="3">
        <v>120</v>
      </c>
      <c r="S13" s="3">
        <f t="shared" si="10"/>
        <v>240</v>
      </c>
      <c r="T13" s="3">
        <f t="shared" si="11"/>
        <v>10</v>
      </c>
      <c r="U13" s="3">
        <f t="shared" si="12"/>
        <v>2.7378507871321012E-2</v>
      </c>
      <c r="V13" s="11">
        <v>0.46812199999999998</v>
      </c>
      <c r="W13" s="61">
        <v>0.62611899999999998</v>
      </c>
      <c r="X13" s="71">
        <v>0.63790199999999997</v>
      </c>
      <c r="Y13" s="128">
        <v>0.63583900000000004</v>
      </c>
      <c r="Z13" s="128">
        <v>0.62615200000000004</v>
      </c>
      <c r="AD13" s="179"/>
      <c r="AE13" s="3">
        <v>5</v>
      </c>
      <c r="AF13" s="63">
        <v>167840</v>
      </c>
      <c r="AG13" s="63">
        <v>39480</v>
      </c>
      <c r="AH13" s="63">
        <v>8740200</v>
      </c>
      <c r="AI13" s="63">
        <v>54287</v>
      </c>
      <c r="AJ13" s="63">
        <v>16925</v>
      </c>
      <c r="AK13" s="63">
        <v>10355</v>
      </c>
      <c r="AL13" s="63">
        <v>3044.1</v>
      </c>
      <c r="AO13" s="75">
        <v>3</v>
      </c>
      <c r="AP13" s="117">
        <f>2*AP12</f>
        <v>14.7624</v>
      </c>
      <c r="AQ13" s="120">
        <v>0</v>
      </c>
      <c r="AR13" s="75"/>
      <c r="AS13" s="118">
        <f>2*AS12</f>
        <v>14.7624</v>
      </c>
      <c r="AT13" s="11">
        <v>0</v>
      </c>
      <c r="AU13" s="75">
        <v>3</v>
      </c>
      <c r="AV13" s="118">
        <f>2*AV12</f>
        <v>14.7624</v>
      </c>
      <c r="AW13" s="121">
        <v>0</v>
      </c>
      <c r="AX13" s="75">
        <v>3</v>
      </c>
      <c r="AY13" s="118">
        <f>2*AY12</f>
        <v>14.7624</v>
      </c>
      <c r="AZ13" s="121">
        <v>0</v>
      </c>
      <c r="BA13" s="75">
        <v>3</v>
      </c>
      <c r="BB13" s="118">
        <f>2*BB12</f>
        <v>14.7624</v>
      </c>
      <c r="BC13" s="120">
        <v>0</v>
      </c>
      <c r="BF13" s="118">
        <f>BF12+5.2376</f>
        <v>20</v>
      </c>
      <c r="BG13" s="16">
        <f t="shared" si="2"/>
        <v>0</v>
      </c>
      <c r="BH13" s="16">
        <f t="shared" si="3"/>
        <v>0</v>
      </c>
      <c r="BI13" s="16">
        <f t="shared" si="4"/>
        <v>0</v>
      </c>
      <c r="BJ13" s="16">
        <f t="shared" si="5"/>
        <v>0</v>
      </c>
      <c r="BK13" s="16">
        <f t="shared" si="6"/>
        <v>0</v>
      </c>
    </row>
    <row r="14" spans="1:63" x14ac:dyDescent="0.25">
      <c r="A14" s="3"/>
      <c r="B14" s="3">
        <v>5</v>
      </c>
      <c r="C14" s="3">
        <v>5</v>
      </c>
      <c r="D14" s="3">
        <v>240</v>
      </c>
      <c r="E14" s="3">
        <f t="shared" si="7"/>
        <v>480</v>
      </c>
      <c r="F14" s="3">
        <f t="shared" si="8"/>
        <v>20</v>
      </c>
      <c r="G14" s="3">
        <f t="shared" si="9"/>
        <v>5.4757015742642023E-2</v>
      </c>
      <c r="H14" s="3">
        <v>1.0671405</v>
      </c>
      <c r="I14" s="127">
        <v>1.0638406</v>
      </c>
      <c r="J14" s="69">
        <v>1.0333798000000001</v>
      </c>
      <c r="K14" s="12">
        <v>1.0417639999999999</v>
      </c>
      <c r="L14" s="70">
        <v>1.0629188000000001</v>
      </c>
      <c r="O14" s="3"/>
      <c r="P14" s="3">
        <v>5</v>
      </c>
      <c r="Q14" s="3">
        <v>5</v>
      </c>
      <c r="R14" s="3">
        <v>240</v>
      </c>
      <c r="S14" s="3">
        <f t="shared" si="10"/>
        <v>480</v>
      </c>
      <c r="T14" s="3">
        <f t="shared" si="11"/>
        <v>20</v>
      </c>
      <c r="U14" s="3">
        <f t="shared" si="12"/>
        <v>5.4757015742642023E-2</v>
      </c>
      <c r="V14" s="11">
        <v>0.46866799999999997</v>
      </c>
      <c r="W14" s="61">
        <v>0.62646999999999997</v>
      </c>
      <c r="X14" s="71">
        <v>0.63827100000000003</v>
      </c>
      <c r="Y14" s="128">
        <v>0.63620500000000002</v>
      </c>
      <c r="Z14" s="128">
        <v>0.62650300000000003</v>
      </c>
      <c r="AC14" s="142">
        <f>AF14/(AF14+AH14)</f>
        <v>7.1097419012093373E-3</v>
      </c>
      <c r="AD14" s="218" t="s">
        <v>276</v>
      </c>
      <c r="AE14" s="3">
        <v>0</v>
      </c>
      <c r="AF14" s="151">
        <v>58577</v>
      </c>
      <c r="AG14" s="152">
        <v>0</v>
      </c>
      <c r="AH14" s="152">
        <v>8180400</v>
      </c>
      <c r="AI14" s="152">
        <v>569810</v>
      </c>
      <c r="AJ14" s="152">
        <v>271930</v>
      </c>
      <c r="AK14" s="152">
        <v>142220</v>
      </c>
      <c r="AL14" s="152">
        <v>95972</v>
      </c>
      <c r="AO14" s="95">
        <v>4</v>
      </c>
      <c r="AP14" s="117">
        <f>AP13+5.2376</f>
        <v>20</v>
      </c>
      <c r="AQ14" s="120">
        <v>0</v>
      </c>
      <c r="AR14" s="96"/>
      <c r="AS14" s="118">
        <f>AS13+5.2376</f>
        <v>20</v>
      </c>
      <c r="AT14" s="11">
        <v>0</v>
      </c>
      <c r="AU14" s="96">
        <v>4</v>
      </c>
      <c r="AV14" s="118">
        <f>AV13+5.2376</f>
        <v>20</v>
      </c>
      <c r="AW14" s="121">
        <v>0</v>
      </c>
      <c r="AX14" s="96">
        <v>4</v>
      </c>
      <c r="AY14" s="118">
        <f>AY13+5.2376</f>
        <v>20</v>
      </c>
      <c r="AZ14" s="121">
        <v>0</v>
      </c>
      <c r="BA14" s="96">
        <v>4</v>
      </c>
      <c r="BB14" s="118">
        <f>BB13+5.2376</f>
        <v>20</v>
      </c>
      <c r="BC14" s="120">
        <v>0</v>
      </c>
      <c r="BF14" s="122">
        <f>BF13+6.25</f>
        <v>26.25</v>
      </c>
      <c r="BG14" s="16">
        <f t="shared" si="2"/>
        <v>33.781850423400002</v>
      </c>
      <c r="BH14" s="16">
        <f t="shared" si="3"/>
        <v>31.260237945790003</v>
      </c>
      <c r="BI14" s="16">
        <f t="shared" si="4"/>
        <v>30.408395746876</v>
      </c>
      <c r="BJ14" s="16">
        <f t="shared" si="5"/>
        <v>28.671662728800001</v>
      </c>
      <c r="BK14" s="16">
        <f t="shared" si="6"/>
        <v>28.114765046635</v>
      </c>
    </row>
    <row r="15" spans="1:63" x14ac:dyDescent="0.25">
      <c r="A15" s="3"/>
      <c r="B15" s="3">
        <v>6</v>
      </c>
      <c r="C15" s="3">
        <v>6</v>
      </c>
      <c r="D15" s="3">
        <v>240</v>
      </c>
      <c r="E15" s="3">
        <f t="shared" si="7"/>
        <v>720</v>
      </c>
      <c r="F15" s="3">
        <f t="shared" si="8"/>
        <v>30</v>
      </c>
      <c r="G15" s="3">
        <f t="shared" si="9"/>
        <v>8.2135523613963035E-2</v>
      </c>
      <c r="H15" s="3">
        <v>1.0629377</v>
      </c>
      <c r="I15" s="127">
        <v>1.0618764999999999</v>
      </c>
      <c r="J15" s="69">
        <v>1.0314095999999999</v>
      </c>
      <c r="K15" s="12">
        <v>1.0397897</v>
      </c>
      <c r="L15" s="70">
        <v>1.0609468</v>
      </c>
      <c r="O15" s="3"/>
      <c r="P15" s="3">
        <v>6</v>
      </c>
      <c r="Q15" s="3">
        <v>6</v>
      </c>
      <c r="R15" s="3">
        <v>240</v>
      </c>
      <c r="S15" s="3">
        <f t="shared" si="10"/>
        <v>720</v>
      </c>
      <c r="T15" s="3">
        <f t="shared" si="11"/>
        <v>30</v>
      </c>
      <c r="U15" s="3">
        <f t="shared" si="12"/>
        <v>8.2135523613963035E-2</v>
      </c>
      <c r="V15" s="11">
        <v>0.46968700000000002</v>
      </c>
      <c r="W15" s="61">
        <v>0.62717800000000001</v>
      </c>
      <c r="X15" s="71">
        <v>0.639015</v>
      </c>
      <c r="Y15" s="128">
        <v>0.63694099999999998</v>
      </c>
      <c r="Z15" s="128">
        <v>0.62721099999999996</v>
      </c>
      <c r="AC15" s="142"/>
      <c r="AD15" s="219"/>
      <c r="AE15" s="3">
        <v>1</v>
      </c>
      <c r="AF15" s="63">
        <v>55569</v>
      </c>
      <c r="AG15" s="63">
        <v>841.77</v>
      </c>
      <c r="AH15" s="63">
        <v>8150700</v>
      </c>
      <c r="AI15" s="63">
        <v>542470</v>
      </c>
      <c r="AJ15" s="63">
        <v>269920</v>
      </c>
      <c r="AK15" s="63">
        <v>144380</v>
      </c>
      <c r="AL15" s="63">
        <v>95936</v>
      </c>
      <c r="AO15" s="75">
        <v>5</v>
      </c>
      <c r="AP15" s="123">
        <f>AP14+6.25</f>
        <v>26.25</v>
      </c>
      <c r="AQ15" s="120">
        <v>0.25764150000000002</v>
      </c>
      <c r="AR15" s="75"/>
      <c r="AS15" s="122">
        <f>AS14+6.25</f>
        <v>26.25</v>
      </c>
      <c r="AT15" s="11">
        <v>0.30152990000000002</v>
      </c>
      <c r="AU15" s="75">
        <v>5</v>
      </c>
      <c r="AV15" s="122">
        <f>AV14+6.25</f>
        <v>26.25</v>
      </c>
      <c r="AW15" s="121">
        <v>0.38059219999999999</v>
      </c>
      <c r="AX15" s="75">
        <v>5</v>
      </c>
      <c r="AY15" s="122">
        <f>AY14+6.25</f>
        <v>26.25</v>
      </c>
      <c r="AZ15" s="121">
        <v>0.43219920000000001</v>
      </c>
      <c r="BA15" s="75">
        <v>5</v>
      </c>
      <c r="BB15" s="122">
        <f>BB14+6.25</f>
        <v>26.25</v>
      </c>
      <c r="BC15" s="120">
        <v>0.47865469999999999</v>
      </c>
      <c r="BF15" s="62">
        <f t="shared" ref="BF15:BF45" si="13">BF14+6.25</f>
        <v>32.5</v>
      </c>
      <c r="BG15" s="16">
        <f t="shared" si="2"/>
        <v>44.795215001479995</v>
      </c>
      <c r="BH15" s="16">
        <f t="shared" si="3"/>
        <v>41.144107881170001</v>
      </c>
      <c r="BI15" s="16">
        <f t="shared" si="4"/>
        <v>41.137761867496003</v>
      </c>
      <c r="BJ15" s="16">
        <f t="shared" si="5"/>
        <v>38.908274605199999</v>
      </c>
      <c r="BK15" s="16">
        <f t="shared" si="6"/>
        <v>38.239681514485</v>
      </c>
    </row>
    <row r="16" spans="1:63" x14ac:dyDescent="0.25">
      <c r="A16" s="3"/>
      <c r="B16" s="3">
        <v>7</v>
      </c>
      <c r="C16" s="3">
        <v>7</v>
      </c>
      <c r="D16" s="3">
        <v>720</v>
      </c>
      <c r="E16" s="3">
        <f t="shared" si="7"/>
        <v>1440</v>
      </c>
      <c r="F16" s="3">
        <f t="shared" si="8"/>
        <v>60</v>
      </c>
      <c r="G16" s="3">
        <f t="shared" si="9"/>
        <v>0.16427104722792607</v>
      </c>
      <c r="H16" s="3">
        <v>1.0602526999999999</v>
      </c>
      <c r="I16" s="127">
        <v>1.0602205</v>
      </c>
      <c r="J16" s="69">
        <v>1.029771</v>
      </c>
      <c r="K16" s="12">
        <v>1.0381426</v>
      </c>
      <c r="L16" s="70">
        <v>1.0592919999999999</v>
      </c>
      <c r="O16" s="3"/>
      <c r="P16" s="3">
        <v>7</v>
      </c>
      <c r="Q16" s="3">
        <v>7</v>
      </c>
      <c r="R16" s="3">
        <v>720</v>
      </c>
      <c r="S16" s="3">
        <f t="shared" si="10"/>
        <v>1440</v>
      </c>
      <c r="T16" s="3">
        <f t="shared" si="11"/>
        <v>60</v>
      </c>
      <c r="U16" s="3">
        <f t="shared" si="12"/>
        <v>0.16427104722792607</v>
      </c>
      <c r="V16" s="11">
        <v>0.47053800000000001</v>
      </c>
      <c r="W16" s="61">
        <v>0.62783299999999997</v>
      </c>
      <c r="X16" s="71">
        <v>0.63969500000000001</v>
      </c>
      <c r="Y16" s="128">
        <v>0.63761599999999996</v>
      </c>
      <c r="Z16" s="128">
        <v>0.62786799999999998</v>
      </c>
      <c r="AD16" s="219"/>
      <c r="AE16" s="3">
        <v>3</v>
      </c>
      <c r="AF16" s="63">
        <v>49639</v>
      </c>
      <c r="AG16" s="63">
        <v>2399.5</v>
      </c>
      <c r="AH16" s="63">
        <v>8086700</v>
      </c>
      <c r="AI16" s="63">
        <v>490500</v>
      </c>
      <c r="AJ16" s="63">
        <v>264380</v>
      </c>
      <c r="AK16" s="63">
        <v>146560</v>
      </c>
      <c r="AL16" s="63">
        <v>96482</v>
      </c>
      <c r="AO16" s="95">
        <v>6</v>
      </c>
      <c r="AP16" s="123">
        <f t="shared" ref="AP16:AP46" si="14">AP15+6.25</f>
        <v>32.5</v>
      </c>
      <c r="AQ16" s="120">
        <v>0.3416363</v>
      </c>
      <c r="AR16" s="96"/>
      <c r="AS16" s="62">
        <f t="shared" ref="AS16:AS46" si="15">AS15+6.25</f>
        <v>32.5</v>
      </c>
      <c r="AT16" s="11">
        <v>0.39686769999999999</v>
      </c>
      <c r="AU16" s="96">
        <v>6</v>
      </c>
      <c r="AV16" s="62">
        <f t="shared" ref="AV16:AV46" si="16">AV15+6.25</f>
        <v>32.5</v>
      </c>
      <c r="AW16" s="121">
        <v>0.51488120000000004</v>
      </c>
      <c r="AX16" s="96">
        <v>6</v>
      </c>
      <c r="AY16" s="62">
        <f t="shared" ref="AY16:AY46" si="17">AY15+6.25</f>
        <v>32.5</v>
      </c>
      <c r="AZ16" s="121">
        <v>0.58650679999999999</v>
      </c>
      <c r="BA16" s="96">
        <v>6</v>
      </c>
      <c r="BB16" s="62">
        <f t="shared" ref="BB16:BB46" si="18">BB15+6.25</f>
        <v>32.5</v>
      </c>
      <c r="BC16" s="120">
        <v>0.65103169999999999</v>
      </c>
      <c r="BF16" s="62">
        <f t="shared" si="13"/>
        <v>38.75</v>
      </c>
      <c r="BG16" s="16">
        <f t="shared" si="2"/>
        <v>60.695433295480001</v>
      </c>
      <c r="BH16" s="16">
        <f t="shared" si="3"/>
        <v>55.35078300304</v>
      </c>
      <c r="BI16" s="16">
        <f t="shared" si="4"/>
        <v>54.546948749622004</v>
      </c>
      <c r="BJ16" s="16">
        <f t="shared" si="5"/>
        <v>51.332169552300002</v>
      </c>
      <c r="BK16" s="16">
        <f t="shared" si="6"/>
        <v>50.296107134535006</v>
      </c>
    </row>
    <row r="17" spans="1:63" x14ac:dyDescent="0.25">
      <c r="A17" s="3"/>
      <c r="B17" s="3">
        <v>8</v>
      </c>
      <c r="C17" s="3">
        <v>8</v>
      </c>
      <c r="D17" s="3">
        <v>720</v>
      </c>
      <c r="E17" s="3">
        <f t="shared" si="7"/>
        <v>2160</v>
      </c>
      <c r="F17" s="3">
        <f t="shared" si="8"/>
        <v>90</v>
      </c>
      <c r="G17" s="3">
        <f t="shared" si="9"/>
        <v>0.24640657084188911</v>
      </c>
      <c r="H17" s="3">
        <v>1.0544766999999999</v>
      </c>
      <c r="I17" s="127">
        <v>1.0562358000000001</v>
      </c>
      <c r="J17" s="69">
        <v>1.0258323</v>
      </c>
      <c r="K17" s="12">
        <v>1.0341899000000001</v>
      </c>
      <c r="L17" s="70">
        <v>1.0553083000000001</v>
      </c>
      <c r="O17" s="3"/>
      <c r="P17" s="3">
        <v>8</v>
      </c>
      <c r="Q17" s="3">
        <v>8</v>
      </c>
      <c r="R17" s="3">
        <v>720</v>
      </c>
      <c r="S17" s="3">
        <f t="shared" si="10"/>
        <v>2160</v>
      </c>
      <c r="T17" s="3">
        <f t="shared" si="11"/>
        <v>90</v>
      </c>
      <c r="U17" s="3">
        <f t="shared" si="12"/>
        <v>0.24640657084188911</v>
      </c>
      <c r="V17" s="11">
        <v>0.47313899999999998</v>
      </c>
      <c r="W17" s="61">
        <v>0.62948499999999996</v>
      </c>
      <c r="X17" s="71">
        <v>0.64138499999999998</v>
      </c>
      <c r="Y17" s="128">
        <v>0.63929599999999998</v>
      </c>
      <c r="Z17" s="128">
        <v>0.629521</v>
      </c>
      <c r="AD17" s="220"/>
      <c r="AE17" s="3">
        <v>5</v>
      </c>
      <c r="AF17" s="63">
        <v>44144</v>
      </c>
      <c r="AG17" s="63">
        <v>3737.7</v>
      </c>
      <c r="AH17" s="63">
        <v>8021000</v>
      </c>
      <c r="AI17" s="63">
        <v>443360</v>
      </c>
      <c r="AJ17" s="63">
        <v>257360</v>
      </c>
      <c r="AK17" s="63">
        <v>146570</v>
      </c>
      <c r="AL17" s="63">
        <v>97560</v>
      </c>
      <c r="AO17" s="75">
        <v>7</v>
      </c>
      <c r="AP17" s="123">
        <f t="shared" si="14"/>
        <v>38.75</v>
      </c>
      <c r="AQ17" s="120">
        <v>0.46290130000000002</v>
      </c>
      <c r="AR17" s="75"/>
      <c r="AS17" s="62">
        <f t="shared" si="15"/>
        <v>38.75</v>
      </c>
      <c r="AT17" s="11">
        <v>0.5339024</v>
      </c>
      <c r="AU17" s="75">
        <v>7</v>
      </c>
      <c r="AV17" s="62">
        <f t="shared" si="16"/>
        <v>38.75</v>
      </c>
      <c r="AW17" s="121">
        <v>0.68271090000000001</v>
      </c>
      <c r="AX17" s="75">
        <v>7</v>
      </c>
      <c r="AY17" s="62">
        <f t="shared" si="17"/>
        <v>38.75</v>
      </c>
      <c r="AZ17" s="121">
        <v>0.77378570000000002</v>
      </c>
      <c r="BA17" s="75">
        <v>7</v>
      </c>
      <c r="BB17" s="62">
        <f t="shared" si="18"/>
        <v>38.75</v>
      </c>
      <c r="BC17" s="120">
        <v>0.85629270000000002</v>
      </c>
      <c r="BF17" s="62">
        <f t="shared" si="13"/>
        <v>45</v>
      </c>
      <c r="BG17" s="16">
        <f t="shared" si="2"/>
        <v>76.247909298319996</v>
      </c>
      <c r="BH17" s="16">
        <f t="shared" si="3"/>
        <v>68.878934597620002</v>
      </c>
      <c r="BI17" s="16">
        <f t="shared" si="4"/>
        <v>66.329804411332006</v>
      </c>
      <c r="BJ17" s="16">
        <f t="shared" si="5"/>
        <v>61.908198288299999</v>
      </c>
      <c r="BK17" s="16">
        <f t="shared" si="6"/>
        <v>60.351672767450012</v>
      </c>
    </row>
    <row r="18" spans="1:63" x14ac:dyDescent="0.25">
      <c r="A18" s="3"/>
      <c r="B18" s="3">
        <v>9</v>
      </c>
      <c r="C18" s="3">
        <v>9</v>
      </c>
      <c r="D18" s="3">
        <v>720</v>
      </c>
      <c r="E18" s="3">
        <f t="shared" si="7"/>
        <v>2880</v>
      </c>
      <c r="F18" s="3">
        <f t="shared" si="8"/>
        <v>120</v>
      </c>
      <c r="G18" s="3">
        <f t="shared" si="9"/>
        <v>0.32854209445585214</v>
      </c>
      <c r="H18" s="3">
        <v>1.0504937999999999</v>
      </c>
      <c r="I18" s="127">
        <v>1.0532428</v>
      </c>
      <c r="J18" s="69">
        <v>1.0228535999999999</v>
      </c>
      <c r="K18" s="12">
        <v>1.0312009</v>
      </c>
      <c r="L18" s="70">
        <v>1.0523164</v>
      </c>
      <c r="O18" s="3"/>
      <c r="P18" s="3">
        <v>9</v>
      </c>
      <c r="Q18" s="3">
        <v>9</v>
      </c>
      <c r="R18" s="3">
        <v>720</v>
      </c>
      <c r="S18" s="3">
        <f t="shared" si="10"/>
        <v>2880</v>
      </c>
      <c r="T18" s="3">
        <f t="shared" si="11"/>
        <v>120</v>
      </c>
      <c r="U18" s="3">
        <f t="shared" si="12"/>
        <v>0.32854209445585214</v>
      </c>
      <c r="V18" s="11">
        <v>0.476165</v>
      </c>
      <c r="W18" s="61">
        <v>0.63078100000000004</v>
      </c>
      <c r="X18" s="71">
        <v>0.64271</v>
      </c>
      <c r="Y18" s="128">
        <v>0.64061500000000005</v>
      </c>
      <c r="Z18" s="128">
        <v>0.63081799999999999</v>
      </c>
      <c r="AC18" s="142">
        <f>AF18/(AF18+AH18)</f>
        <v>7.1097419012093373E-3</v>
      </c>
      <c r="AD18" s="177" t="s">
        <v>277</v>
      </c>
      <c r="AE18" s="3">
        <v>0</v>
      </c>
      <c r="AF18" s="11">
        <v>58577</v>
      </c>
      <c r="AG18" s="63">
        <v>0</v>
      </c>
      <c r="AH18" s="63">
        <v>8180400</v>
      </c>
      <c r="AI18" s="63">
        <v>569810</v>
      </c>
      <c r="AJ18" s="63">
        <v>271930</v>
      </c>
      <c r="AK18" s="63">
        <v>142220</v>
      </c>
      <c r="AL18" s="63">
        <v>95972</v>
      </c>
      <c r="AO18" s="95">
        <v>8</v>
      </c>
      <c r="AP18" s="123">
        <f t="shared" si="14"/>
        <v>45</v>
      </c>
      <c r="AQ18" s="120">
        <v>0.58151419999999998</v>
      </c>
      <c r="AR18" s="96"/>
      <c r="AS18" s="62">
        <f t="shared" si="15"/>
        <v>45</v>
      </c>
      <c r="AT18" s="11">
        <v>0.66439219999999999</v>
      </c>
      <c r="AU18" s="96">
        <v>8</v>
      </c>
      <c r="AV18" s="62">
        <f t="shared" si="16"/>
        <v>45</v>
      </c>
      <c r="AW18" s="121">
        <v>0.83018539999999996</v>
      </c>
      <c r="AX18" s="96">
        <v>8</v>
      </c>
      <c r="AY18" s="62">
        <f t="shared" si="17"/>
        <v>45</v>
      </c>
      <c r="AZ18" s="121">
        <v>0.93320970000000003</v>
      </c>
      <c r="BA18" s="96">
        <v>8</v>
      </c>
      <c r="BB18" s="62">
        <f t="shared" si="18"/>
        <v>45</v>
      </c>
      <c r="BC18" s="120">
        <v>1.0274890000000001</v>
      </c>
      <c r="BF18" s="62">
        <f t="shared" si="13"/>
        <v>51.25</v>
      </c>
      <c r="BG18" s="16">
        <f t="shared" si="2"/>
        <v>91.271999537079992</v>
      </c>
      <c r="BH18" s="16">
        <f t="shared" si="3"/>
        <v>81.444573681380007</v>
      </c>
      <c r="BI18" s="16">
        <f t="shared" si="4"/>
        <v>76.118656168982</v>
      </c>
      <c r="BJ18" s="16">
        <f t="shared" si="5"/>
        <v>70.282057481999999</v>
      </c>
      <c r="BK18" s="16">
        <f t="shared" si="6"/>
        <v>68.076534635250013</v>
      </c>
    </row>
    <row r="19" spans="1:63" x14ac:dyDescent="0.25">
      <c r="A19" s="3"/>
      <c r="B19" s="3">
        <v>10</v>
      </c>
      <c r="C19" s="3">
        <v>10</v>
      </c>
      <c r="D19" s="3">
        <v>720</v>
      </c>
      <c r="E19" s="3">
        <f t="shared" si="7"/>
        <v>3600</v>
      </c>
      <c r="F19" s="3">
        <f t="shared" si="8"/>
        <v>150</v>
      </c>
      <c r="G19" s="3">
        <f t="shared" si="9"/>
        <v>0.41067761806981518</v>
      </c>
      <c r="H19" s="3">
        <v>1.0487412</v>
      </c>
      <c r="I19" s="127">
        <v>1.0508776</v>
      </c>
      <c r="J19" s="69">
        <v>1.0204690000000001</v>
      </c>
      <c r="K19" s="12">
        <v>1.0288184</v>
      </c>
      <c r="L19" s="70">
        <v>1.0499574</v>
      </c>
      <c r="O19" s="3"/>
      <c r="P19" s="3">
        <v>10</v>
      </c>
      <c r="Q19" s="3">
        <v>10</v>
      </c>
      <c r="R19" s="3">
        <v>720</v>
      </c>
      <c r="S19" s="3">
        <f t="shared" si="10"/>
        <v>3600</v>
      </c>
      <c r="T19" s="3">
        <f t="shared" si="11"/>
        <v>150</v>
      </c>
      <c r="U19" s="3">
        <f t="shared" si="12"/>
        <v>0.41067761806981518</v>
      </c>
      <c r="V19" s="11">
        <v>0.47926999999999997</v>
      </c>
      <c r="W19" s="61">
        <v>0.63183</v>
      </c>
      <c r="X19" s="71">
        <v>0.64378199999999997</v>
      </c>
      <c r="Y19" s="128">
        <v>0.64168000000000003</v>
      </c>
      <c r="Z19" s="128">
        <v>0.63186600000000004</v>
      </c>
      <c r="AD19" s="178"/>
      <c r="AE19" s="3">
        <v>1</v>
      </c>
      <c r="AF19" s="63">
        <v>55558</v>
      </c>
      <c r="AG19" s="63">
        <v>848.85</v>
      </c>
      <c r="AH19" s="63">
        <v>8150000</v>
      </c>
      <c r="AI19" s="63">
        <v>543220</v>
      </c>
      <c r="AJ19" s="63">
        <v>269830</v>
      </c>
      <c r="AK19" s="63">
        <v>144460</v>
      </c>
      <c r="AL19" s="63">
        <v>95860</v>
      </c>
      <c r="AO19" s="75">
        <v>9</v>
      </c>
      <c r="AP19" s="123">
        <f t="shared" si="14"/>
        <v>51.25</v>
      </c>
      <c r="AQ19" s="120">
        <v>0.69609730000000003</v>
      </c>
      <c r="AR19" s="75"/>
      <c r="AS19" s="62">
        <f t="shared" si="15"/>
        <v>51.25</v>
      </c>
      <c r="AT19" s="11">
        <v>0.78559780000000001</v>
      </c>
      <c r="AU19" s="75">
        <v>9</v>
      </c>
      <c r="AV19" s="62">
        <f t="shared" si="16"/>
        <v>51.25</v>
      </c>
      <c r="AW19" s="121">
        <v>0.95270290000000002</v>
      </c>
      <c r="AX19" s="75">
        <v>9</v>
      </c>
      <c r="AY19" s="62">
        <f t="shared" si="17"/>
        <v>51.25</v>
      </c>
      <c r="AZ19" s="121">
        <v>1.0594380000000001</v>
      </c>
      <c r="BA19" s="75">
        <v>9</v>
      </c>
      <c r="BB19" s="62">
        <f t="shared" si="18"/>
        <v>51.25</v>
      </c>
      <c r="BC19" s="120">
        <v>1.1590050000000001</v>
      </c>
      <c r="BF19" s="62">
        <f t="shared" si="13"/>
        <v>57.5</v>
      </c>
      <c r="BG19" s="16">
        <f t="shared" si="2"/>
        <v>105.65397087072</v>
      </c>
      <c r="BH19" s="16">
        <f t="shared" si="3"/>
        <v>92.804319632359991</v>
      </c>
      <c r="BI19" s="16">
        <f t="shared" si="4"/>
        <v>83.589407479060014</v>
      </c>
      <c r="BJ19" s="16">
        <f t="shared" si="5"/>
        <v>76.124931245999989</v>
      </c>
      <c r="BK19" s="16">
        <f t="shared" si="6"/>
        <v>73.1660412807</v>
      </c>
    </row>
    <row r="20" spans="1:63" x14ac:dyDescent="0.25">
      <c r="A20" s="3"/>
      <c r="B20" s="3">
        <v>11</v>
      </c>
      <c r="C20" s="3">
        <v>11</v>
      </c>
      <c r="D20" s="3">
        <v>720</v>
      </c>
      <c r="E20" s="3">
        <f t="shared" si="7"/>
        <v>4320</v>
      </c>
      <c r="F20" s="3">
        <f t="shared" si="8"/>
        <v>180</v>
      </c>
      <c r="G20" s="3">
        <f t="shared" si="9"/>
        <v>0.49281314168377821</v>
      </c>
      <c r="H20" s="3">
        <v>1.0501573</v>
      </c>
      <c r="I20" s="127">
        <v>1.0489609</v>
      </c>
      <c r="J20" s="69">
        <v>1.0184972999999999</v>
      </c>
      <c r="K20" s="12">
        <v>1.0268600000000001</v>
      </c>
      <c r="L20" s="70">
        <v>1.0480398</v>
      </c>
      <c r="O20" s="3"/>
      <c r="P20" s="3">
        <v>11</v>
      </c>
      <c r="Q20" s="3">
        <v>11</v>
      </c>
      <c r="R20" s="3">
        <v>720</v>
      </c>
      <c r="S20" s="3">
        <f t="shared" si="10"/>
        <v>4320</v>
      </c>
      <c r="T20" s="3">
        <f t="shared" si="11"/>
        <v>180</v>
      </c>
      <c r="U20" s="3">
        <f t="shared" si="12"/>
        <v>0.49281314168377821</v>
      </c>
      <c r="V20" s="11">
        <v>0.481964</v>
      </c>
      <c r="W20" s="61">
        <v>0.63271200000000005</v>
      </c>
      <c r="X20" s="71">
        <v>0.64469100000000001</v>
      </c>
      <c r="Y20" s="128">
        <v>0.64258000000000004</v>
      </c>
      <c r="Z20" s="128">
        <v>0.63274699999999995</v>
      </c>
      <c r="AC20" s="142"/>
      <c r="AD20" s="178"/>
      <c r="AE20" s="3">
        <v>3</v>
      </c>
      <c r="AF20" s="63">
        <v>49620</v>
      </c>
      <c r="AG20" s="63">
        <v>2417</v>
      </c>
      <c r="AH20" s="63">
        <v>8084400</v>
      </c>
      <c r="AI20" s="63">
        <v>492840</v>
      </c>
      <c r="AJ20" s="63">
        <v>264160</v>
      </c>
      <c r="AK20" s="63">
        <v>146820</v>
      </c>
      <c r="AL20" s="63">
        <v>96233</v>
      </c>
      <c r="AO20" s="95">
        <v>10</v>
      </c>
      <c r="AP20" s="123">
        <f t="shared" si="14"/>
        <v>57.5</v>
      </c>
      <c r="AQ20" s="120">
        <v>0.80578320000000003</v>
      </c>
      <c r="AR20" s="96"/>
      <c r="AS20" s="62">
        <f t="shared" si="15"/>
        <v>57.5</v>
      </c>
      <c r="AT20" s="11">
        <v>0.89517159999999996</v>
      </c>
      <c r="AU20" s="96">
        <v>10</v>
      </c>
      <c r="AV20" s="62">
        <f t="shared" si="16"/>
        <v>57.5</v>
      </c>
      <c r="AW20" s="121">
        <v>1.0462070000000001</v>
      </c>
      <c r="AX20" s="96">
        <v>10</v>
      </c>
      <c r="AY20" s="62">
        <f t="shared" si="17"/>
        <v>57.5</v>
      </c>
      <c r="AZ20" s="121">
        <v>1.1475139999999999</v>
      </c>
      <c r="BA20" s="96">
        <v>10</v>
      </c>
      <c r="BB20" s="62">
        <f t="shared" si="18"/>
        <v>57.5</v>
      </c>
      <c r="BC20" s="120">
        <v>1.245654</v>
      </c>
      <c r="BF20" s="62">
        <f t="shared" si="13"/>
        <v>63.75</v>
      </c>
      <c r="BG20" s="16">
        <f t="shared" si="2"/>
        <v>119.28083753992</v>
      </c>
      <c r="BH20" s="16">
        <f t="shared" si="3"/>
        <v>102.67151909406</v>
      </c>
      <c r="BI20" s="16">
        <f t="shared" si="4"/>
        <v>88.463958834859994</v>
      </c>
      <c r="BJ20" s="16">
        <f t="shared" si="5"/>
        <v>79.143289407000012</v>
      </c>
      <c r="BK20" s="16">
        <f t="shared" si="6"/>
        <v>75.354407552550001</v>
      </c>
    </row>
    <row r="21" spans="1:63" x14ac:dyDescent="0.25">
      <c r="A21" s="3"/>
      <c r="B21" s="3">
        <v>12</v>
      </c>
      <c r="C21" s="3">
        <v>12</v>
      </c>
      <c r="D21" s="3">
        <v>720</v>
      </c>
      <c r="E21" s="3">
        <f t="shared" si="7"/>
        <v>5040</v>
      </c>
      <c r="F21" s="3">
        <f t="shared" si="8"/>
        <v>210</v>
      </c>
      <c r="G21" s="3">
        <f t="shared" si="9"/>
        <v>0.57494866529774125</v>
      </c>
      <c r="H21" s="3">
        <v>1.0563487</v>
      </c>
      <c r="I21" s="127">
        <v>1.0474032</v>
      </c>
      <c r="J21" s="69">
        <v>1.0168600999999999</v>
      </c>
      <c r="K21" s="12">
        <v>1.0252275</v>
      </c>
      <c r="L21" s="70">
        <v>1.0464756</v>
      </c>
      <c r="O21" s="3"/>
      <c r="P21" s="3">
        <v>12</v>
      </c>
      <c r="Q21" s="3">
        <v>12</v>
      </c>
      <c r="R21" s="3">
        <v>720</v>
      </c>
      <c r="S21" s="3">
        <f t="shared" si="10"/>
        <v>5040</v>
      </c>
      <c r="T21" s="3">
        <f t="shared" si="11"/>
        <v>210</v>
      </c>
      <c r="U21" s="3">
        <f t="shared" si="12"/>
        <v>0.57494866529774125</v>
      </c>
      <c r="V21" s="11">
        <v>0.48386400000000002</v>
      </c>
      <c r="W21" s="61">
        <v>0.63344900000000004</v>
      </c>
      <c r="X21" s="71">
        <v>0.64546000000000003</v>
      </c>
      <c r="Y21" s="128">
        <v>0.643343</v>
      </c>
      <c r="Z21" s="128">
        <v>0.63348800000000005</v>
      </c>
      <c r="AD21" s="179"/>
      <c r="AE21" s="3">
        <v>5</v>
      </c>
      <c r="AF21" s="63">
        <v>44131</v>
      </c>
      <c r="AG21" s="63">
        <v>3761.1</v>
      </c>
      <c r="AH21" s="63">
        <v>8017000</v>
      </c>
      <c r="AI21" s="63">
        <v>447230</v>
      </c>
      <c r="AJ21" s="63">
        <v>257090</v>
      </c>
      <c r="AK21" s="63">
        <v>147040</v>
      </c>
      <c r="AL21" s="63">
        <v>97121</v>
      </c>
      <c r="AO21" s="75">
        <v>11</v>
      </c>
      <c r="AP21" s="123">
        <f t="shared" si="14"/>
        <v>63.75</v>
      </c>
      <c r="AQ21" s="120">
        <v>0.90971020000000002</v>
      </c>
      <c r="AR21" s="75"/>
      <c r="AS21" s="62">
        <f t="shared" si="15"/>
        <v>63.75</v>
      </c>
      <c r="AT21" s="11">
        <v>0.99034860000000002</v>
      </c>
      <c r="AU21" s="75">
        <v>11</v>
      </c>
      <c r="AV21" s="62">
        <f t="shared" si="16"/>
        <v>63.75</v>
      </c>
      <c r="AW21" s="121">
        <v>1.1072169999999999</v>
      </c>
      <c r="AX21" s="75">
        <v>11</v>
      </c>
      <c r="AY21" s="62">
        <f t="shared" si="17"/>
        <v>63.75</v>
      </c>
      <c r="AZ21" s="121">
        <v>1.1930130000000001</v>
      </c>
      <c r="BA21" s="75">
        <v>11</v>
      </c>
      <c r="BB21" s="62">
        <f t="shared" si="18"/>
        <v>63.75</v>
      </c>
      <c r="BC21" s="120">
        <v>1.2829109999999999</v>
      </c>
      <c r="BF21" s="62">
        <f t="shared" si="13"/>
        <v>70</v>
      </c>
      <c r="BG21" s="16">
        <f t="shared" si="2"/>
        <v>132.04333758199999</v>
      </c>
      <c r="BH21" s="16">
        <f t="shared" si="3"/>
        <v>110.7091548038</v>
      </c>
      <c r="BI21" s="16">
        <f t="shared" si="4"/>
        <v>90.607291315940003</v>
      </c>
      <c r="BJ21" s="16">
        <f t="shared" si="5"/>
        <v>79.138645677</v>
      </c>
      <c r="BK21" s="16">
        <f t="shared" si="6"/>
        <v>74.463425241099998</v>
      </c>
    </row>
    <row r="22" spans="1:63" x14ac:dyDescent="0.25">
      <c r="A22" s="3"/>
      <c r="B22" s="3">
        <v>13</v>
      </c>
      <c r="C22" s="3">
        <v>13</v>
      </c>
      <c r="D22" s="3">
        <v>720</v>
      </c>
      <c r="E22" s="3">
        <f t="shared" si="7"/>
        <v>5760</v>
      </c>
      <c r="F22" s="3">
        <f>E22/24</f>
        <v>240</v>
      </c>
      <c r="G22" s="3">
        <f t="shared" si="9"/>
        <v>0.65708418891170428</v>
      </c>
      <c r="H22" s="3">
        <v>1.0669028</v>
      </c>
      <c r="I22" s="127">
        <v>1.0461530999999999</v>
      </c>
      <c r="J22" s="69">
        <v>1.0155129000000001</v>
      </c>
      <c r="K22" s="12">
        <v>1.0239077999999999</v>
      </c>
      <c r="L22" s="70">
        <v>1.0452222</v>
      </c>
      <c r="O22" s="3"/>
      <c r="P22" s="3">
        <v>13</v>
      </c>
      <c r="Q22" s="3">
        <v>13</v>
      </c>
      <c r="R22" s="3">
        <v>720</v>
      </c>
      <c r="S22" s="3">
        <f t="shared" si="10"/>
        <v>5760</v>
      </c>
      <c r="T22" s="3">
        <f>S22/24</f>
        <v>240</v>
      </c>
      <c r="U22" s="3">
        <f t="shared" si="12"/>
        <v>0.65708418891170428</v>
      </c>
      <c r="V22" s="11">
        <v>0.48480299999999998</v>
      </c>
      <c r="W22" s="61">
        <v>0.63407599999999997</v>
      </c>
      <c r="X22" s="71">
        <v>0.646119</v>
      </c>
      <c r="Y22" s="128">
        <v>0.64399200000000001</v>
      </c>
      <c r="Z22" s="128">
        <v>0.63411700000000004</v>
      </c>
      <c r="AC22" s="142">
        <f>AF22/(AF22+AH22)</f>
        <v>7.1097419012093373E-3</v>
      </c>
      <c r="AD22" s="213" t="s">
        <v>278</v>
      </c>
      <c r="AE22" s="3">
        <v>0</v>
      </c>
      <c r="AF22" s="63">
        <v>58577</v>
      </c>
      <c r="AG22" s="63">
        <v>0</v>
      </c>
      <c r="AH22" s="63">
        <v>8180400</v>
      </c>
      <c r="AI22" s="63">
        <v>569810</v>
      </c>
      <c r="AJ22" s="63">
        <v>271930</v>
      </c>
      <c r="AK22" s="63">
        <v>142220</v>
      </c>
      <c r="AL22" s="63">
        <v>95972</v>
      </c>
      <c r="AO22" s="95">
        <v>12</v>
      </c>
      <c r="AP22" s="123">
        <f t="shared" si="14"/>
        <v>70</v>
      </c>
      <c r="AQ22" s="120">
        <v>1.007045</v>
      </c>
      <c r="AR22" s="96"/>
      <c r="AS22" s="62">
        <f t="shared" si="15"/>
        <v>70</v>
      </c>
      <c r="AT22" s="11">
        <v>1.0678780000000001</v>
      </c>
      <c r="AU22" s="96">
        <v>12</v>
      </c>
      <c r="AV22" s="62">
        <f t="shared" si="16"/>
        <v>70</v>
      </c>
      <c r="AW22" s="121">
        <v>1.1340429999999999</v>
      </c>
      <c r="AX22" s="96">
        <v>12</v>
      </c>
      <c r="AY22" s="62">
        <f t="shared" si="17"/>
        <v>70</v>
      </c>
      <c r="AZ22" s="121">
        <v>1.1929430000000001</v>
      </c>
      <c r="BA22" s="96">
        <v>12</v>
      </c>
      <c r="BB22" s="62">
        <f t="shared" si="18"/>
        <v>70</v>
      </c>
      <c r="BC22" s="120">
        <v>1.2677419999999999</v>
      </c>
      <c r="BF22" s="62">
        <f t="shared" si="13"/>
        <v>76.25</v>
      </c>
      <c r="BG22" s="16">
        <f t="shared" si="2"/>
        <v>143.83610328639998</v>
      </c>
      <c r="BH22" s="16">
        <f t="shared" si="3"/>
        <v>113.2467367955</v>
      </c>
      <c r="BI22" s="16">
        <f t="shared" si="4"/>
        <v>89.25518456959999</v>
      </c>
      <c r="BJ22" s="16">
        <f t="shared" si="5"/>
        <v>72.750199976999994</v>
      </c>
      <c r="BK22" s="16">
        <f t="shared" si="6"/>
        <v>67.144436388800003</v>
      </c>
    </row>
    <row r="23" spans="1:63" x14ac:dyDescent="0.25">
      <c r="A23" s="3"/>
      <c r="B23" s="3">
        <v>14</v>
      </c>
      <c r="C23" s="3">
        <v>14</v>
      </c>
      <c r="D23" s="3">
        <v>720</v>
      </c>
      <c r="E23" s="3">
        <f t="shared" si="7"/>
        <v>6480</v>
      </c>
      <c r="F23" s="3">
        <f t="shared" si="8"/>
        <v>270</v>
      </c>
      <c r="G23" s="3">
        <f t="shared" si="9"/>
        <v>0.73921971252566732</v>
      </c>
      <c r="H23" s="3">
        <v>1.0802451</v>
      </c>
      <c r="I23" s="127">
        <v>1.0451379000000001</v>
      </c>
      <c r="J23" s="69">
        <v>1.0143852</v>
      </c>
      <c r="K23" s="12">
        <v>1.0228010000000001</v>
      </c>
      <c r="L23" s="70">
        <v>1.0442089000000001</v>
      </c>
      <c r="O23" s="3"/>
      <c r="P23" s="3">
        <v>14</v>
      </c>
      <c r="Q23" s="3">
        <v>14</v>
      </c>
      <c r="R23" s="3">
        <v>720</v>
      </c>
      <c r="S23" s="3">
        <f t="shared" si="10"/>
        <v>6480</v>
      </c>
      <c r="T23" s="3">
        <f t="shared" ref="T23:T74" si="19">S23/24</f>
        <v>270</v>
      </c>
      <c r="U23" s="3">
        <f t="shared" si="12"/>
        <v>0.73921971252566732</v>
      </c>
      <c r="V23" s="11">
        <v>0.48515399999999997</v>
      </c>
      <c r="W23" s="61">
        <v>0.63461999999999996</v>
      </c>
      <c r="X23" s="71">
        <v>0.64669900000000002</v>
      </c>
      <c r="Y23" s="128">
        <v>0.64456100000000005</v>
      </c>
      <c r="Z23" s="128">
        <v>0.63466100000000003</v>
      </c>
      <c r="AD23" s="214"/>
      <c r="AE23" s="3">
        <v>1</v>
      </c>
      <c r="AF23" s="63">
        <v>55560</v>
      </c>
      <c r="AG23" s="63">
        <v>847.67</v>
      </c>
      <c r="AH23" s="63">
        <v>8150100</v>
      </c>
      <c r="AI23" s="63">
        <v>543070</v>
      </c>
      <c r="AJ23" s="63">
        <v>269840</v>
      </c>
      <c r="AK23" s="63">
        <v>144450</v>
      </c>
      <c r="AL23" s="63">
        <v>95874</v>
      </c>
      <c r="AO23" s="75">
        <v>13</v>
      </c>
      <c r="AP23" s="123">
        <f t="shared" si="14"/>
        <v>76.25</v>
      </c>
      <c r="AQ23" s="120">
        <v>1.096984</v>
      </c>
      <c r="AR23" s="75"/>
      <c r="AS23" s="62">
        <f t="shared" si="15"/>
        <v>76.25</v>
      </c>
      <c r="AT23" s="11">
        <v>1.092355</v>
      </c>
      <c r="AU23" s="75">
        <v>13</v>
      </c>
      <c r="AV23" s="62">
        <f t="shared" si="16"/>
        <v>76.25</v>
      </c>
      <c r="AW23" s="121">
        <v>1.1171199999999999</v>
      </c>
      <c r="AX23" s="75">
        <v>13</v>
      </c>
      <c r="AY23" s="62">
        <f t="shared" si="17"/>
        <v>76.25</v>
      </c>
      <c r="AZ23" s="121">
        <v>1.096643</v>
      </c>
      <c r="BA23" s="75">
        <v>13</v>
      </c>
      <c r="BB23" s="62">
        <f t="shared" si="18"/>
        <v>76.25</v>
      </c>
      <c r="BC23" s="120">
        <v>1.1431359999999999</v>
      </c>
      <c r="BF23" s="62">
        <f t="shared" si="13"/>
        <v>82.5</v>
      </c>
      <c r="BG23" s="16">
        <f t="shared" si="2"/>
        <v>154.55814633719999</v>
      </c>
      <c r="BH23" s="16">
        <f t="shared" si="3"/>
        <v>118.84347511399999</v>
      </c>
      <c r="BI23" s="16">
        <f t="shared" si="4"/>
        <v>88.852740459139994</v>
      </c>
      <c r="BJ23" s="16">
        <f t="shared" si="5"/>
        <v>70.515637100999996</v>
      </c>
      <c r="BK23" s="16">
        <f t="shared" si="6"/>
        <v>64.101093617150013</v>
      </c>
    </row>
    <row r="24" spans="1:63" x14ac:dyDescent="0.25">
      <c r="A24" s="3"/>
      <c r="B24" s="3">
        <v>15</v>
      </c>
      <c r="C24" s="3">
        <v>15</v>
      </c>
      <c r="D24" s="3">
        <v>720</v>
      </c>
      <c r="E24" s="3">
        <f t="shared" si="7"/>
        <v>7200</v>
      </c>
      <c r="F24" s="3">
        <f t="shared" si="8"/>
        <v>300</v>
      </c>
      <c r="G24" s="3">
        <f t="shared" si="9"/>
        <v>0.82135523613963035</v>
      </c>
      <c r="H24" s="3">
        <v>1.0899519</v>
      </c>
      <c r="I24" s="127">
        <v>1.0442697000000001</v>
      </c>
      <c r="J24" s="69">
        <v>1.0134151</v>
      </c>
      <c r="K24" s="12">
        <v>1.0218457000000001</v>
      </c>
      <c r="L24" s="70">
        <v>1.0433311000000001</v>
      </c>
      <c r="O24" s="3"/>
      <c r="P24" s="3">
        <v>15</v>
      </c>
      <c r="Q24" s="3">
        <v>15</v>
      </c>
      <c r="R24" s="3">
        <v>720</v>
      </c>
      <c r="S24" s="3">
        <f t="shared" si="10"/>
        <v>7200</v>
      </c>
      <c r="T24" s="3">
        <f t="shared" si="19"/>
        <v>300</v>
      </c>
      <c r="U24" s="3">
        <f t="shared" si="12"/>
        <v>0.82135523613963035</v>
      </c>
      <c r="V24" s="11">
        <v>0.48647699999999999</v>
      </c>
      <c r="W24" s="61">
        <v>0.6351</v>
      </c>
      <c r="X24" s="71">
        <v>0.64720599999999995</v>
      </c>
      <c r="Y24" s="128">
        <v>0.64506399999999997</v>
      </c>
      <c r="Z24" s="128">
        <v>0.63514300000000001</v>
      </c>
      <c r="AD24" s="214"/>
      <c r="AE24" s="3">
        <v>3</v>
      </c>
      <c r="AF24" s="63">
        <v>49622</v>
      </c>
      <c r="AG24" s="63">
        <v>2414</v>
      </c>
      <c r="AH24" s="63">
        <v>8084800</v>
      </c>
      <c r="AI24" s="63">
        <v>492380</v>
      </c>
      <c r="AJ24" s="63">
        <v>264200</v>
      </c>
      <c r="AK24" s="63">
        <v>146790</v>
      </c>
      <c r="AL24" s="63">
        <v>96279</v>
      </c>
      <c r="AO24" s="95">
        <v>14</v>
      </c>
      <c r="AP24" s="123">
        <f t="shared" si="14"/>
        <v>82.5</v>
      </c>
      <c r="AQ24" s="120">
        <v>1.1787570000000001</v>
      </c>
      <c r="AR24" s="96"/>
      <c r="AS24" s="62">
        <f t="shared" si="15"/>
        <v>82.5</v>
      </c>
      <c r="AT24" s="11">
        <v>1.1463399999999999</v>
      </c>
      <c r="AU24" s="96">
        <v>14</v>
      </c>
      <c r="AV24" s="62">
        <f t="shared" si="16"/>
        <v>82.5</v>
      </c>
      <c r="AW24" s="121">
        <v>1.1120829999999999</v>
      </c>
      <c r="AX24" s="96">
        <v>14</v>
      </c>
      <c r="AY24" s="62">
        <f t="shared" si="17"/>
        <v>82.5</v>
      </c>
      <c r="AZ24" s="121">
        <v>1.062959</v>
      </c>
      <c r="BA24" s="96">
        <v>14</v>
      </c>
      <c r="BB24" s="62">
        <f t="shared" si="18"/>
        <v>82.5</v>
      </c>
      <c r="BC24" s="120">
        <v>1.091323</v>
      </c>
      <c r="BF24" s="62">
        <f t="shared" si="13"/>
        <v>88.75</v>
      </c>
      <c r="BG24" s="16">
        <f t="shared" si="2"/>
        <v>164.1130938284</v>
      </c>
      <c r="BH24" s="16">
        <f t="shared" si="3"/>
        <v>124.12235477390001</v>
      </c>
      <c r="BI24" s="16">
        <f t="shared" si="4"/>
        <v>88.681599842780017</v>
      </c>
      <c r="BJ24" s="16">
        <f t="shared" si="5"/>
        <v>68.915606760000003</v>
      </c>
      <c r="BK24" s="16">
        <f t="shared" si="6"/>
        <v>61.726824582050007</v>
      </c>
    </row>
    <row r="25" spans="1:63" x14ac:dyDescent="0.25">
      <c r="A25" s="3"/>
      <c r="B25" s="3">
        <v>16</v>
      </c>
      <c r="C25" s="3">
        <v>16</v>
      </c>
      <c r="D25" s="3">
        <v>720</v>
      </c>
      <c r="E25" s="3">
        <f t="shared" si="7"/>
        <v>7920</v>
      </c>
      <c r="F25" s="3">
        <f t="shared" si="8"/>
        <v>330</v>
      </c>
      <c r="G25" s="3">
        <f t="shared" si="9"/>
        <v>0.90349075975359339</v>
      </c>
      <c r="H25" s="3">
        <v>1.0890678</v>
      </c>
      <c r="I25" s="127">
        <v>1.0436566</v>
      </c>
      <c r="J25" s="69">
        <v>1.0126637999999999</v>
      </c>
      <c r="K25" s="12">
        <v>1.0211359</v>
      </c>
      <c r="L25" s="70">
        <v>1.0427249999999999</v>
      </c>
      <c r="O25" s="3"/>
      <c r="P25" s="3">
        <v>16</v>
      </c>
      <c r="Q25" s="3">
        <v>16</v>
      </c>
      <c r="R25" s="3">
        <v>720</v>
      </c>
      <c r="S25" s="3">
        <f t="shared" si="10"/>
        <v>7920</v>
      </c>
      <c r="T25" s="3">
        <f t="shared" si="19"/>
        <v>330</v>
      </c>
      <c r="U25" s="3">
        <f t="shared" si="12"/>
        <v>0.90349075975359339</v>
      </c>
      <c r="V25" s="11">
        <v>0.49041499999999999</v>
      </c>
      <c r="W25" s="61">
        <v>0.63549299999999997</v>
      </c>
      <c r="X25" s="71">
        <v>0.64763800000000005</v>
      </c>
      <c r="Y25" s="128">
        <v>0.64548000000000005</v>
      </c>
      <c r="Z25" s="128">
        <v>0.63553499999999996</v>
      </c>
      <c r="AC25" s="142"/>
      <c r="AD25" s="215"/>
      <c r="AE25" s="3">
        <v>5</v>
      </c>
      <c r="AF25" s="63">
        <v>44132</v>
      </c>
      <c r="AG25" s="63">
        <v>3756.9</v>
      </c>
      <c r="AH25" s="63">
        <v>8017800</v>
      </c>
      <c r="AI25" s="63">
        <v>446480</v>
      </c>
      <c r="AJ25" s="63">
        <v>257130</v>
      </c>
      <c r="AK25" s="63">
        <v>146970</v>
      </c>
      <c r="AL25" s="63">
        <v>97205</v>
      </c>
      <c r="AO25" s="75">
        <v>15</v>
      </c>
      <c r="AP25" s="123">
        <f t="shared" si="14"/>
        <v>88.75</v>
      </c>
      <c r="AQ25" s="120">
        <v>1.2516290000000001</v>
      </c>
      <c r="AR25" s="75"/>
      <c r="AS25" s="62">
        <f t="shared" si="15"/>
        <v>88.75</v>
      </c>
      <c r="AT25" s="11">
        <v>1.1972590000000001</v>
      </c>
      <c r="AU25" s="75">
        <v>15</v>
      </c>
      <c r="AV25" s="62">
        <f t="shared" si="16"/>
        <v>88.75</v>
      </c>
      <c r="AW25" s="121">
        <v>1.1099410000000001</v>
      </c>
      <c r="AX25" s="75">
        <v>15</v>
      </c>
      <c r="AY25" s="62">
        <f t="shared" si="17"/>
        <v>88.75</v>
      </c>
      <c r="AZ25" s="121">
        <v>1.03884</v>
      </c>
      <c r="BA25" s="75">
        <v>15</v>
      </c>
      <c r="BB25" s="62">
        <f t="shared" si="18"/>
        <v>88.75</v>
      </c>
      <c r="BC25" s="120">
        <v>1.0509010000000001</v>
      </c>
      <c r="BF25" s="62">
        <f t="shared" si="13"/>
        <v>95</v>
      </c>
      <c r="BG25" s="16">
        <f t="shared" si="2"/>
        <v>172.41034211639999</v>
      </c>
      <c r="BH25" s="16">
        <f t="shared" si="3"/>
        <v>128.8817335407</v>
      </c>
      <c r="BI25" s="16">
        <f t="shared" si="4"/>
        <v>88.738886407639995</v>
      </c>
      <c r="BJ25" s="16">
        <f t="shared" si="5"/>
        <v>67.831494821999996</v>
      </c>
      <c r="BK25" s="16">
        <f t="shared" si="6"/>
        <v>59.894933466650009</v>
      </c>
    </row>
    <row r="26" spans="1:63" x14ac:dyDescent="0.25">
      <c r="A26" s="3" t="s">
        <v>269</v>
      </c>
      <c r="B26" s="3">
        <v>17</v>
      </c>
      <c r="C26" s="3">
        <v>17</v>
      </c>
      <c r="D26" s="3">
        <v>846</v>
      </c>
      <c r="E26" s="3">
        <f t="shared" si="7"/>
        <v>8766</v>
      </c>
      <c r="F26" s="3">
        <f t="shared" si="8"/>
        <v>365.25</v>
      </c>
      <c r="G26" s="3">
        <f t="shared" si="9"/>
        <v>1</v>
      </c>
      <c r="H26" s="3">
        <v>1.0850519000000001</v>
      </c>
      <c r="I26" s="127">
        <v>1.0430387000000001</v>
      </c>
      <c r="J26" s="69">
        <v>1.011927</v>
      </c>
      <c r="K26" s="12">
        <v>1.0204161</v>
      </c>
      <c r="L26" s="70">
        <v>1.0421054000000001</v>
      </c>
      <c r="O26" s="3" t="s">
        <v>269</v>
      </c>
      <c r="P26" s="3">
        <v>17</v>
      </c>
      <c r="Q26" s="3">
        <v>17</v>
      </c>
      <c r="R26" s="3">
        <v>846</v>
      </c>
      <c r="S26" s="3">
        <f t="shared" si="10"/>
        <v>8766</v>
      </c>
      <c r="T26" s="3">
        <f t="shared" si="19"/>
        <v>365.25</v>
      </c>
      <c r="U26" s="3">
        <f t="shared" si="12"/>
        <v>1</v>
      </c>
      <c r="V26" s="11">
        <v>0.494755</v>
      </c>
      <c r="W26" s="61">
        <v>0.63588199999999995</v>
      </c>
      <c r="X26" s="71">
        <v>0.64805800000000002</v>
      </c>
      <c r="Y26" s="128">
        <v>0.645895</v>
      </c>
      <c r="Z26" s="128">
        <v>0.63592499999999996</v>
      </c>
      <c r="AC26" s="142">
        <f>AF26/(AF26+AH26)</f>
        <v>7.1097419012093373E-3</v>
      </c>
      <c r="AD26" s="213" t="s">
        <v>279</v>
      </c>
      <c r="AE26" s="3">
        <v>0</v>
      </c>
      <c r="AF26" s="63">
        <v>58577</v>
      </c>
      <c r="AG26" s="63">
        <v>0</v>
      </c>
      <c r="AH26" s="63">
        <v>8180400</v>
      </c>
      <c r="AI26" s="63">
        <v>569810</v>
      </c>
      <c r="AJ26" s="63">
        <v>271930</v>
      </c>
      <c r="AK26" s="63">
        <v>142220</v>
      </c>
      <c r="AL26" s="63">
        <v>95972</v>
      </c>
      <c r="AO26" s="95">
        <v>16</v>
      </c>
      <c r="AP26" s="123">
        <f t="shared" si="14"/>
        <v>95</v>
      </c>
      <c r="AQ26" s="120">
        <v>1.3149090000000001</v>
      </c>
      <c r="AR26" s="96"/>
      <c r="AS26" s="62">
        <f t="shared" si="15"/>
        <v>95</v>
      </c>
      <c r="AT26" s="11">
        <v>1.2431669999999999</v>
      </c>
      <c r="AU26" s="96">
        <v>16</v>
      </c>
      <c r="AV26" s="62">
        <f t="shared" si="16"/>
        <v>95</v>
      </c>
      <c r="AW26" s="121">
        <v>1.1106579999999999</v>
      </c>
      <c r="AX26" s="96">
        <v>16</v>
      </c>
      <c r="AY26" s="62">
        <f t="shared" si="17"/>
        <v>95</v>
      </c>
      <c r="AZ26" s="121">
        <v>1.0224979999999999</v>
      </c>
      <c r="BA26" s="96">
        <v>16</v>
      </c>
      <c r="BB26" s="62">
        <f t="shared" si="18"/>
        <v>95</v>
      </c>
      <c r="BC26" s="120">
        <v>1.0197130000000001</v>
      </c>
      <c r="BF26" s="62">
        <f t="shared" si="13"/>
        <v>101.25</v>
      </c>
      <c r="BG26" s="16">
        <f t="shared" si="2"/>
        <v>179.36558129839997</v>
      </c>
      <c r="BH26" s="16">
        <f t="shared" si="3"/>
        <v>132.96931709949999</v>
      </c>
      <c r="BI26" s="16">
        <f t="shared" si="4"/>
        <v>88.943344314859999</v>
      </c>
      <c r="BJ26" s="16">
        <f t="shared" si="5"/>
        <v>67.142365290000001</v>
      </c>
      <c r="BK26" s="16">
        <f t="shared" si="6"/>
        <v>58.496715612515004</v>
      </c>
    </row>
    <row r="27" spans="1:63" x14ac:dyDescent="0.25">
      <c r="A27" s="3"/>
      <c r="B27" s="3">
        <v>1</v>
      </c>
      <c r="C27" s="3">
        <v>18</v>
      </c>
      <c r="D27" s="3">
        <v>720</v>
      </c>
      <c r="E27" s="3">
        <f t="shared" si="7"/>
        <v>9486</v>
      </c>
      <c r="F27" s="3">
        <f t="shared" si="8"/>
        <v>395.25</v>
      </c>
      <c r="G27" s="3">
        <f t="shared" si="9"/>
        <v>1.0821355236139631</v>
      </c>
      <c r="H27" s="3">
        <v>1.0851443000000001</v>
      </c>
      <c r="I27" s="127">
        <v>1.0430428</v>
      </c>
      <c r="J27" s="69">
        <v>1.0119324000000001</v>
      </c>
      <c r="K27" s="12">
        <v>1.0204214</v>
      </c>
      <c r="L27" s="70">
        <v>1.0421096000000001</v>
      </c>
      <c r="M27" t="s">
        <v>270</v>
      </c>
      <c r="O27" s="3"/>
      <c r="P27" s="3">
        <v>1</v>
      </c>
      <c r="Q27" s="3">
        <v>18</v>
      </c>
      <c r="R27" s="3">
        <v>720</v>
      </c>
      <c r="S27" s="3">
        <f t="shared" si="10"/>
        <v>9486</v>
      </c>
      <c r="T27" s="3">
        <f t="shared" si="19"/>
        <v>395.25</v>
      </c>
      <c r="U27" s="3">
        <f t="shared" si="12"/>
        <v>1.0821355236139631</v>
      </c>
      <c r="V27" s="11">
        <v>0.49478699999999998</v>
      </c>
      <c r="W27" s="61">
        <v>0.63588</v>
      </c>
      <c r="X27" s="71">
        <v>0.64805599999999997</v>
      </c>
      <c r="Y27" s="128">
        <v>0.64589200000000002</v>
      </c>
      <c r="Z27" s="128">
        <v>0.63592199999999999</v>
      </c>
      <c r="AA27" t="s">
        <v>270</v>
      </c>
      <c r="AD27" s="214"/>
      <c r="AE27" s="3">
        <v>1</v>
      </c>
      <c r="AF27" s="63">
        <v>55569</v>
      </c>
      <c r="AG27" s="63">
        <v>841.77</v>
      </c>
      <c r="AH27" s="63">
        <v>8150700</v>
      </c>
      <c r="AI27" s="63">
        <v>542480</v>
      </c>
      <c r="AJ27" s="63">
        <v>269920</v>
      </c>
      <c r="AK27" s="63">
        <v>144380</v>
      </c>
      <c r="AL27" s="63">
        <v>95936</v>
      </c>
      <c r="AO27" s="75">
        <v>17</v>
      </c>
      <c r="AP27" s="123">
        <f t="shared" si="14"/>
        <v>101.25</v>
      </c>
      <c r="AQ27" s="120">
        <v>1.3679539999999999</v>
      </c>
      <c r="AR27" s="75"/>
      <c r="AS27" s="62">
        <f t="shared" si="15"/>
        <v>101.25</v>
      </c>
      <c r="AT27" s="11">
        <v>1.2825949999999999</v>
      </c>
      <c r="AU27" s="75">
        <v>17</v>
      </c>
      <c r="AV27" s="62">
        <f t="shared" si="16"/>
        <v>101.25</v>
      </c>
      <c r="AW27" s="121">
        <v>1.1132169999999999</v>
      </c>
      <c r="AX27" s="75">
        <v>17</v>
      </c>
      <c r="AY27" s="62">
        <f t="shared" si="17"/>
        <v>101.25</v>
      </c>
      <c r="AZ27" s="121">
        <v>1.0121100000000001</v>
      </c>
      <c r="BA27" s="75">
        <v>17</v>
      </c>
      <c r="BB27" s="62">
        <f t="shared" si="18"/>
        <v>101.25</v>
      </c>
      <c r="BC27" s="120">
        <v>0.99590829999999997</v>
      </c>
      <c r="BF27" s="62">
        <f t="shared" si="13"/>
        <v>107.5</v>
      </c>
      <c r="BG27" s="16">
        <f t="shared" si="2"/>
        <v>184.90236864759999</v>
      </c>
      <c r="BH27" s="16">
        <f t="shared" si="3"/>
        <v>136.27739013839999</v>
      </c>
      <c r="BI27" s="16">
        <f t="shared" si="4"/>
        <v>89.216913628780006</v>
      </c>
      <c r="BJ27" s="16">
        <f t="shared" si="5"/>
        <v>66.757665428999999</v>
      </c>
      <c r="BK27" s="16">
        <f t="shared" si="6"/>
        <v>57.460200512280004</v>
      </c>
    </row>
    <row r="28" spans="1:63" x14ac:dyDescent="0.25">
      <c r="A28" s="3"/>
      <c r="B28" s="3">
        <v>2</v>
      </c>
      <c r="C28" s="3">
        <v>19</v>
      </c>
      <c r="D28" s="3">
        <v>720</v>
      </c>
      <c r="E28" s="3">
        <f t="shared" si="7"/>
        <v>10206</v>
      </c>
      <c r="F28" s="3">
        <f t="shared" si="8"/>
        <v>425.25</v>
      </c>
      <c r="G28" s="3">
        <f t="shared" si="9"/>
        <v>1.1642710472279261</v>
      </c>
      <c r="H28" s="3">
        <v>1.0796911</v>
      </c>
      <c r="I28" s="127">
        <v>1.0426381</v>
      </c>
      <c r="J28" s="69">
        <v>1.0113927</v>
      </c>
      <c r="K28" s="12">
        <v>1.0199106</v>
      </c>
      <c r="L28" s="70">
        <v>1.0416969</v>
      </c>
      <c r="O28" s="3"/>
      <c r="P28" s="3">
        <v>2</v>
      </c>
      <c r="Q28" s="3">
        <v>19</v>
      </c>
      <c r="R28" s="3">
        <v>720</v>
      </c>
      <c r="S28" s="3">
        <f t="shared" si="10"/>
        <v>10206</v>
      </c>
      <c r="T28" s="3">
        <f t="shared" si="19"/>
        <v>425.25</v>
      </c>
      <c r="U28" s="3">
        <f t="shared" si="12"/>
        <v>1.1642710472279261</v>
      </c>
      <c r="V28" s="11">
        <v>0.49871199999999999</v>
      </c>
      <c r="W28" s="61">
        <v>0.63619199999999998</v>
      </c>
      <c r="X28" s="71">
        <v>0.64840200000000003</v>
      </c>
      <c r="Y28" s="128">
        <v>0.64622900000000005</v>
      </c>
      <c r="Z28" s="128">
        <v>0.63623700000000005</v>
      </c>
      <c r="AD28" s="214"/>
      <c r="AE28" s="3">
        <v>3</v>
      </c>
      <c r="AF28" s="63">
        <v>49639</v>
      </c>
      <c r="AG28" s="63">
        <v>2399.5</v>
      </c>
      <c r="AH28" s="63">
        <v>8086700</v>
      </c>
      <c r="AI28" s="63">
        <v>490510</v>
      </c>
      <c r="AJ28" s="63">
        <v>264380</v>
      </c>
      <c r="AK28" s="63">
        <v>146560</v>
      </c>
      <c r="AL28" s="63">
        <v>96482</v>
      </c>
      <c r="AO28" s="95">
        <v>18</v>
      </c>
      <c r="AP28" s="123">
        <f t="shared" si="14"/>
        <v>107.5</v>
      </c>
      <c r="AQ28" s="120">
        <v>1.4101809999999999</v>
      </c>
      <c r="AR28" s="96"/>
      <c r="AS28" s="62">
        <f t="shared" si="15"/>
        <v>107.5</v>
      </c>
      <c r="AT28" s="11">
        <v>1.3145039999999999</v>
      </c>
      <c r="AU28" s="96">
        <v>18</v>
      </c>
      <c r="AV28" s="62">
        <f t="shared" si="16"/>
        <v>107.5</v>
      </c>
      <c r="AW28" s="121">
        <v>1.116641</v>
      </c>
      <c r="AX28" s="96">
        <v>18</v>
      </c>
      <c r="AY28" s="62">
        <f t="shared" si="17"/>
        <v>107.5</v>
      </c>
      <c r="AZ28" s="121">
        <v>1.006311</v>
      </c>
      <c r="BA28" s="96">
        <v>18</v>
      </c>
      <c r="BB28" s="62">
        <f t="shared" si="18"/>
        <v>107.5</v>
      </c>
      <c r="BC28" s="120">
        <v>0.97826159999999995</v>
      </c>
      <c r="BF28" s="62">
        <f t="shared" si="13"/>
        <v>113.75</v>
      </c>
      <c r="BG28" s="16">
        <f t="shared" si="2"/>
        <v>188.95370204839998</v>
      </c>
      <c r="BH28" s="16">
        <f t="shared" si="3"/>
        <v>138.7216672401</v>
      </c>
      <c r="BI28" s="16">
        <f t="shared" si="4"/>
        <v>89.492160791879996</v>
      </c>
      <c r="BJ28" s="16">
        <f t="shared" si="5"/>
        <v>66.608270000999994</v>
      </c>
      <c r="BK28" s="16">
        <f t="shared" si="6"/>
        <v>56.73344699263</v>
      </c>
    </row>
    <row r="29" spans="1:63" x14ac:dyDescent="0.25">
      <c r="A29" s="3"/>
      <c r="B29" s="3">
        <v>3</v>
      </c>
      <c r="C29" s="3">
        <v>20</v>
      </c>
      <c r="D29" s="3">
        <v>720</v>
      </c>
      <c r="E29" s="3">
        <f t="shared" si="7"/>
        <v>10926</v>
      </c>
      <c r="F29" s="3">
        <f t="shared" si="8"/>
        <v>455.25</v>
      </c>
      <c r="G29" s="3">
        <f t="shared" si="9"/>
        <v>1.2464065708418892</v>
      </c>
      <c r="H29" s="3">
        <v>1.0745792000000001</v>
      </c>
      <c r="I29" s="127">
        <v>1.0421115000000001</v>
      </c>
      <c r="J29" s="69">
        <v>1.0107436999999999</v>
      </c>
      <c r="K29" s="12">
        <v>1.0192714</v>
      </c>
      <c r="L29" s="70">
        <v>1.0411786000000001</v>
      </c>
      <c r="O29" s="3"/>
      <c r="P29" s="3">
        <v>3</v>
      </c>
      <c r="Q29" s="3">
        <v>20</v>
      </c>
      <c r="R29" s="3">
        <v>720</v>
      </c>
      <c r="S29" s="3">
        <f t="shared" si="10"/>
        <v>10926</v>
      </c>
      <c r="T29" s="3">
        <f t="shared" si="19"/>
        <v>455.25</v>
      </c>
      <c r="U29" s="3">
        <f t="shared" si="12"/>
        <v>1.2464065708418892</v>
      </c>
      <c r="V29" s="11">
        <v>0.50217500000000004</v>
      </c>
      <c r="W29" s="61">
        <v>0.63653000000000004</v>
      </c>
      <c r="X29" s="71">
        <v>0.64877499999999999</v>
      </c>
      <c r="Y29" s="128">
        <v>0.64659599999999995</v>
      </c>
      <c r="Z29" s="128">
        <v>0.63657399999999997</v>
      </c>
      <c r="AD29" s="215"/>
      <c r="AE29" s="3">
        <v>5</v>
      </c>
      <c r="AF29" s="63">
        <v>44144</v>
      </c>
      <c r="AG29" s="63">
        <v>3737.6</v>
      </c>
      <c r="AH29" s="63">
        <v>8021000</v>
      </c>
      <c r="AI29" s="63">
        <v>443380</v>
      </c>
      <c r="AJ29" s="63">
        <v>257360</v>
      </c>
      <c r="AK29" s="63">
        <v>146570</v>
      </c>
      <c r="AL29" s="63">
        <v>97559</v>
      </c>
      <c r="AO29" s="75">
        <v>19</v>
      </c>
      <c r="AP29" s="123">
        <f t="shared" si="14"/>
        <v>113.75</v>
      </c>
      <c r="AQ29" s="120">
        <v>1.441079</v>
      </c>
      <c r="AR29" s="75"/>
      <c r="AS29" s="62">
        <f t="shared" si="15"/>
        <v>113.75</v>
      </c>
      <c r="AT29" s="11">
        <v>1.3380810000000001</v>
      </c>
      <c r="AU29" s="75">
        <v>19</v>
      </c>
      <c r="AV29" s="62">
        <f t="shared" si="16"/>
        <v>113.75</v>
      </c>
      <c r="AW29" s="121">
        <v>1.1200859999999999</v>
      </c>
      <c r="AX29" s="75">
        <v>19</v>
      </c>
      <c r="AY29" s="62">
        <f t="shared" si="17"/>
        <v>113.75</v>
      </c>
      <c r="AZ29" s="121">
        <v>1.004059</v>
      </c>
      <c r="BA29" s="75">
        <v>19</v>
      </c>
      <c r="BB29" s="62">
        <f t="shared" si="18"/>
        <v>113.75</v>
      </c>
      <c r="BC29" s="120">
        <v>0.96588859999999999</v>
      </c>
      <c r="BF29" s="62">
        <f t="shared" si="13"/>
        <v>120</v>
      </c>
      <c r="BG29" s="16">
        <f>$AQ$9*AQ30</f>
        <v>191.4624133552</v>
      </c>
      <c r="BH29" s="16">
        <f>$AT$9*AT30</f>
        <v>140.23082199980001</v>
      </c>
      <c r="BI29" s="16">
        <f>$AW$9*AW30</f>
        <v>89.717152377160005</v>
      </c>
      <c r="BJ29" s="16">
        <f>$AZ$9*AZ30</f>
        <v>66.643296992999993</v>
      </c>
      <c r="BK29" s="16">
        <f>$BC$9*BC30</f>
        <v>56.277612242400004</v>
      </c>
    </row>
    <row r="30" spans="1:63" x14ac:dyDescent="0.25">
      <c r="A30" s="3"/>
      <c r="B30" s="3">
        <v>4</v>
      </c>
      <c r="C30" s="3">
        <v>21</v>
      </c>
      <c r="D30" s="3">
        <v>720</v>
      </c>
      <c r="E30" s="3">
        <f t="shared" si="7"/>
        <v>11646</v>
      </c>
      <c r="F30" s="3">
        <f t="shared" si="8"/>
        <v>485.25</v>
      </c>
      <c r="G30" s="3">
        <f t="shared" si="9"/>
        <v>1.3285420944558521</v>
      </c>
      <c r="H30" s="3">
        <v>1.0712229</v>
      </c>
      <c r="I30" s="127">
        <v>1.0415988</v>
      </c>
      <c r="J30" s="69">
        <v>1.0101335</v>
      </c>
      <c r="K30" s="12">
        <v>1.0186827000000001</v>
      </c>
      <c r="L30" s="70">
        <v>1.0406629999999999</v>
      </c>
      <c r="O30" s="3"/>
      <c r="P30" s="3">
        <v>4</v>
      </c>
      <c r="Q30" s="3">
        <v>21</v>
      </c>
      <c r="R30" s="3">
        <v>720</v>
      </c>
      <c r="S30" s="3">
        <f t="shared" si="10"/>
        <v>11646</v>
      </c>
      <c r="T30" s="3">
        <f t="shared" si="19"/>
        <v>485.25</v>
      </c>
      <c r="U30" s="3">
        <f t="shared" si="12"/>
        <v>1.3285420944558521</v>
      </c>
      <c r="V30" s="11">
        <v>0.50441499999999995</v>
      </c>
      <c r="W30" s="61">
        <v>0.63685599999999998</v>
      </c>
      <c r="X30" s="71">
        <v>0.64912899999999996</v>
      </c>
      <c r="Y30" s="128">
        <v>0.64694099999999999</v>
      </c>
      <c r="Z30" s="128">
        <v>0.63690000000000002</v>
      </c>
      <c r="AC30" s="142"/>
      <c r="AO30" s="95">
        <v>20</v>
      </c>
      <c r="AP30" s="123">
        <f t="shared" si="14"/>
        <v>120</v>
      </c>
      <c r="AQ30" s="120">
        <v>1.4602120000000001</v>
      </c>
      <c r="AR30" s="96"/>
      <c r="AS30" s="62">
        <f t="shared" si="15"/>
        <v>120</v>
      </c>
      <c r="AT30" s="11">
        <v>1.352638</v>
      </c>
      <c r="AU30" s="96">
        <v>20</v>
      </c>
      <c r="AV30" s="62">
        <f t="shared" si="16"/>
        <v>120</v>
      </c>
      <c r="AW30" s="121">
        <v>1.1229020000000001</v>
      </c>
      <c r="AX30" s="96">
        <v>20</v>
      </c>
      <c r="AY30" s="62">
        <f t="shared" si="17"/>
        <v>120</v>
      </c>
      <c r="AZ30" s="121">
        <v>1.0045869999999999</v>
      </c>
      <c r="BA30" s="96">
        <v>20</v>
      </c>
      <c r="BB30" s="62">
        <f t="shared" si="18"/>
        <v>120</v>
      </c>
      <c r="BC30" s="120">
        <v>0.95812799999999998</v>
      </c>
      <c r="BF30" s="62">
        <f>BF29+6.25</f>
        <v>126.25</v>
      </c>
      <c r="BG30" s="16">
        <f>$AQ$9*AQ31</f>
        <v>192.38365966480001</v>
      </c>
      <c r="BH30" s="16">
        <f>$AT$9*AT31</f>
        <v>140.43764783929998</v>
      </c>
      <c r="BI30" s="16">
        <f>$AW$9*AW31</f>
        <v>89.635976435879996</v>
      </c>
      <c r="BJ30" s="16">
        <f>$AZ$9*AZ31</f>
        <v>66.632749092000012</v>
      </c>
      <c r="BK30" s="16">
        <f>$BC$9*BC31</f>
        <v>55.901630511645003</v>
      </c>
    </row>
    <row r="31" spans="1:63" x14ac:dyDescent="0.25">
      <c r="A31" s="3"/>
      <c r="B31" s="3">
        <v>5</v>
      </c>
      <c r="C31" s="3">
        <v>22</v>
      </c>
      <c r="D31" s="3">
        <v>720</v>
      </c>
      <c r="E31" s="3">
        <f t="shared" si="7"/>
        <v>12366</v>
      </c>
      <c r="F31" s="3">
        <f t="shared" si="8"/>
        <v>515.25</v>
      </c>
      <c r="G31" s="3">
        <f t="shared" si="9"/>
        <v>1.4106776180698153</v>
      </c>
      <c r="H31" s="3">
        <v>1.0697478</v>
      </c>
      <c r="I31" s="127">
        <v>1.0408980999999999</v>
      </c>
      <c r="J31" s="69">
        <v>1.0093386</v>
      </c>
      <c r="K31" s="12">
        <v>1.0178992</v>
      </c>
      <c r="L31" s="70">
        <v>1.0399635</v>
      </c>
      <c r="O31" s="3"/>
      <c r="P31" s="3">
        <v>5</v>
      </c>
      <c r="Q31" s="3">
        <v>22</v>
      </c>
      <c r="R31" s="3">
        <v>720</v>
      </c>
      <c r="S31" s="3">
        <f t="shared" si="10"/>
        <v>12366</v>
      </c>
      <c r="T31" s="3">
        <f t="shared" si="19"/>
        <v>515.25</v>
      </c>
      <c r="U31" s="3">
        <f t="shared" si="12"/>
        <v>1.4106776180698153</v>
      </c>
      <c r="V31" s="11">
        <v>0.50558099999999995</v>
      </c>
      <c r="W31" s="61">
        <v>0.63722699999999999</v>
      </c>
      <c r="X31" s="71">
        <v>0.64952799999999999</v>
      </c>
      <c r="Y31" s="128">
        <v>0.64733600000000002</v>
      </c>
      <c r="Z31" s="128">
        <v>0.63727299999999998</v>
      </c>
      <c r="AO31" s="75">
        <v>21</v>
      </c>
      <c r="AP31" s="123">
        <f t="shared" si="14"/>
        <v>126.25</v>
      </c>
      <c r="AQ31" s="120">
        <v>1.467238</v>
      </c>
      <c r="AR31" s="75"/>
      <c r="AS31" s="62">
        <f t="shared" si="15"/>
        <v>126.25</v>
      </c>
      <c r="AT31" s="11">
        <v>1.354633</v>
      </c>
      <c r="AU31" s="75">
        <v>21</v>
      </c>
      <c r="AV31" s="62">
        <f t="shared" si="16"/>
        <v>126.25</v>
      </c>
      <c r="AW31" s="121">
        <v>1.1218859999999999</v>
      </c>
      <c r="AX31" s="75">
        <v>21</v>
      </c>
      <c r="AY31" s="62">
        <f t="shared" si="17"/>
        <v>126.25</v>
      </c>
      <c r="AZ31" s="121">
        <v>1.0044280000000001</v>
      </c>
      <c r="BA31" s="75">
        <v>21</v>
      </c>
      <c r="BB31" s="62">
        <f t="shared" si="18"/>
        <v>126.25</v>
      </c>
      <c r="BC31" s="120">
        <v>0.95172690000000004</v>
      </c>
      <c r="BF31" s="62">
        <f>BF30+6.25</f>
        <v>132.5</v>
      </c>
      <c r="BG31" s="16">
        <f t="shared" si="2"/>
        <v>191.68557891439997</v>
      </c>
      <c r="BH31" s="16">
        <f t="shared" si="3"/>
        <v>140.11543495250001</v>
      </c>
      <c r="BI31" s="16">
        <f t="shared" si="4"/>
        <v>89.928641271420005</v>
      </c>
      <c r="BJ31" s="16">
        <f t="shared" si="5"/>
        <v>67.139181018000002</v>
      </c>
      <c r="BK31" s="16">
        <f t="shared" si="6"/>
        <v>56.087879823490006</v>
      </c>
    </row>
    <row r="32" spans="1:63" x14ac:dyDescent="0.25">
      <c r="A32" s="3"/>
      <c r="B32" s="3">
        <v>6</v>
      </c>
      <c r="C32" s="3">
        <v>23</v>
      </c>
      <c r="D32" s="3">
        <v>720</v>
      </c>
      <c r="E32" s="3">
        <f t="shared" si="7"/>
        <v>13086</v>
      </c>
      <c r="F32" s="3">
        <f t="shared" si="8"/>
        <v>545.25</v>
      </c>
      <c r="G32" s="3">
        <f t="shared" si="9"/>
        <v>1.4928131416837782</v>
      </c>
      <c r="H32" s="3">
        <v>1.0698274000000001</v>
      </c>
      <c r="I32" s="127">
        <v>1.0400794</v>
      </c>
      <c r="J32" s="65">
        <v>1.0084713999999999</v>
      </c>
      <c r="K32" s="12">
        <v>1.0170379000000001</v>
      </c>
      <c r="L32" s="70">
        <v>1.039147</v>
      </c>
      <c r="O32" s="3"/>
      <c r="P32" s="3">
        <v>6</v>
      </c>
      <c r="Q32" s="3">
        <v>23</v>
      </c>
      <c r="R32" s="3">
        <v>720</v>
      </c>
      <c r="S32" s="3">
        <f t="shared" si="10"/>
        <v>13086</v>
      </c>
      <c r="T32" s="3">
        <f t="shared" si="19"/>
        <v>545.25</v>
      </c>
      <c r="U32" s="12">
        <f t="shared" si="12"/>
        <v>1.4928131416837782</v>
      </c>
      <c r="V32" s="11">
        <v>0.50606300000000004</v>
      </c>
      <c r="W32" s="61">
        <v>0.63762600000000003</v>
      </c>
      <c r="X32" s="66">
        <v>0.64994399999999997</v>
      </c>
      <c r="Y32" s="128">
        <v>0.64774799999999999</v>
      </c>
      <c r="Z32" s="128">
        <v>0.63767099999999999</v>
      </c>
      <c r="AO32" s="95">
        <v>22</v>
      </c>
      <c r="AP32" s="123">
        <f t="shared" si="14"/>
        <v>132.5</v>
      </c>
      <c r="AQ32" s="120">
        <v>1.4619139999999999</v>
      </c>
      <c r="AR32" s="96"/>
      <c r="AS32" s="62">
        <f t="shared" si="15"/>
        <v>132.5</v>
      </c>
      <c r="AT32" s="11">
        <v>1.3515250000000001</v>
      </c>
      <c r="AU32" s="96">
        <v>22</v>
      </c>
      <c r="AV32" s="62">
        <f t="shared" si="16"/>
        <v>132.5</v>
      </c>
      <c r="AW32" s="121">
        <v>1.1255489999999999</v>
      </c>
      <c r="AX32" s="96">
        <v>22</v>
      </c>
      <c r="AY32" s="62">
        <f t="shared" si="17"/>
        <v>132.5</v>
      </c>
      <c r="AZ32" s="121">
        <v>1.012062</v>
      </c>
      <c r="BA32" s="96">
        <v>22</v>
      </c>
      <c r="BB32" s="62">
        <f t="shared" si="18"/>
        <v>132.5</v>
      </c>
      <c r="BC32" s="120">
        <v>0.95489780000000002</v>
      </c>
      <c r="BF32" s="62">
        <f t="shared" si="13"/>
        <v>138.75</v>
      </c>
      <c r="BG32" s="16">
        <f t="shared" si="2"/>
        <v>189.35086331679997</v>
      </c>
      <c r="BH32" s="16">
        <f t="shared" si="3"/>
        <v>138.92351681880001</v>
      </c>
      <c r="BI32" s="16">
        <f t="shared" si="4"/>
        <v>90.361606257440002</v>
      </c>
      <c r="BJ32" s="16">
        <f t="shared" si="5"/>
        <v>67.958799362999997</v>
      </c>
      <c r="BK32" s="16">
        <f t="shared" si="6"/>
        <v>56.660677661385009</v>
      </c>
    </row>
    <row r="33" spans="1:63" x14ac:dyDescent="0.25">
      <c r="A33" s="3"/>
      <c r="B33" s="3">
        <v>7</v>
      </c>
      <c r="C33" s="3">
        <v>24</v>
      </c>
      <c r="D33" s="3">
        <v>720</v>
      </c>
      <c r="E33" s="3">
        <f t="shared" si="7"/>
        <v>13806</v>
      </c>
      <c r="F33" s="3">
        <f t="shared" si="8"/>
        <v>575.25</v>
      </c>
      <c r="G33" s="3">
        <f t="shared" si="9"/>
        <v>1.5749486652977414</v>
      </c>
      <c r="H33" s="12">
        <v>1.0695101</v>
      </c>
      <c r="I33" s="127">
        <v>1.0391518</v>
      </c>
      <c r="J33" s="69">
        <v>1.0074707000000001</v>
      </c>
      <c r="K33" s="12">
        <v>1.0160524</v>
      </c>
      <c r="L33" s="70">
        <v>1.0382187</v>
      </c>
      <c r="O33" s="3"/>
      <c r="P33" s="3">
        <v>7</v>
      </c>
      <c r="Q33" s="3">
        <v>24</v>
      </c>
      <c r="R33" s="3">
        <v>720</v>
      </c>
      <c r="S33" s="3">
        <f t="shared" si="10"/>
        <v>13806</v>
      </c>
      <c r="T33" s="3">
        <f t="shared" si="19"/>
        <v>575.25</v>
      </c>
      <c r="U33" s="12">
        <f t="shared" si="12"/>
        <v>1.5749486652977414</v>
      </c>
      <c r="V33" s="128">
        <v>0.50723499999999999</v>
      </c>
      <c r="W33" s="61">
        <v>0.63803900000000002</v>
      </c>
      <c r="X33" s="71">
        <v>0.65038700000000005</v>
      </c>
      <c r="Y33" s="128">
        <v>0.64818299999999995</v>
      </c>
      <c r="Z33" s="128">
        <v>0.63808399999999998</v>
      </c>
      <c r="AO33" s="75">
        <v>23</v>
      </c>
      <c r="AP33" s="123">
        <f t="shared" si="14"/>
        <v>138.75</v>
      </c>
      <c r="AQ33" s="120">
        <v>1.4441079999999999</v>
      </c>
      <c r="AR33" s="75"/>
      <c r="AS33" s="62">
        <f t="shared" si="15"/>
        <v>138.75</v>
      </c>
      <c r="AT33" s="11">
        <v>1.340028</v>
      </c>
      <c r="AU33" s="75">
        <v>23</v>
      </c>
      <c r="AV33" s="62">
        <f t="shared" si="16"/>
        <v>138.75</v>
      </c>
      <c r="AW33" s="121">
        <v>1.130968</v>
      </c>
      <c r="AX33" s="75">
        <v>23</v>
      </c>
      <c r="AY33" s="62">
        <f t="shared" si="17"/>
        <v>138.75</v>
      </c>
      <c r="AZ33" s="121">
        <v>1.0244169999999999</v>
      </c>
      <c r="BA33" s="75">
        <v>23</v>
      </c>
      <c r="BB33" s="62">
        <f t="shared" si="18"/>
        <v>138.75</v>
      </c>
      <c r="BC33" s="120">
        <v>0.96464970000000005</v>
      </c>
      <c r="BF33" s="62">
        <f t="shared" si="13"/>
        <v>145</v>
      </c>
      <c r="BG33" s="16">
        <f t="shared" si="2"/>
        <v>185.37754607799999</v>
      </c>
      <c r="BH33" s="16">
        <f t="shared" si="3"/>
        <v>136.84509855799999</v>
      </c>
      <c r="BI33" s="16">
        <f t="shared" si="4"/>
        <v>90.928958973020002</v>
      </c>
      <c r="BJ33" s="16">
        <f t="shared" si="5"/>
        <v>69.09439036500001</v>
      </c>
      <c r="BK33" s="16">
        <f t="shared" si="6"/>
        <v>57.616517423445003</v>
      </c>
    </row>
    <row r="34" spans="1:63" x14ac:dyDescent="0.25">
      <c r="A34" s="3"/>
      <c r="B34" s="3">
        <v>8</v>
      </c>
      <c r="C34" s="3">
        <v>25</v>
      </c>
      <c r="D34" s="3">
        <v>720</v>
      </c>
      <c r="E34" s="3">
        <f t="shared" si="7"/>
        <v>14526</v>
      </c>
      <c r="F34" s="3">
        <f t="shared" si="8"/>
        <v>605.25</v>
      </c>
      <c r="G34" s="3">
        <f t="shared" si="9"/>
        <v>1.6570841889117043</v>
      </c>
      <c r="H34" s="3">
        <v>1.0673044</v>
      </c>
      <c r="I34" s="127">
        <v>1.0381351000000001</v>
      </c>
      <c r="J34" s="69">
        <v>1.0064256</v>
      </c>
      <c r="K34" s="12">
        <v>1.0150043</v>
      </c>
      <c r="L34" s="70">
        <v>1.0372024</v>
      </c>
      <c r="O34" s="3"/>
      <c r="P34" s="3">
        <v>8</v>
      </c>
      <c r="Q34" s="3">
        <v>25</v>
      </c>
      <c r="R34" s="3">
        <v>720</v>
      </c>
      <c r="S34" s="3">
        <f t="shared" si="10"/>
        <v>14526</v>
      </c>
      <c r="T34" s="3">
        <f t="shared" si="19"/>
        <v>605.25</v>
      </c>
      <c r="U34" s="12">
        <f t="shared" si="12"/>
        <v>1.6570841889117043</v>
      </c>
      <c r="V34" s="11">
        <v>0.50968100000000005</v>
      </c>
      <c r="W34" s="61">
        <v>0.63846000000000003</v>
      </c>
      <c r="X34" s="71">
        <v>0.65082600000000002</v>
      </c>
      <c r="Y34" s="128">
        <v>0.64861800000000003</v>
      </c>
      <c r="Z34" s="128">
        <v>0.63850499999999999</v>
      </c>
      <c r="AO34" s="95">
        <v>24</v>
      </c>
      <c r="AP34" s="123">
        <f t="shared" si="14"/>
        <v>145</v>
      </c>
      <c r="AQ34" s="120">
        <v>1.413805</v>
      </c>
      <c r="AR34" s="96"/>
      <c r="AS34" s="62">
        <f t="shared" si="15"/>
        <v>145</v>
      </c>
      <c r="AT34" s="11">
        <v>1.3199799999999999</v>
      </c>
      <c r="AU34" s="96">
        <v>24</v>
      </c>
      <c r="AV34" s="62">
        <f t="shared" si="16"/>
        <v>145</v>
      </c>
      <c r="AW34" s="121">
        <v>1.138069</v>
      </c>
      <c r="AX34" s="96">
        <v>24</v>
      </c>
      <c r="AY34" s="62">
        <f t="shared" si="17"/>
        <v>145</v>
      </c>
      <c r="AZ34" s="121">
        <v>1.0415350000000001</v>
      </c>
      <c r="BA34" s="96">
        <v>24</v>
      </c>
      <c r="BB34" s="62">
        <f t="shared" si="18"/>
        <v>145</v>
      </c>
      <c r="BC34" s="120">
        <v>0.98092290000000004</v>
      </c>
      <c r="BF34" s="62">
        <f t="shared" si="13"/>
        <v>151.25</v>
      </c>
      <c r="BG34" s="16">
        <f t="shared" si="2"/>
        <v>179.77991923439998</v>
      </c>
      <c r="BH34" s="16">
        <f t="shared" si="3"/>
        <v>133.8913767569</v>
      </c>
      <c r="BI34" s="16">
        <f t="shared" si="4"/>
        <v>91.635493272960005</v>
      </c>
      <c r="BJ34" s="16">
        <f t="shared" si="5"/>
        <v>70.565524029000002</v>
      </c>
      <c r="BK34" s="16">
        <f t="shared" si="6"/>
        <v>58.964891016949998</v>
      </c>
    </row>
    <row r="35" spans="1:63" x14ac:dyDescent="0.25">
      <c r="A35" s="3"/>
      <c r="B35" s="3">
        <v>9</v>
      </c>
      <c r="C35" s="3">
        <v>26</v>
      </c>
      <c r="D35" s="3">
        <v>720</v>
      </c>
      <c r="E35" s="3">
        <f t="shared" si="7"/>
        <v>15246</v>
      </c>
      <c r="F35" s="3">
        <f t="shared" si="8"/>
        <v>635.25</v>
      </c>
      <c r="G35" s="3">
        <f t="shared" si="9"/>
        <v>1.7392197125256674</v>
      </c>
      <c r="H35" s="12">
        <v>1.0648493999999999</v>
      </c>
      <c r="I35" s="60">
        <v>1.0369192</v>
      </c>
      <c r="J35" s="69">
        <v>1.0051745000000001</v>
      </c>
      <c r="K35" s="12">
        <v>1.0137299</v>
      </c>
      <c r="L35" s="70">
        <v>1.0359882</v>
      </c>
      <c r="O35" s="3"/>
      <c r="P35" s="3">
        <v>9</v>
      </c>
      <c r="Q35" s="3">
        <v>26</v>
      </c>
      <c r="R35" s="3">
        <v>720</v>
      </c>
      <c r="S35" s="3">
        <f t="shared" si="10"/>
        <v>15246</v>
      </c>
      <c r="T35" s="3">
        <f t="shared" si="19"/>
        <v>635.25</v>
      </c>
      <c r="U35" s="3">
        <f t="shared" si="12"/>
        <v>1.7392197125256674</v>
      </c>
      <c r="V35" s="11">
        <v>0.51217699999999999</v>
      </c>
      <c r="W35" s="61">
        <v>0.63893</v>
      </c>
      <c r="X35" s="71">
        <v>0.65131799999999995</v>
      </c>
      <c r="Y35" s="128">
        <v>0.64911300000000005</v>
      </c>
      <c r="Z35" s="128">
        <v>0.63897499999999996</v>
      </c>
      <c r="AC35" s="142"/>
      <c r="AO35" s="75">
        <v>25</v>
      </c>
      <c r="AP35" s="123">
        <f t="shared" si="14"/>
        <v>151.25</v>
      </c>
      <c r="AQ35" s="120">
        <v>1.3711139999999999</v>
      </c>
      <c r="AR35" s="75"/>
      <c r="AS35" s="62">
        <f t="shared" si="15"/>
        <v>151.25</v>
      </c>
      <c r="AT35" s="11">
        <v>1.2914890000000001</v>
      </c>
      <c r="AU35" s="75">
        <v>25</v>
      </c>
      <c r="AV35" s="62">
        <f t="shared" si="16"/>
        <v>151.25</v>
      </c>
      <c r="AW35" s="121">
        <v>1.1469119999999999</v>
      </c>
      <c r="AX35" s="75">
        <v>25</v>
      </c>
      <c r="AY35" s="62">
        <f t="shared" si="17"/>
        <v>151.25</v>
      </c>
      <c r="AZ35" s="121">
        <v>1.0637110000000001</v>
      </c>
      <c r="BA35" s="75">
        <v>25</v>
      </c>
      <c r="BB35" s="62">
        <f t="shared" si="18"/>
        <v>151.25</v>
      </c>
      <c r="BC35" s="120">
        <v>1.003879</v>
      </c>
      <c r="BF35" s="62">
        <f t="shared" si="13"/>
        <v>157.5</v>
      </c>
      <c r="BG35" s="16">
        <f t="shared" si="2"/>
        <v>172.58945148999999</v>
      </c>
      <c r="BH35" s="16">
        <f t="shared" si="3"/>
        <v>130.11429113759999</v>
      </c>
      <c r="BI35" s="16">
        <f t="shared" si="4"/>
        <v>92.503580479660016</v>
      </c>
      <c r="BJ35" s="16">
        <f t="shared" si="5"/>
        <v>72.417708908999998</v>
      </c>
      <c r="BK35" s="16">
        <f t="shared" si="6"/>
        <v>60.736870341349999</v>
      </c>
    </row>
    <row r="36" spans="1:63" x14ac:dyDescent="0.25">
      <c r="A36" s="3"/>
      <c r="B36" s="3">
        <v>10</v>
      </c>
      <c r="C36" s="3">
        <v>27</v>
      </c>
      <c r="D36" s="3">
        <v>720</v>
      </c>
      <c r="E36" s="3">
        <f t="shared" si="7"/>
        <v>15966</v>
      </c>
      <c r="F36" s="3">
        <f t="shared" si="8"/>
        <v>665.25</v>
      </c>
      <c r="G36" s="3">
        <f t="shared" si="9"/>
        <v>1.8213552361396304</v>
      </c>
      <c r="H36" s="3">
        <v>1.0614775000000001</v>
      </c>
      <c r="I36" s="60">
        <v>1.0356278000000001</v>
      </c>
      <c r="J36" s="69">
        <v>1.0038686999999999</v>
      </c>
      <c r="K36" s="12">
        <v>1.0124340999999999</v>
      </c>
      <c r="L36" s="70">
        <v>1.0346979000000001</v>
      </c>
      <c r="O36" s="3"/>
      <c r="P36" s="3">
        <v>10</v>
      </c>
      <c r="Q36" s="3">
        <v>27</v>
      </c>
      <c r="R36" s="3">
        <v>720</v>
      </c>
      <c r="S36" s="3">
        <f t="shared" si="10"/>
        <v>15966</v>
      </c>
      <c r="T36" s="3">
        <f t="shared" si="19"/>
        <v>665.25</v>
      </c>
      <c r="U36" s="3">
        <f t="shared" si="12"/>
        <v>1.8213552361396304</v>
      </c>
      <c r="V36" s="11">
        <v>0.51513799999999998</v>
      </c>
      <c r="W36" s="61">
        <v>0.63940799999999998</v>
      </c>
      <c r="X36" s="71">
        <v>0.651814</v>
      </c>
      <c r="Y36" s="128">
        <v>0.64960499999999999</v>
      </c>
      <c r="Z36" s="128">
        <v>0.63945399999999997</v>
      </c>
      <c r="AO36" s="95">
        <v>26</v>
      </c>
      <c r="AP36" s="123">
        <f t="shared" si="14"/>
        <v>157.5</v>
      </c>
      <c r="AQ36" s="120">
        <v>1.3162750000000001</v>
      </c>
      <c r="AR36" s="96"/>
      <c r="AS36" s="62">
        <f t="shared" si="15"/>
        <v>157.5</v>
      </c>
      <c r="AT36" s="11">
        <v>1.2550559999999999</v>
      </c>
      <c r="AU36" s="96">
        <v>26</v>
      </c>
      <c r="AV36" s="62">
        <f t="shared" si="16"/>
        <v>157.5</v>
      </c>
      <c r="AW36" s="121">
        <v>1.1577770000000001</v>
      </c>
      <c r="AX36" s="96">
        <v>26</v>
      </c>
      <c r="AY36" s="62">
        <f t="shared" si="17"/>
        <v>157.5</v>
      </c>
      <c r="AZ36" s="121">
        <v>1.091631</v>
      </c>
      <c r="BA36" s="96">
        <v>26</v>
      </c>
      <c r="BB36" s="62">
        <f t="shared" si="18"/>
        <v>157.5</v>
      </c>
      <c r="BC36" s="120">
        <v>1.0340469999999999</v>
      </c>
      <c r="BF36" s="62">
        <f t="shared" si="13"/>
        <v>163.75</v>
      </c>
      <c r="BG36" s="16">
        <f t="shared" si="2"/>
        <v>163.85426373799999</v>
      </c>
      <c r="BH36" s="16">
        <f t="shared" si="3"/>
        <v>125.62445983080001</v>
      </c>
      <c r="BI36" s="16">
        <f t="shared" si="4"/>
        <v>93.567736347679997</v>
      </c>
      <c r="BJ36" s="16">
        <f t="shared" si="5"/>
        <v>74.731281534000004</v>
      </c>
      <c r="BK36" s="16">
        <f t="shared" si="6"/>
        <v>62.99906908505001</v>
      </c>
    </row>
    <row r="37" spans="1:63" x14ac:dyDescent="0.25">
      <c r="A37" s="3"/>
      <c r="B37" s="3">
        <v>11</v>
      </c>
      <c r="C37" s="3">
        <v>28</v>
      </c>
      <c r="D37" s="3">
        <v>720</v>
      </c>
      <c r="E37" s="3">
        <f t="shared" si="7"/>
        <v>16686</v>
      </c>
      <c r="F37" s="3">
        <f t="shared" si="8"/>
        <v>695.25</v>
      </c>
      <c r="G37" s="3">
        <f t="shared" si="9"/>
        <v>1.9034907597535935</v>
      </c>
      <c r="H37" s="3">
        <v>1.0575437999999999</v>
      </c>
      <c r="I37" s="60">
        <v>1.0344168</v>
      </c>
      <c r="J37" s="69">
        <v>1.0026382</v>
      </c>
      <c r="K37" s="12">
        <v>1.0112002</v>
      </c>
      <c r="L37" s="70">
        <v>1.0334897000000001</v>
      </c>
      <c r="O37" s="3"/>
      <c r="P37" s="3">
        <v>11</v>
      </c>
      <c r="Q37" s="3">
        <v>28</v>
      </c>
      <c r="R37" s="3">
        <v>720</v>
      </c>
      <c r="S37" s="3">
        <f t="shared" si="10"/>
        <v>16686</v>
      </c>
      <c r="T37" s="3">
        <f t="shared" si="19"/>
        <v>695.25</v>
      </c>
      <c r="U37" s="3">
        <f t="shared" si="12"/>
        <v>1.9034907597535935</v>
      </c>
      <c r="V37" s="11">
        <v>0.51829999999999998</v>
      </c>
      <c r="W37" s="61">
        <v>0.63985300000000001</v>
      </c>
      <c r="X37" s="71">
        <v>0.65227599999999997</v>
      </c>
      <c r="Y37" s="128">
        <v>0.65006399999999998</v>
      </c>
      <c r="Z37" s="128">
        <v>0.63989700000000005</v>
      </c>
      <c r="AO37" s="75">
        <v>27</v>
      </c>
      <c r="AP37" s="123">
        <f t="shared" si="14"/>
        <v>163.75</v>
      </c>
      <c r="AQ37" s="120">
        <v>1.249655</v>
      </c>
      <c r="AR37" s="75"/>
      <c r="AS37" s="62">
        <f t="shared" si="15"/>
        <v>163.75</v>
      </c>
      <c r="AT37" s="11">
        <v>1.211748</v>
      </c>
      <c r="AU37" s="75">
        <v>27</v>
      </c>
      <c r="AV37" s="62">
        <f t="shared" si="16"/>
        <v>163.75</v>
      </c>
      <c r="AW37" s="121">
        <v>1.1710959999999999</v>
      </c>
      <c r="AX37" s="75">
        <v>27</v>
      </c>
      <c r="AY37" s="62">
        <f t="shared" si="17"/>
        <v>163.75</v>
      </c>
      <c r="AZ37" s="121">
        <v>1.126506</v>
      </c>
      <c r="BA37" s="75">
        <v>27</v>
      </c>
      <c r="BB37" s="62">
        <f t="shared" si="18"/>
        <v>163.75</v>
      </c>
      <c r="BC37" s="120">
        <v>1.0725610000000001</v>
      </c>
      <c r="BF37" s="62">
        <f t="shared" si="13"/>
        <v>170</v>
      </c>
      <c r="BG37" s="16">
        <f t="shared" si="2"/>
        <v>153.63978465879998</v>
      </c>
      <c r="BH37" s="16">
        <f t="shared" si="3"/>
        <v>120.59574094820002</v>
      </c>
      <c r="BI37" s="16">
        <f t="shared" si="4"/>
        <v>94.795762152280005</v>
      </c>
      <c r="BJ37" s="16">
        <f t="shared" si="5"/>
        <v>77.587838873999999</v>
      </c>
      <c r="BK37" s="16">
        <f t="shared" si="6"/>
        <v>65.834541436750001</v>
      </c>
    </row>
    <row r="38" spans="1:63" x14ac:dyDescent="0.25">
      <c r="A38" s="3"/>
      <c r="B38" s="3">
        <v>12</v>
      </c>
      <c r="C38" s="3">
        <v>29</v>
      </c>
      <c r="D38" s="3">
        <v>846</v>
      </c>
      <c r="E38" s="3">
        <f t="shared" si="7"/>
        <v>17532</v>
      </c>
      <c r="F38" s="3">
        <f t="shared" si="8"/>
        <v>730.5</v>
      </c>
      <c r="G38" s="3">
        <f t="shared" si="9"/>
        <v>2</v>
      </c>
      <c r="H38" s="3">
        <v>1.0540456</v>
      </c>
      <c r="I38" s="60">
        <v>1.0332698</v>
      </c>
      <c r="J38" s="74">
        <v>1.0014643999999999</v>
      </c>
      <c r="K38" s="12">
        <v>1.0100279000000001</v>
      </c>
      <c r="L38" s="70">
        <v>1.0323420999999999</v>
      </c>
      <c r="O38" s="3"/>
      <c r="P38" s="3">
        <v>12</v>
      </c>
      <c r="Q38" s="3">
        <v>29</v>
      </c>
      <c r="R38" s="3">
        <v>846</v>
      </c>
      <c r="S38" s="3">
        <f t="shared" si="10"/>
        <v>17532</v>
      </c>
      <c r="T38" s="3">
        <f t="shared" si="19"/>
        <v>730.5</v>
      </c>
      <c r="U38" s="3">
        <f t="shared" si="12"/>
        <v>2</v>
      </c>
      <c r="V38" s="11">
        <v>0.52097400000000005</v>
      </c>
      <c r="W38" s="61">
        <v>0.640262</v>
      </c>
      <c r="X38" s="71">
        <v>0.65271199999999996</v>
      </c>
      <c r="Y38" s="128">
        <v>0.65049199999999996</v>
      </c>
      <c r="Z38" s="128">
        <v>0.64030699999999996</v>
      </c>
      <c r="AO38" s="95">
        <v>28</v>
      </c>
      <c r="AP38" s="123">
        <f t="shared" si="14"/>
        <v>170</v>
      </c>
      <c r="AQ38" s="120">
        <v>1.171753</v>
      </c>
      <c r="AR38" s="96"/>
      <c r="AS38" s="62">
        <f t="shared" si="15"/>
        <v>170</v>
      </c>
      <c r="AT38" s="11">
        <v>1.1632420000000001</v>
      </c>
      <c r="AU38" s="96">
        <v>28</v>
      </c>
      <c r="AV38" s="62">
        <f t="shared" si="16"/>
        <v>170</v>
      </c>
      <c r="AW38" s="121">
        <v>1.186466</v>
      </c>
      <c r="AX38" s="96">
        <v>28</v>
      </c>
      <c r="AY38" s="62">
        <f t="shared" si="17"/>
        <v>170</v>
      </c>
      <c r="AZ38" s="121">
        <v>1.1695660000000001</v>
      </c>
      <c r="BA38" s="96">
        <v>28</v>
      </c>
      <c r="BB38" s="62">
        <f t="shared" si="18"/>
        <v>170</v>
      </c>
      <c r="BC38" s="120">
        <v>1.120835</v>
      </c>
      <c r="BF38" s="62">
        <f t="shared" si="13"/>
        <v>176.25</v>
      </c>
      <c r="BG38" s="16">
        <f t="shared" si="2"/>
        <v>142.02770176319999</v>
      </c>
      <c r="BH38" s="16">
        <f t="shared" si="3"/>
        <v>118.47139594710001</v>
      </c>
      <c r="BI38" s="16">
        <f t="shared" si="4"/>
        <v>97.371580233900005</v>
      </c>
      <c r="BJ38" s="16">
        <f t="shared" si="5"/>
        <v>84.558674655000004</v>
      </c>
      <c r="BK38" s="16">
        <f t="shared" si="6"/>
        <v>72.515176029649993</v>
      </c>
    </row>
    <row r="39" spans="1:63" x14ac:dyDescent="0.25">
      <c r="A39" s="3"/>
      <c r="B39" s="3">
        <v>13</v>
      </c>
      <c r="C39" s="3">
        <v>30</v>
      </c>
      <c r="D39" s="3">
        <v>720</v>
      </c>
      <c r="E39" s="3">
        <f t="shared" si="7"/>
        <v>18252</v>
      </c>
      <c r="F39" s="3">
        <f t="shared" si="8"/>
        <v>760.5</v>
      </c>
      <c r="G39" s="3">
        <f t="shared" si="9"/>
        <v>2.0821355236139629</v>
      </c>
      <c r="H39" s="3">
        <v>1.0503513</v>
      </c>
      <c r="I39" s="60">
        <v>1.0317752</v>
      </c>
      <c r="J39" s="12">
        <v>0.99996189999999996</v>
      </c>
      <c r="K39" s="12">
        <v>1.0085150000000001</v>
      </c>
      <c r="L39" s="60">
        <v>1.0308487</v>
      </c>
      <c r="O39" s="3"/>
      <c r="P39" s="3">
        <v>13</v>
      </c>
      <c r="Q39" s="3">
        <v>30</v>
      </c>
      <c r="R39" s="3">
        <v>720</v>
      </c>
      <c r="S39" s="3">
        <f t="shared" si="10"/>
        <v>18252</v>
      </c>
      <c r="T39" s="3">
        <f t="shared" si="19"/>
        <v>760.5</v>
      </c>
      <c r="U39" s="3">
        <f t="shared" si="12"/>
        <v>2.0821355236139629</v>
      </c>
      <c r="V39" s="11">
        <v>0.52371900000000005</v>
      </c>
      <c r="W39" s="61">
        <v>0.64077700000000004</v>
      </c>
      <c r="X39" s="71">
        <v>0.65324300000000002</v>
      </c>
      <c r="Y39" s="128">
        <v>0.65102099999999996</v>
      </c>
      <c r="Z39" s="128">
        <v>0.640822</v>
      </c>
      <c r="AO39" s="75">
        <v>29</v>
      </c>
      <c r="AP39" s="123">
        <f t="shared" si="14"/>
        <v>176.25</v>
      </c>
      <c r="AQ39" s="120">
        <v>1.0831919999999999</v>
      </c>
      <c r="AR39" s="75"/>
      <c r="AS39" s="62">
        <f t="shared" si="15"/>
        <v>176.25</v>
      </c>
      <c r="AT39" s="11">
        <v>1.1427510000000001</v>
      </c>
      <c r="AU39" s="75">
        <v>29</v>
      </c>
      <c r="AV39" s="62">
        <f t="shared" si="16"/>
        <v>176.25</v>
      </c>
      <c r="AW39" s="121">
        <v>1.2187049999999999</v>
      </c>
      <c r="AX39" s="75">
        <v>29</v>
      </c>
      <c r="AY39" s="62">
        <f t="shared" si="17"/>
        <v>176.25</v>
      </c>
      <c r="AZ39" s="121">
        <v>1.274645</v>
      </c>
      <c r="BA39" s="75">
        <v>29</v>
      </c>
      <c r="BB39" s="62">
        <f t="shared" si="18"/>
        <v>176.25</v>
      </c>
      <c r="BC39" s="125">
        <v>1.2345729999999999</v>
      </c>
      <c r="BF39" s="62">
        <f t="shared" si="13"/>
        <v>182.5</v>
      </c>
      <c r="BG39" s="16">
        <f t="shared" si="2"/>
        <v>129.11572537711999</v>
      </c>
      <c r="BH39" s="16">
        <f t="shared" si="3"/>
        <v>110.49372418000002</v>
      </c>
      <c r="BI39" s="16">
        <f t="shared" si="4"/>
        <v>95.656978167099993</v>
      </c>
      <c r="BJ39" s="16">
        <f t="shared" si="5"/>
        <v>84.872723480999994</v>
      </c>
      <c r="BK39" s="16">
        <f t="shared" si="6"/>
        <v>73.220079366700006</v>
      </c>
    </row>
    <row r="40" spans="1:63" x14ac:dyDescent="0.25">
      <c r="A40" s="3"/>
      <c r="B40" s="3">
        <v>14</v>
      </c>
      <c r="C40" s="3">
        <v>31</v>
      </c>
      <c r="D40" s="3">
        <v>720</v>
      </c>
      <c r="E40" s="3">
        <f t="shared" si="7"/>
        <v>18972</v>
      </c>
      <c r="F40" s="3">
        <f t="shared" si="8"/>
        <v>790.5</v>
      </c>
      <c r="G40" s="3">
        <f t="shared" si="9"/>
        <v>2.1642710472279263</v>
      </c>
      <c r="H40" s="3">
        <v>1.0474490000000001</v>
      </c>
      <c r="I40" s="60">
        <v>1.0304869000000001</v>
      </c>
      <c r="J40" s="12">
        <v>0.9986505</v>
      </c>
      <c r="K40" s="12">
        <v>1.0072086</v>
      </c>
      <c r="L40" s="70">
        <v>1.0295619</v>
      </c>
      <c r="O40" s="3"/>
      <c r="P40" s="3">
        <v>14</v>
      </c>
      <c r="Q40" s="3">
        <v>31</v>
      </c>
      <c r="R40" s="3">
        <v>720</v>
      </c>
      <c r="S40" s="3">
        <f t="shared" si="10"/>
        <v>18972</v>
      </c>
      <c r="T40" s="3">
        <f t="shared" si="19"/>
        <v>790.5</v>
      </c>
      <c r="U40" s="3">
        <f t="shared" si="12"/>
        <v>2.1642710472279263</v>
      </c>
      <c r="V40" s="11">
        <v>0.52587200000000001</v>
      </c>
      <c r="W40" s="61">
        <v>0.64120999999999995</v>
      </c>
      <c r="X40" s="71">
        <v>0.65370200000000001</v>
      </c>
      <c r="Y40" s="128">
        <v>0.65147699999999997</v>
      </c>
      <c r="Z40" s="128">
        <v>0.64125500000000002</v>
      </c>
      <c r="AC40" s="142"/>
      <c r="AO40" s="95">
        <v>30</v>
      </c>
      <c r="AP40" s="123">
        <f t="shared" si="14"/>
        <v>182.5</v>
      </c>
      <c r="AQ40" s="120">
        <v>0.98471719999999996</v>
      </c>
      <c r="AR40" s="96"/>
      <c r="AS40" s="62">
        <f t="shared" si="15"/>
        <v>182.5</v>
      </c>
      <c r="AT40" s="11">
        <v>1.0658000000000001</v>
      </c>
      <c r="AU40" s="96">
        <v>30</v>
      </c>
      <c r="AV40" s="62">
        <f t="shared" si="16"/>
        <v>182.5</v>
      </c>
      <c r="AW40" s="124">
        <v>1.1972449999999999</v>
      </c>
      <c r="AX40" s="96">
        <v>30</v>
      </c>
      <c r="AY40" s="62">
        <f t="shared" si="17"/>
        <v>182.5</v>
      </c>
      <c r="AZ40" s="124">
        <v>1.279379</v>
      </c>
      <c r="BA40" s="96">
        <v>30</v>
      </c>
      <c r="BB40" s="62">
        <f t="shared" si="18"/>
        <v>182.5</v>
      </c>
      <c r="BC40" s="120">
        <v>1.2465740000000001</v>
      </c>
      <c r="BF40" s="62">
        <f t="shared" si="13"/>
        <v>188.75</v>
      </c>
      <c r="BG40" s="16">
        <f t="shared" si="2"/>
        <v>115.01705105123999</v>
      </c>
      <c r="BH40" s="16">
        <f t="shared" si="3"/>
        <v>100.39487977806</v>
      </c>
      <c r="BI40" s="16">
        <f t="shared" si="4"/>
        <v>90.873510052500009</v>
      </c>
      <c r="BJ40" s="16">
        <f t="shared" si="5"/>
        <v>81.925016354999997</v>
      </c>
      <c r="BK40" s="16">
        <f t="shared" si="6"/>
        <v>71.013210924099994</v>
      </c>
    </row>
    <row r="41" spans="1:63" x14ac:dyDescent="0.25">
      <c r="A41" s="3"/>
      <c r="B41" s="3">
        <v>15</v>
      </c>
      <c r="C41" s="3">
        <v>32</v>
      </c>
      <c r="D41" s="3">
        <v>720</v>
      </c>
      <c r="E41" s="3">
        <f t="shared" si="7"/>
        <v>19692</v>
      </c>
      <c r="F41" s="3">
        <f t="shared" si="8"/>
        <v>820.5</v>
      </c>
      <c r="G41" s="3">
        <f t="shared" si="9"/>
        <v>2.2464065708418892</v>
      </c>
      <c r="H41" s="3">
        <v>1.0447061</v>
      </c>
      <c r="I41" s="60">
        <v>1.0292337</v>
      </c>
      <c r="J41" s="12">
        <v>0.99738090000000001</v>
      </c>
      <c r="K41" s="12">
        <v>1.0059396</v>
      </c>
      <c r="L41" s="70">
        <v>1.0283087</v>
      </c>
      <c r="O41" s="3"/>
      <c r="P41" s="3">
        <v>15</v>
      </c>
      <c r="Q41" s="3">
        <v>32</v>
      </c>
      <c r="R41" s="3">
        <v>720</v>
      </c>
      <c r="S41" s="3">
        <f t="shared" si="10"/>
        <v>19692</v>
      </c>
      <c r="T41" s="3">
        <f t="shared" si="19"/>
        <v>820.5</v>
      </c>
      <c r="U41" s="3">
        <f t="shared" si="12"/>
        <v>2.2464065708418892</v>
      </c>
      <c r="V41" s="11">
        <v>0.52785099999999996</v>
      </c>
      <c r="W41" s="61">
        <v>0.64162399999999997</v>
      </c>
      <c r="X41" s="71">
        <v>0.65414600000000001</v>
      </c>
      <c r="Y41" s="128">
        <v>0.65190899999999996</v>
      </c>
      <c r="Z41" s="128">
        <v>0.64166999999999996</v>
      </c>
      <c r="AO41" s="75">
        <v>31</v>
      </c>
      <c r="AP41" s="123">
        <f t="shared" si="14"/>
        <v>188.75</v>
      </c>
      <c r="AQ41" s="120">
        <v>0.87719190000000002</v>
      </c>
      <c r="AR41" s="75"/>
      <c r="AS41" s="62">
        <f t="shared" si="15"/>
        <v>188.75</v>
      </c>
      <c r="AT41" s="11">
        <v>0.96838860000000004</v>
      </c>
      <c r="AU41" s="75">
        <v>31</v>
      </c>
      <c r="AV41" s="62">
        <f t="shared" si="16"/>
        <v>188.75</v>
      </c>
      <c r="AW41" s="121">
        <v>1.137375</v>
      </c>
      <c r="AX41" s="75">
        <v>31</v>
      </c>
      <c r="AY41" s="62">
        <f t="shared" si="17"/>
        <v>188.75</v>
      </c>
      <c r="AZ41" s="121">
        <v>1.234945</v>
      </c>
      <c r="BA41" s="75">
        <v>31</v>
      </c>
      <c r="BB41" s="62">
        <f t="shared" si="18"/>
        <v>188.75</v>
      </c>
      <c r="BC41" s="120">
        <v>1.2090019999999999</v>
      </c>
      <c r="BF41" s="62">
        <f t="shared" si="13"/>
        <v>195</v>
      </c>
      <c r="BG41" s="16">
        <f t="shared" si="2"/>
        <v>99.858969693239985</v>
      </c>
      <c r="BH41" s="16">
        <f t="shared" si="3"/>
        <v>88.519147418170007</v>
      </c>
      <c r="BI41" s="16">
        <f t="shared" si="4"/>
        <v>83.147414066500005</v>
      </c>
      <c r="BJ41" s="16">
        <f t="shared" si="5"/>
        <v>75.893341797000005</v>
      </c>
      <c r="BK41" s="16">
        <f t="shared" si="6"/>
        <v>66.046699661350004</v>
      </c>
    </row>
    <row r="42" spans="1:63" x14ac:dyDescent="0.25">
      <c r="A42" s="3"/>
      <c r="B42" s="3">
        <v>16</v>
      </c>
      <c r="C42" s="3">
        <v>33</v>
      </c>
      <c r="D42" s="3">
        <v>720</v>
      </c>
      <c r="E42" s="3">
        <f t="shared" si="7"/>
        <v>20412</v>
      </c>
      <c r="F42" s="3">
        <f t="shared" si="8"/>
        <v>850.5</v>
      </c>
      <c r="G42" s="3">
        <f t="shared" si="9"/>
        <v>2.3285420944558521</v>
      </c>
      <c r="H42" s="3">
        <v>1.0425732000000001</v>
      </c>
      <c r="I42" s="60">
        <v>1.0279588</v>
      </c>
      <c r="J42" s="12">
        <v>0.99610319999999997</v>
      </c>
      <c r="K42" s="12">
        <v>1.0046598</v>
      </c>
      <c r="L42" s="70">
        <v>1.0270357999999999</v>
      </c>
      <c r="O42" s="3"/>
      <c r="P42" s="3">
        <v>16</v>
      </c>
      <c r="Q42" s="3">
        <v>33</v>
      </c>
      <c r="R42" s="3">
        <v>720</v>
      </c>
      <c r="S42" s="3">
        <f t="shared" si="10"/>
        <v>20412</v>
      </c>
      <c r="T42" s="3">
        <f t="shared" si="19"/>
        <v>850.5</v>
      </c>
      <c r="U42" s="3">
        <f t="shared" si="12"/>
        <v>2.3285420944558521</v>
      </c>
      <c r="V42" s="11">
        <v>0.52928600000000003</v>
      </c>
      <c r="W42" s="61">
        <v>0.64205800000000002</v>
      </c>
      <c r="X42" s="71">
        <v>0.65459500000000004</v>
      </c>
      <c r="Y42" s="128">
        <v>0.65235699999999996</v>
      </c>
      <c r="Z42" s="128">
        <v>0.64210299999999998</v>
      </c>
      <c r="AO42" s="95">
        <v>32</v>
      </c>
      <c r="AP42" s="123">
        <f t="shared" si="14"/>
        <v>195</v>
      </c>
      <c r="AQ42" s="120">
        <v>0.76158689999999996</v>
      </c>
      <c r="AR42" s="96"/>
      <c r="AS42" s="62">
        <f t="shared" si="15"/>
        <v>195</v>
      </c>
      <c r="AT42" s="11">
        <v>0.85383770000000003</v>
      </c>
      <c r="AU42" s="96">
        <v>32</v>
      </c>
      <c r="AV42" s="62">
        <f t="shared" si="16"/>
        <v>195</v>
      </c>
      <c r="AW42" s="121">
        <v>1.040675</v>
      </c>
      <c r="AX42" s="96">
        <v>32</v>
      </c>
      <c r="AY42" s="62">
        <f t="shared" si="17"/>
        <v>195</v>
      </c>
      <c r="AZ42" s="121">
        <v>1.144023</v>
      </c>
      <c r="BA42" s="96">
        <v>32</v>
      </c>
      <c r="BB42" s="62">
        <f t="shared" si="18"/>
        <v>195</v>
      </c>
      <c r="BC42" s="120">
        <v>1.124447</v>
      </c>
      <c r="BF42" s="62">
        <f t="shared" si="13"/>
        <v>201.25</v>
      </c>
      <c r="BG42" s="16">
        <f t="shared" si="2"/>
        <v>83.78218574588</v>
      </c>
      <c r="BH42" s="16">
        <f t="shared" si="3"/>
        <v>75.172079880660007</v>
      </c>
      <c r="BI42" s="16">
        <f t="shared" si="4"/>
        <v>72.763628948654002</v>
      </c>
      <c r="BJ42" s="16">
        <f t="shared" si="5"/>
        <v>67.066606152000006</v>
      </c>
      <c r="BK42" s="16">
        <f t="shared" si="6"/>
        <v>58.560504048815005</v>
      </c>
    </row>
    <row r="43" spans="1:63" x14ac:dyDescent="0.25">
      <c r="A43" s="3"/>
      <c r="B43" s="3">
        <v>17</v>
      </c>
      <c r="C43" s="3">
        <v>34</v>
      </c>
      <c r="D43" s="3">
        <v>720</v>
      </c>
      <c r="E43" s="3">
        <f t="shared" si="7"/>
        <v>21132</v>
      </c>
      <c r="F43" s="3">
        <f t="shared" si="8"/>
        <v>880.5</v>
      </c>
      <c r="G43" s="3">
        <f t="shared" si="9"/>
        <v>2.4106776180698151</v>
      </c>
      <c r="H43" s="3">
        <v>1.0401376</v>
      </c>
      <c r="I43" s="60">
        <v>1.0266869999999999</v>
      </c>
      <c r="J43" s="12">
        <v>0.99485330000000005</v>
      </c>
      <c r="K43" s="12">
        <v>1.0033771</v>
      </c>
      <c r="L43" s="70">
        <v>1.0257654</v>
      </c>
      <c r="O43" s="3"/>
      <c r="P43" s="3">
        <v>17</v>
      </c>
      <c r="Q43" s="3">
        <v>34</v>
      </c>
      <c r="R43" s="3">
        <v>720</v>
      </c>
      <c r="S43" s="3">
        <f t="shared" si="10"/>
        <v>21132</v>
      </c>
      <c r="T43" s="3">
        <f t="shared" si="19"/>
        <v>880.5</v>
      </c>
      <c r="U43" s="3">
        <f t="shared" si="12"/>
        <v>2.4106776180698151</v>
      </c>
      <c r="V43" s="11">
        <v>0.53100599999999998</v>
      </c>
      <c r="W43" s="61">
        <v>0.64246599999999998</v>
      </c>
      <c r="X43" s="71">
        <v>0.65501399999999999</v>
      </c>
      <c r="Y43" s="128">
        <v>0.652783</v>
      </c>
      <c r="Z43" s="128">
        <v>0.64251100000000005</v>
      </c>
      <c r="AO43" s="75">
        <v>33</v>
      </c>
      <c r="AP43" s="123">
        <f t="shared" si="14"/>
        <v>201.25</v>
      </c>
      <c r="AQ43" s="120">
        <v>0.63897530000000002</v>
      </c>
      <c r="AR43" s="75"/>
      <c r="AS43" s="62">
        <f t="shared" si="15"/>
        <v>201.25</v>
      </c>
      <c r="AT43" s="11">
        <v>0.72509460000000003</v>
      </c>
      <c r="AU43" s="75">
        <v>33</v>
      </c>
      <c r="AV43" s="62">
        <f t="shared" si="16"/>
        <v>201.25</v>
      </c>
      <c r="AW43" s="121">
        <v>0.9107113</v>
      </c>
      <c r="AX43" s="75">
        <v>33</v>
      </c>
      <c r="AY43" s="62">
        <f t="shared" si="17"/>
        <v>201.25</v>
      </c>
      <c r="AZ43" s="121">
        <v>1.0109680000000001</v>
      </c>
      <c r="BA43" s="75">
        <v>33</v>
      </c>
      <c r="BB43" s="62">
        <f t="shared" si="18"/>
        <v>201.25</v>
      </c>
      <c r="BC43" s="120">
        <v>0.9969943</v>
      </c>
      <c r="BF43" s="62">
        <f t="shared" si="13"/>
        <v>207.5</v>
      </c>
      <c r="BG43" s="16">
        <f t="shared" si="2"/>
        <v>66.936214889039988</v>
      </c>
      <c r="BH43" s="16">
        <f t="shared" si="3"/>
        <v>60.626003037809994</v>
      </c>
      <c r="BI43" s="16">
        <f t="shared" si="4"/>
        <v>60.069717161720007</v>
      </c>
      <c r="BJ43" s="16">
        <f t="shared" si="5"/>
        <v>55.784697286499998</v>
      </c>
      <c r="BK43" s="16">
        <f t="shared" si="6"/>
        <v>48.836550179085002</v>
      </c>
    </row>
    <row r="44" spans="1:63" x14ac:dyDescent="0.25">
      <c r="A44" s="3"/>
      <c r="B44" s="3">
        <v>18</v>
      </c>
      <c r="C44" s="3">
        <v>35</v>
      </c>
      <c r="D44" s="3">
        <v>720</v>
      </c>
      <c r="E44" s="3">
        <f t="shared" si="7"/>
        <v>21852</v>
      </c>
      <c r="F44" s="3">
        <f t="shared" si="8"/>
        <v>910.5</v>
      </c>
      <c r="G44" s="3">
        <f t="shared" si="9"/>
        <v>2.4928131416837784</v>
      </c>
      <c r="H44" s="3">
        <v>1.0378569</v>
      </c>
      <c r="I44" s="60">
        <v>1.0253702</v>
      </c>
      <c r="J44" s="12">
        <v>0.99352149999999995</v>
      </c>
      <c r="K44" s="12">
        <v>1.0020477999999999</v>
      </c>
      <c r="L44" s="70">
        <v>1.0244496000000001</v>
      </c>
      <c r="O44" s="3"/>
      <c r="P44" s="3">
        <v>18</v>
      </c>
      <c r="Q44" s="3">
        <v>35</v>
      </c>
      <c r="R44" s="3">
        <v>720</v>
      </c>
      <c r="S44" s="3">
        <f t="shared" si="10"/>
        <v>21852</v>
      </c>
      <c r="T44" s="3">
        <f t="shared" si="19"/>
        <v>910.5</v>
      </c>
      <c r="U44" s="3">
        <f t="shared" si="12"/>
        <v>2.4928131416837784</v>
      </c>
      <c r="V44" s="11">
        <v>0.53264400000000001</v>
      </c>
      <c r="W44" s="61">
        <v>0.64288400000000001</v>
      </c>
      <c r="X44" s="71">
        <v>0.65546199999999999</v>
      </c>
      <c r="Y44" s="128">
        <v>0.653223</v>
      </c>
      <c r="Z44" s="128">
        <v>0.64292899999999997</v>
      </c>
      <c r="AO44" s="95">
        <v>34</v>
      </c>
      <c r="AP44" s="123">
        <f t="shared" si="14"/>
        <v>207.5</v>
      </c>
      <c r="AQ44" s="120">
        <v>0.51049739999999999</v>
      </c>
      <c r="AR44" s="96"/>
      <c r="AS44" s="62">
        <f t="shared" si="15"/>
        <v>207.5</v>
      </c>
      <c r="AT44" s="11">
        <v>0.58478609999999998</v>
      </c>
      <c r="AU44" s="96">
        <v>34</v>
      </c>
      <c r="AV44" s="62">
        <f t="shared" si="16"/>
        <v>207.5</v>
      </c>
      <c r="AW44" s="121">
        <v>0.751834</v>
      </c>
      <c r="AX44" s="96">
        <v>34</v>
      </c>
      <c r="AY44" s="62">
        <f t="shared" si="17"/>
        <v>207.5</v>
      </c>
      <c r="AZ44" s="121">
        <v>0.84090350000000003</v>
      </c>
      <c r="BA44" s="96">
        <v>34</v>
      </c>
      <c r="BB44" s="62">
        <f t="shared" si="18"/>
        <v>207.5</v>
      </c>
      <c r="BC44" s="120">
        <v>0.83144370000000001</v>
      </c>
      <c r="BF44" s="62">
        <f t="shared" si="13"/>
        <v>213.75</v>
      </c>
      <c r="BG44" s="16">
        <f t="shared" si="2"/>
        <v>49.551617827359998</v>
      </c>
      <c r="BH44" s="16">
        <f t="shared" si="3"/>
        <v>45.209671485930002</v>
      </c>
      <c r="BI44" s="16">
        <f t="shared" si="4"/>
        <v>45.476360256656001</v>
      </c>
      <c r="BJ44" s="16">
        <f t="shared" si="5"/>
        <v>42.4291838607</v>
      </c>
      <c r="BK44" s="16">
        <f t="shared" si="6"/>
        <v>37.186303007195001</v>
      </c>
    </row>
    <row r="45" spans="1:63" x14ac:dyDescent="0.25">
      <c r="A45" s="3"/>
      <c r="B45" s="3">
        <v>19</v>
      </c>
      <c r="C45" s="3">
        <v>36</v>
      </c>
      <c r="D45" s="3">
        <v>720</v>
      </c>
      <c r="E45" s="3">
        <f t="shared" si="7"/>
        <v>22572</v>
      </c>
      <c r="F45" s="3">
        <f t="shared" si="8"/>
        <v>940.5</v>
      </c>
      <c r="G45" s="3">
        <f t="shared" si="9"/>
        <v>2.5749486652977414</v>
      </c>
      <c r="H45" s="3">
        <v>1.0353406999999999</v>
      </c>
      <c r="I45" s="60">
        <v>1.024044</v>
      </c>
      <c r="J45" s="12">
        <v>0.99220470000000005</v>
      </c>
      <c r="K45" s="9">
        <v>1.0007439</v>
      </c>
      <c r="L45" s="70">
        <v>1.0231247999999999</v>
      </c>
      <c r="O45" s="3"/>
      <c r="P45" s="3">
        <v>19</v>
      </c>
      <c r="Q45" s="3">
        <v>36</v>
      </c>
      <c r="R45" s="3">
        <v>720</v>
      </c>
      <c r="S45" s="3">
        <f t="shared" si="10"/>
        <v>22572</v>
      </c>
      <c r="T45" s="3">
        <f t="shared" si="19"/>
        <v>940.5</v>
      </c>
      <c r="U45" s="3">
        <f t="shared" si="12"/>
        <v>2.5749486652977414</v>
      </c>
      <c r="V45" s="11">
        <v>0.53441000000000005</v>
      </c>
      <c r="W45" s="61">
        <v>0.64332199999999995</v>
      </c>
      <c r="X45" s="71">
        <v>0.65591699999999997</v>
      </c>
      <c r="Y45" s="128">
        <v>0.65366900000000006</v>
      </c>
      <c r="Z45" s="128">
        <v>0.64336700000000002</v>
      </c>
      <c r="AC45" s="142"/>
      <c r="AO45" s="75">
        <v>35</v>
      </c>
      <c r="AP45" s="123">
        <f t="shared" si="14"/>
        <v>213.75</v>
      </c>
      <c r="AQ45" s="120">
        <v>0.37791160000000001</v>
      </c>
      <c r="AR45" s="75"/>
      <c r="AS45" s="62">
        <f t="shared" si="15"/>
        <v>213.75</v>
      </c>
      <c r="AT45" s="11">
        <v>0.43608330000000001</v>
      </c>
      <c r="AU45" s="75">
        <v>35</v>
      </c>
      <c r="AV45" s="62">
        <f t="shared" si="16"/>
        <v>213.75</v>
      </c>
      <c r="AW45" s="121">
        <v>0.5691832</v>
      </c>
      <c r="AX45" s="75">
        <v>35</v>
      </c>
      <c r="AY45" s="62">
        <f t="shared" si="17"/>
        <v>213.75</v>
      </c>
      <c r="AZ45" s="121">
        <v>0.63958130000000002</v>
      </c>
      <c r="BA45" s="75">
        <v>35</v>
      </c>
      <c r="BB45" s="62">
        <f t="shared" si="18"/>
        <v>213.75</v>
      </c>
      <c r="BC45" s="120">
        <v>0.63309789999999999</v>
      </c>
      <c r="BF45" s="62">
        <f t="shared" si="13"/>
        <v>220</v>
      </c>
      <c r="BG45" s="16">
        <f t="shared" si="2"/>
        <v>37.504899681680001</v>
      </c>
      <c r="BH45" s="16">
        <f t="shared" si="3"/>
        <v>34.516661544469997</v>
      </c>
      <c r="BI45" s="16">
        <f t="shared" si="4"/>
        <v>33.905984219198004</v>
      </c>
      <c r="BJ45" s="16">
        <f t="shared" si="5"/>
        <v>31.517420079599997</v>
      </c>
      <c r="BK45" s="16">
        <f t="shared" si="6"/>
        <v>27.507423949635001</v>
      </c>
    </row>
    <row r="46" spans="1:63" x14ac:dyDescent="0.25">
      <c r="A46" s="3"/>
      <c r="B46" s="3">
        <v>20</v>
      </c>
      <c r="C46" s="3">
        <v>37</v>
      </c>
      <c r="D46" s="3">
        <v>720</v>
      </c>
      <c r="E46" s="3">
        <f t="shared" si="7"/>
        <v>23292</v>
      </c>
      <c r="F46" s="3">
        <f t="shared" si="8"/>
        <v>970.5</v>
      </c>
      <c r="G46" s="3">
        <f t="shared" si="9"/>
        <v>2.6570841889117043</v>
      </c>
      <c r="H46" s="3">
        <v>1.0330321</v>
      </c>
      <c r="I46" s="60">
        <v>1.0227782999999999</v>
      </c>
      <c r="J46" s="12">
        <v>0.99094539999999998</v>
      </c>
      <c r="K46" s="70">
        <v>0.99944949999999999</v>
      </c>
      <c r="L46" s="70">
        <v>1.0218602000000001</v>
      </c>
      <c r="O46" s="3"/>
      <c r="P46" s="3">
        <v>20</v>
      </c>
      <c r="Q46" s="3">
        <v>37</v>
      </c>
      <c r="R46" s="3">
        <v>720</v>
      </c>
      <c r="S46" s="3">
        <f t="shared" si="10"/>
        <v>23292</v>
      </c>
      <c r="T46" s="3">
        <f t="shared" si="19"/>
        <v>970.5</v>
      </c>
      <c r="U46" s="3">
        <f t="shared" si="12"/>
        <v>2.6570841889117043</v>
      </c>
      <c r="V46" s="11">
        <v>0.53593999999999997</v>
      </c>
      <c r="W46" s="61">
        <v>0.643733</v>
      </c>
      <c r="X46" s="71">
        <v>0.65633900000000001</v>
      </c>
      <c r="Y46" s="128">
        <v>0.65409899999999999</v>
      </c>
      <c r="Z46" s="128">
        <v>0.64377700000000004</v>
      </c>
      <c r="AO46" s="95">
        <v>36</v>
      </c>
      <c r="AP46" s="123">
        <f t="shared" si="14"/>
        <v>220</v>
      </c>
      <c r="AQ46" s="120">
        <v>0.28603580000000001</v>
      </c>
      <c r="AR46" s="96"/>
      <c r="AS46" s="62">
        <f t="shared" si="15"/>
        <v>220</v>
      </c>
      <c r="AT46" s="11">
        <v>0.33294069999999998</v>
      </c>
      <c r="AU46" s="96">
        <v>36</v>
      </c>
      <c r="AV46" s="62">
        <f t="shared" si="16"/>
        <v>220</v>
      </c>
      <c r="AW46" s="121">
        <v>0.42436810000000003</v>
      </c>
      <c r="AX46" s="96">
        <v>36</v>
      </c>
      <c r="AY46" s="62">
        <f t="shared" si="17"/>
        <v>220</v>
      </c>
      <c r="AZ46" s="121">
        <v>0.47509639999999997</v>
      </c>
      <c r="BA46" s="96">
        <v>36</v>
      </c>
      <c r="BB46" s="62">
        <f t="shared" si="18"/>
        <v>220</v>
      </c>
      <c r="BC46" s="120">
        <v>0.46831469999999997</v>
      </c>
      <c r="BF46" s="62">
        <f>BF45+5.2376</f>
        <v>225.23759999999999</v>
      </c>
      <c r="BG46" s="16">
        <f t="shared" si="2"/>
        <v>0</v>
      </c>
      <c r="BH46" s="16">
        <f t="shared" si="3"/>
        <v>0</v>
      </c>
      <c r="BI46" s="16">
        <f t="shared" si="4"/>
        <v>0</v>
      </c>
      <c r="BJ46" s="16">
        <f t="shared" si="5"/>
        <v>0</v>
      </c>
      <c r="BK46" s="16">
        <f t="shared" si="6"/>
        <v>0</v>
      </c>
    </row>
    <row r="47" spans="1:63" x14ac:dyDescent="0.25">
      <c r="A47" s="3"/>
      <c r="B47" s="3">
        <v>21</v>
      </c>
      <c r="C47" s="3">
        <v>38</v>
      </c>
      <c r="D47" s="3">
        <v>720</v>
      </c>
      <c r="E47" s="3">
        <f t="shared" si="7"/>
        <v>24012</v>
      </c>
      <c r="F47" s="3">
        <f t="shared" si="8"/>
        <v>1000.5</v>
      </c>
      <c r="G47" s="3">
        <f t="shared" si="9"/>
        <v>2.7392197125256672</v>
      </c>
      <c r="H47" s="3">
        <v>1.0311634999999999</v>
      </c>
      <c r="I47" s="60">
        <v>1.0214380000000001</v>
      </c>
      <c r="J47" s="12">
        <v>0.98962760000000005</v>
      </c>
      <c r="K47" s="70">
        <v>0.99813209999999997</v>
      </c>
      <c r="L47" s="70">
        <v>1.0205215000000001</v>
      </c>
      <c r="O47" s="3"/>
      <c r="P47" s="3">
        <v>21</v>
      </c>
      <c r="Q47" s="3">
        <v>38</v>
      </c>
      <c r="R47" s="3">
        <v>720</v>
      </c>
      <c r="S47" s="3">
        <f t="shared" si="10"/>
        <v>24012</v>
      </c>
      <c r="T47" s="3">
        <f t="shared" si="19"/>
        <v>1000.5</v>
      </c>
      <c r="U47" s="3">
        <f t="shared" si="12"/>
        <v>2.7392197125256672</v>
      </c>
      <c r="V47" s="11">
        <v>0.53699799999999998</v>
      </c>
      <c r="W47" s="61">
        <v>0.64415699999999998</v>
      </c>
      <c r="X47" s="71">
        <v>0.65678800000000004</v>
      </c>
      <c r="Y47" s="128">
        <v>0.65454100000000004</v>
      </c>
      <c r="Z47" s="128">
        <v>0.64420200000000005</v>
      </c>
      <c r="AO47" s="75">
        <v>37</v>
      </c>
      <c r="AP47" s="123">
        <f>AP46+5.2376</f>
        <v>225.23759999999999</v>
      </c>
      <c r="AQ47" s="120">
        <v>0</v>
      </c>
      <c r="AR47" s="75"/>
      <c r="AS47" s="62">
        <f>AS46+5.2376</f>
        <v>225.23759999999999</v>
      </c>
      <c r="AT47" s="11">
        <v>0</v>
      </c>
      <c r="AU47" s="75">
        <v>37</v>
      </c>
      <c r="AV47" s="62">
        <f>AV46+5.2376</f>
        <v>225.23759999999999</v>
      </c>
      <c r="AW47" s="121">
        <v>0</v>
      </c>
      <c r="AX47" s="75">
        <v>37</v>
      </c>
      <c r="AY47" s="62">
        <f>AY46+5.2376</f>
        <v>225.23759999999999</v>
      </c>
      <c r="AZ47" s="121">
        <v>0</v>
      </c>
      <c r="BA47" s="75">
        <v>37</v>
      </c>
      <c r="BB47" s="62">
        <f>BB46+5.2376</f>
        <v>225.23759999999999</v>
      </c>
      <c r="BC47" s="120">
        <v>0</v>
      </c>
      <c r="BF47" s="62">
        <f>BF46+(14.7624/2)</f>
        <v>232.61879999999999</v>
      </c>
      <c r="BG47" s="16">
        <f t="shared" si="2"/>
        <v>0</v>
      </c>
      <c r="BH47" s="16">
        <f t="shared" si="3"/>
        <v>0</v>
      </c>
      <c r="BI47" s="16">
        <f t="shared" si="4"/>
        <v>0</v>
      </c>
      <c r="BJ47" s="16">
        <f t="shared" si="5"/>
        <v>0</v>
      </c>
      <c r="BK47" s="16">
        <f t="shared" si="6"/>
        <v>0</v>
      </c>
    </row>
    <row r="48" spans="1:63" x14ac:dyDescent="0.25">
      <c r="A48" s="3"/>
      <c r="B48" s="3">
        <v>22</v>
      </c>
      <c r="C48" s="3">
        <v>39</v>
      </c>
      <c r="D48" s="3">
        <v>720</v>
      </c>
      <c r="E48" s="3">
        <f t="shared" si="7"/>
        <v>24732</v>
      </c>
      <c r="F48" s="3">
        <f t="shared" si="8"/>
        <v>1030.5</v>
      </c>
      <c r="G48" s="3">
        <f t="shared" si="9"/>
        <v>2.8213552361396306</v>
      </c>
      <c r="H48" s="12">
        <v>1.0291526</v>
      </c>
      <c r="I48" s="60">
        <v>1.0200549000000001</v>
      </c>
      <c r="J48" s="12">
        <v>0.98821859999999995</v>
      </c>
      <c r="K48" s="70">
        <v>0.99673780000000001</v>
      </c>
      <c r="L48" s="70">
        <v>1.0191416</v>
      </c>
      <c r="O48" s="3"/>
      <c r="P48" s="3">
        <v>22</v>
      </c>
      <c r="Q48" s="3">
        <v>39</v>
      </c>
      <c r="R48" s="3">
        <v>720</v>
      </c>
      <c r="S48" s="3">
        <f t="shared" si="10"/>
        <v>24732</v>
      </c>
      <c r="T48" s="3">
        <f t="shared" si="19"/>
        <v>1030.5</v>
      </c>
      <c r="U48" s="3">
        <f t="shared" si="12"/>
        <v>2.8213552361396306</v>
      </c>
      <c r="V48" s="11">
        <v>0.53817300000000001</v>
      </c>
      <c r="W48" s="61">
        <v>0.64461599999999997</v>
      </c>
      <c r="X48" s="71">
        <v>0.65727800000000003</v>
      </c>
      <c r="Y48" s="128">
        <v>0.65502199999999999</v>
      </c>
      <c r="Z48" s="128">
        <v>0.64466100000000004</v>
      </c>
      <c r="AO48" s="95">
        <v>38</v>
      </c>
      <c r="AP48" s="123">
        <f>AP47+(14.7624/2)</f>
        <v>232.61879999999999</v>
      </c>
      <c r="AQ48" s="120">
        <v>0</v>
      </c>
      <c r="AR48" s="96"/>
      <c r="AS48" s="62">
        <f>AS47+(14.7624/2)</f>
        <v>232.61879999999999</v>
      </c>
      <c r="AT48" s="11">
        <v>0</v>
      </c>
      <c r="AU48" s="96">
        <v>38</v>
      </c>
      <c r="AV48" s="62">
        <f>AV47+(14.7624/2)</f>
        <v>232.61879999999999</v>
      </c>
      <c r="AW48" s="121">
        <v>0</v>
      </c>
      <c r="AX48" s="96">
        <v>38</v>
      </c>
      <c r="AY48" s="62">
        <f>AY47+(14.7624/2)</f>
        <v>232.61879999999999</v>
      </c>
      <c r="AZ48" s="121">
        <v>0</v>
      </c>
      <c r="BA48" s="96">
        <v>38</v>
      </c>
      <c r="BB48" s="62">
        <f>BB47+(14.7624/2)</f>
        <v>232.61879999999999</v>
      </c>
      <c r="BC48" s="120">
        <v>0</v>
      </c>
      <c r="BE48" s="102" t="s">
        <v>287</v>
      </c>
      <c r="BF48" s="3">
        <f>BF46+14.7624</f>
        <v>240</v>
      </c>
      <c r="BG48" s="16">
        <f t="shared" si="2"/>
        <v>0</v>
      </c>
      <c r="BH48" s="16">
        <f t="shared" si="3"/>
        <v>0</v>
      </c>
      <c r="BI48" s="16">
        <f t="shared" si="4"/>
        <v>0</v>
      </c>
      <c r="BJ48" s="16">
        <f t="shared" si="5"/>
        <v>0</v>
      </c>
      <c r="BK48" s="16">
        <f t="shared" si="6"/>
        <v>0</v>
      </c>
    </row>
    <row r="49" spans="1:55" x14ac:dyDescent="0.25">
      <c r="A49" s="3"/>
      <c r="B49" s="3">
        <v>23</v>
      </c>
      <c r="C49" s="3">
        <v>40</v>
      </c>
      <c r="D49" s="3">
        <v>720</v>
      </c>
      <c r="E49" s="3">
        <f t="shared" si="7"/>
        <v>25452</v>
      </c>
      <c r="F49" s="3">
        <f t="shared" si="8"/>
        <v>1060.5</v>
      </c>
      <c r="G49" s="3">
        <f t="shared" si="9"/>
        <v>2.9034907597535935</v>
      </c>
      <c r="H49" s="3">
        <v>1.0268739</v>
      </c>
      <c r="I49" s="60">
        <v>1.0187457</v>
      </c>
      <c r="J49" s="12">
        <v>0.98688330000000002</v>
      </c>
      <c r="K49" s="70">
        <v>0.99536210000000003</v>
      </c>
      <c r="L49" s="70">
        <v>1.0177902999999999</v>
      </c>
      <c r="O49" s="3"/>
      <c r="P49" s="3">
        <v>23</v>
      </c>
      <c r="Q49" s="3">
        <v>40</v>
      </c>
      <c r="R49" s="3">
        <v>720</v>
      </c>
      <c r="S49" s="3">
        <f t="shared" si="10"/>
        <v>25452</v>
      </c>
      <c r="T49" s="3">
        <f t="shared" si="19"/>
        <v>1060.5</v>
      </c>
      <c r="U49" s="3">
        <f t="shared" si="12"/>
        <v>2.9034907597535935</v>
      </c>
      <c r="V49" s="11">
        <v>0.53965399999999997</v>
      </c>
      <c r="W49" s="61">
        <v>0.64503200000000005</v>
      </c>
      <c r="X49" s="71">
        <v>0.65772900000000001</v>
      </c>
      <c r="Y49" s="128">
        <v>0.65547699999999998</v>
      </c>
      <c r="Z49" s="128">
        <v>0.64508799999999999</v>
      </c>
      <c r="AO49" s="96">
        <v>39</v>
      </c>
      <c r="AP49" s="117">
        <f>AP47+14.7624</f>
        <v>240</v>
      </c>
      <c r="AQ49" s="120">
        <v>0</v>
      </c>
      <c r="AR49" s="96"/>
      <c r="AS49" s="3">
        <f>AS47+14.7624</f>
        <v>240</v>
      </c>
      <c r="AT49" s="11">
        <v>0</v>
      </c>
      <c r="AU49" s="96">
        <v>39</v>
      </c>
      <c r="AV49" s="3">
        <f>AV47+14.7624</f>
        <v>240</v>
      </c>
      <c r="AW49" s="121">
        <v>0</v>
      </c>
      <c r="AX49" s="96">
        <v>39</v>
      </c>
      <c r="AY49" s="3">
        <f>AY47+14.7624</f>
        <v>240</v>
      </c>
      <c r="AZ49" s="121">
        <v>0</v>
      </c>
      <c r="BA49" s="96">
        <v>39</v>
      </c>
      <c r="BB49" s="3">
        <f>BB47+14.7624</f>
        <v>240</v>
      </c>
      <c r="BC49" s="120">
        <v>0</v>
      </c>
    </row>
    <row r="50" spans="1:55" x14ac:dyDescent="0.25">
      <c r="A50" s="3" t="s">
        <v>271</v>
      </c>
      <c r="B50" s="3">
        <v>24</v>
      </c>
      <c r="C50" s="3">
        <v>41</v>
      </c>
      <c r="D50" s="3">
        <v>846</v>
      </c>
      <c r="E50" s="3">
        <f t="shared" si="7"/>
        <v>26298</v>
      </c>
      <c r="F50" s="3">
        <f t="shared" si="8"/>
        <v>1095.75</v>
      </c>
      <c r="G50" s="3">
        <f t="shared" si="9"/>
        <v>3</v>
      </c>
      <c r="H50" s="3">
        <v>1.0250367</v>
      </c>
      <c r="I50" s="60">
        <v>1.0173752</v>
      </c>
      <c r="J50" s="12">
        <v>0.98555340000000002</v>
      </c>
      <c r="K50" s="70">
        <v>0.99405290000000002</v>
      </c>
      <c r="L50" s="70">
        <v>1.0164731</v>
      </c>
      <c r="O50" s="3" t="s">
        <v>271</v>
      </c>
      <c r="P50" s="3">
        <v>24</v>
      </c>
      <c r="Q50" s="3">
        <v>41</v>
      </c>
      <c r="R50" s="3">
        <v>846</v>
      </c>
      <c r="S50" s="3">
        <f t="shared" si="10"/>
        <v>26298</v>
      </c>
      <c r="T50" s="3">
        <f t="shared" si="19"/>
        <v>1095.75</v>
      </c>
      <c r="U50" s="3">
        <f t="shared" si="12"/>
        <v>3</v>
      </c>
      <c r="V50" s="11">
        <v>0.54067100000000001</v>
      </c>
      <c r="W50" s="61">
        <v>0.64545399999999997</v>
      </c>
      <c r="X50" s="71">
        <v>0.65816600000000003</v>
      </c>
      <c r="Y50" s="128">
        <v>0.65590199999999999</v>
      </c>
      <c r="Z50" s="128">
        <v>0.64549800000000002</v>
      </c>
      <c r="AC50" s="142"/>
      <c r="AQ50" s="126"/>
    </row>
    <row r="51" spans="1:55" x14ac:dyDescent="0.25">
      <c r="A51" s="3"/>
      <c r="B51" s="3">
        <v>1</v>
      </c>
      <c r="C51" s="3">
        <v>42</v>
      </c>
      <c r="D51" s="3">
        <v>720</v>
      </c>
      <c r="E51" s="3">
        <f t="shared" si="7"/>
        <v>27018</v>
      </c>
      <c r="F51" s="3">
        <f t="shared" si="8"/>
        <v>1125.75</v>
      </c>
      <c r="G51" s="3">
        <f t="shared" si="9"/>
        <v>3.0821355236139629</v>
      </c>
      <c r="H51" s="3">
        <v>1.0250587</v>
      </c>
      <c r="I51" s="60">
        <v>1.0173873</v>
      </c>
      <c r="J51" s="12">
        <v>0.98556699999999997</v>
      </c>
      <c r="K51" s="70">
        <v>0.99404930000000002</v>
      </c>
      <c r="L51" s="70">
        <v>1.0164869999999999</v>
      </c>
      <c r="M51" t="s">
        <v>270</v>
      </c>
      <c r="O51" s="3"/>
      <c r="P51" s="3">
        <v>1</v>
      </c>
      <c r="Q51" s="3">
        <v>42</v>
      </c>
      <c r="R51" s="3">
        <v>720</v>
      </c>
      <c r="S51" s="3">
        <f t="shared" si="10"/>
        <v>27018</v>
      </c>
      <c r="T51" s="3">
        <f t="shared" si="19"/>
        <v>1125.75</v>
      </c>
      <c r="U51" s="3">
        <f t="shared" si="12"/>
        <v>3.0821355236139629</v>
      </c>
      <c r="V51" s="11">
        <v>0.54073499999999997</v>
      </c>
      <c r="W51" s="61">
        <v>0.645459</v>
      </c>
      <c r="X51" s="71">
        <v>0.65817000000000003</v>
      </c>
      <c r="Y51" s="128">
        <v>0.65591200000000005</v>
      </c>
      <c r="Z51" s="128">
        <v>0.64550200000000002</v>
      </c>
      <c r="AA51" t="s">
        <v>270</v>
      </c>
    </row>
    <row r="52" spans="1:55" x14ac:dyDescent="0.25">
      <c r="A52" s="3"/>
      <c r="B52" s="3">
        <v>2</v>
      </c>
      <c r="C52" s="3">
        <v>43</v>
      </c>
      <c r="D52" s="3">
        <v>720</v>
      </c>
      <c r="E52" s="3">
        <f t="shared" si="7"/>
        <v>27738</v>
      </c>
      <c r="F52" s="3">
        <f t="shared" si="8"/>
        <v>1155.75</v>
      </c>
      <c r="G52" s="3">
        <f t="shared" si="9"/>
        <v>3.1642710472279263</v>
      </c>
      <c r="H52" s="3">
        <v>1.0225519000000001</v>
      </c>
      <c r="I52" s="60">
        <v>1.0160203000000001</v>
      </c>
      <c r="J52" s="12">
        <v>0.98419990000000002</v>
      </c>
      <c r="K52" s="70">
        <v>0.99272749999999998</v>
      </c>
      <c r="L52" s="70">
        <v>1.0151057999999999</v>
      </c>
      <c r="O52" s="3"/>
      <c r="P52" s="3">
        <v>2</v>
      </c>
      <c r="Q52" s="3">
        <v>43</v>
      </c>
      <c r="R52" s="3">
        <v>720</v>
      </c>
      <c r="S52" s="3">
        <f t="shared" si="10"/>
        <v>27738</v>
      </c>
      <c r="T52" s="3">
        <f t="shared" si="19"/>
        <v>1155.75</v>
      </c>
      <c r="U52" s="3">
        <f t="shared" si="12"/>
        <v>3.1642710472279263</v>
      </c>
      <c r="V52" s="128">
        <v>0.54238299999999995</v>
      </c>
      <c r="W52" s="61">
        <v>0.64589099999999999</v>
      </c>
      <c r="X52" s="71">
        <v>0.65861700000000001</v>
      </c>
      <c r="Y52" s="128">
        <v>0.65633900000000001</v>
      </c>
      <c r="Z52" s="128">
        <v>0.64593500000000004</v>
      </c>
    </row>
    <row r="53" spans="1:55" x14ac:dyDescent="0.25">
      <c r="A53" s="3"/>
      <c r="B53" s="3">
        <v>3</v>
      </c>
      <c r="C53" s="3">
        <v>44</v>
      </c>
      <c r="D53" s="3">
        <v>720</v>
      </c>
      <c r="E53" s="3">
        <f t="shared" si="7"/>
        <v>28458</v>
      </c>
      <c r="F53" s="3">
        <f t="shared" si="8"/>
        <v>1185.75</v>
      </c>
      <c r="G53" s="3">
        <f t="shared" si="9"/>
        <v>3.2464065708418892</v>
      </c>
      <c r="H53" s="3">
        <v>1.020472</v>
      </c>
      <c r="I53" s="60">
        <v>1.0146637999999999</v>
      </c>
      <c r="J53" s="12">
        <v>0.98286229999999997</v>
      </c>
      <c r="K53" s="70">
        <v>0.9913151</v>
      </c>
      <c r="L53" s="70">
        <v>1.0137546</v>
      </c>
      <c r="O53" s="3"/>
      <c r="P53" s="3">
        <v>3</v>
      </c>
      <c r="Q53" s="3">
        <v>44</v>
      </c>
      <c r="R53" s="3">
        <v>720</v>
      </c>
      <c r="S53" s="3">
        <f t="shared" si="10"/>
        <v>28458</v>
      </c>
      <c r="T53" s="3">
        <f t="shared" si="19"/>
        <v>1185.75</v>
      </c>
      <c r="U53" s="3">
        <f t="shared" si="12"/>
        <v>3.2464065708418892</v>
      </c>
      <c r="V53" s="11">
        <v>0.54359900000000005</v>
      </c>
      <c r="W53" s="61">
        <v>0.64632900000000004</v>
      </c>
      <c r="X53" s="71">
        <v>0.65907000000000004</v>
      </c>
      <c r="Y53" s="128">
        <v>0.65681</v>
      </c>
      <c r="Z53" s="128">
        <v>0.64637299999999998</v>
      </c>
    </row>
    <row r="54" spans="1:55" x14ac:dyDescent="0.25">
      <c r="A54" s="3"/>
      <c r="B54" s="3">
        <v>4</v>
      </c>
      <c r="C54" s="3">
        <v>45</v>
      </c>
      <c r="D54" s="3">
        <v>720</v>
      </c>
      <c r="E54" s="3">
        <f t="shared" si="7"/>
        <v>29178</v>
      </c>
      <c r="F54" s="3">
        <f t="shared" si="8"/>
        <v>1215.75</v>
      </c>
      <c r="G54" s="3">
        <f t="shared" si="9"/>
        <v>3.3285420944558521</v>
      </c>
      <c r="H54" s="3">
        <v>1.0181636000000001</v>
      </c>
      <c r="I54" s="60">
        <v>1.0133046999999999</v>
      </c>
      <c r="J54" s="12">
        <v>0.98153250000000003</v>
      </c>
      <c r="K54" s="70">
        <v>0.98999760000000003</v>
      </c>
      <c r="L54" s="70">
        <v>1.0124166000000001</v>
      </c>
      <c r="O54" s="3"/>
      <c r="P54" s="3">
        <v>4</v>
      </c>
      <c r="Q54" s="3">
        <v>45</v>
      </c>
      <c r="R54" s="3">
        <v>720</v>
      </c>
      <c r="S54" s="3">
        <f t="shared" si="10"/>
        <v>29178</v>
      </c>
      <c r="T54" s="3">
        <f t="shared" si="19"/>
        <v>1215.75</v>
      </c>
      <c r="U54" s="3">
        <f t="shared" si="12"/>
        <v>3.3285420944558521</v>
      </c>
      <c r="V54" s="11">
        <v>0.54525100000000004</v>
      </c>
      <c r="W54" s="61">
        <v>0.64676100000000003</v>
      </c>
      <c r="X54" s="71">
        <v>0.65951899999999997</v>
      </c>
      <c r="Y54" s="128">
        <v>0.65725100000000003</v>
      </c>
      <c r="Z54" s="128">
        <v>0.64679900000000001</v>
      </c>
    </row>
    <row r="55" spans="1:55" x14ac:dyDescent="0.25">
      <c r="A55" s="3"/>
      <c r="B55" s="3">
        <v>5</v>
      </c>
      <c r="C55" s="3">
        <v>46</v>
      </c>
      <c r="D55" s="3">
        <v>720</v>
      </c>
      <c r="E55" s="3">
        <f t="shared" si="7"/>
        <v>29898</v>
      </c>
      <c r="F55" s="3">
        <f t="shared" si="8"/>
        <v>1245.75</v>
      </c>
      <c r="G55" s="3">
        <f t="shared" si="9"/>
        <v>3.4106776180698151</v>
      </c>
      <c r="H55" s="3">
        <v>1.0158895999999999</v>
      </c>
      <c r="I55" s="60">
        <v>1.0120106</v>
      </c>
      <c r="J55" s="12">
        <v>0.98018280000000002</v>
      </c>
      <c r="K55" s="70">
        <v>0.9886665</v>
      </c>
      <c r="L55" s="70">
        <v>1.0110752999999999</v>
      </c>
      <c r="O55" s="3"/>
      <c r="P55" s="3">
        <v>5</v>
      </c>
      <c r="Q55" s="3">
        <v>46</v>
      </c>
      <c r="R55" s="3">
        <v>720</v>
      </c>
      <c r="S55" s="3">
        <f t="shared" si="10"/>
        <v>29898</v>
      </c>
      <c r="T55" s="3">
        <f t="shared" si="19"/>
        <v>1245.75</v>
      </c>
      <c r="U55" s="3">
        <f t="shared" si="12"/>
        <v>3.4106776180698151</v>
      </c>
      <c r="V55" s="11">
        <v>0.54680399999999996</v>
      </c>
      <c r="W55" s="61">
        <v>0.64717000000000002</v>
      </c>
      <c r="X55" s="71">
        <v>0.65996999999999995</v>
      </c>
      <c r="Y55" s="128">
        <v>0.65769</v>
      </c>
      <c r="Z55" s="128">
        <v>0.64722100000000005</v>
      </c>
      <c r="AC55" s="142"/>
    </row>
    <row r="56" spans="1:55" x14ac:dyDescent="0.25">
      <c r="A56" s="3"/>
      <c r="B56" s="3">
        <v>6</v>
      </c>
      <c r="C56" s="3">
        <v>47</v>
      </c>
      <c r="D56" s="3">
        <v>720</v>
      </c>
      <c r="E56" s="3">
        <f t="shared" si="7"/>
        <v>30618</v>
      </c>
      <c r="F56" s="3">
        <f t="shared" si="8"/>
        <v>1275.75</v>
      </c>
      <c r="G56" s="3">
        <f t="shared" si="9"/>
        <v>3.4928131416837784</v>
      </c>
      <c r="H56" s="3">
        <v>1.0137388000000001</v>
      </c>
      <c r="I56" s="60">
        <v>1.0106820999999999</v>
      </c>
      <c r="J56" s="12">
        <v>0.97891059999999996</v>
      </c>
      <c r="K56" s="70">
        <v>0.98737989999999998</v>
      </c>
      <c r="L56" s="70">
        <v>1.0097845000000001</v>
      </c>
      <c r="O56" s="3"/>
      <c r="P56" s="3">
        <v>6</v>
      </c>
      <c r="Q56" s="3">
        <v>47</v>
      </c>
      <c r="R56" s="3">
        <v>720</v>
      </c>
      <c r="S56" s="3">
        <f t="shared" si="10"/>
        <v>30618</v>
      </c>
      <c r="T56" s="3">
        <f t="shared" si="19"/>
        <v>1275.75</v>
      </c>
      <c r="U56" s="3">
        <f t="shared" si="12"/>
        <v>3.4928131416837784</v>
      </c>
      <c r="V56" s="11">
        <v>0.54811500000000002</v>
      </c>
      <c r="W56" s="61">
        <v>0.64757399999999998</v>
      </c>
      <c r="X56" s="71">
        <v>0.66037699999999999</v>
      </c>
      <c r="Y56" s="128">
        <v>0.65809600000000001</v>
      </c>
      <c r="Z56" s="128">
        <v>0.647617</v>
      </c>
    </row>
    <row r="57" spans="1:55" x14ac:dyDescent="0.25">
      <c r="A57" s="3"/>
      <c r="B57" s="3">
        <v>7</v>
      </c>
      <c r="C57" s="3">
        <v>48</v>
      </c>
      <c r="D57" s="3">
        <v>720</v>
      </c>
      <c r="E57" s="3">
        <f t="shared" si="7"/>
        <v>31338</v>
      </c>
      <c r="F57" s="3">
        <f t="shared" si="8"/>
        <v>1305.75</v>
      </c>
      <c r="G57" s="3">
        <f t="shared" si="9"/>
        <v>3.5749486652977414</v>
      </c>
      <c r="H57" s="3">
        <v>1.0113713</v>
      </c>
      <c r="I57" s="60">
        <v>1.0094205000000001</v>
      </c>
      <c r="J57" s="12">
        <v>0.97770630000000003</v>
      </c>
      <c r="K57" s="70">
        <v>0.98610030000000004</v>
      </c>
      <c r="L57" s="70">
        <v>1.0085118</v>
      </c>
      <c r="O57" s="3"/>
      <c r="P57" s="3">
        <v>7</v>
      </c>
      <c r="Q57" s="3">
        <v>48</v>
      </c>
      <c r="R57" s="3">
        <v>720</v>
      </c>
      <c r="S57" s="3">
        <f t="shared" si="10"/>
        <v>31338</v>
      </c>
      <c r="T57" s="3">
        <f t="shared" si="19"/>
        <v>1305.75</v>
      </c>
      <c r="U57" s="3">
        <f t="shared" si="12"/>
        <v>3.5749486652977414</v>
      </c>
      <c r="V57" s="11">
        <v>0.54981800000000003</v>
      </c>
      <c r="W57" s="61">
        <v>0.64796500000000001</v>
      </c>
      <c r="X57" s="71">
        <v>0.66076500000000005</v>
      </c>
      <c r="Y57" s="128">
        <v>0.65850699999999995</v>
      </c>
      <c r="Z57" s="128">
        <v>0.64800899999999995</v>
      </c>
    </row>
    <row r="58" spans="1:55" x14ac:dyDescent="0.25">
      <c r="A58" s="3"/>
      <c r="B58" s="3">
        <v>8</v>
      </c>
      <c r="C58" s="3">
        <v>49</v>
      </c>
      <c r="D58" s="3">
        <v>720</v>
      </c>
      <c r="E58" s="3">
        <f t="shared" si="7"/>
        <v>32058</v>
      </c>
      <c r="F58" s="3">
        <f t="shared" si="8"/>
        <v>1335.75</v>
      </c>
      <c r="G58" s="3">
        <f t="shared" si="9"/>
        <v>3.6570841889117043</v>
      </c>
      <c r="H58" s="3">
        <v>1.0090014</v>
      </c>
      <c r="I58" s="60">
        <v>1.008127</v>
      </c>
      <c r="J58" s="12">
        <v>0.9763288</v>
      </c>
      <c r="K58" s="70">
        <v>0.98481739999999995</v>
      </c>
      <c r="L58" s="70">
        <v>1.0073299</v>
      </c>
      <c r="O58" s="3"/>
      <c r="P58" s="3">
        <v>8</v>
      </c>
      <c r="Q58" s="3">
        <v>49</v>
      </c>
      <c r="R58" s="3">
        <v>720</v>
      </c>
      <c r="S58" s="3">
        <f t="shared" si="10"/>
        <v>32058</v>
      </c>
      <c r="T58" s="3">
        <f t="shared" si="19"/>
        <v>1335.75</v>
      </c>
      <c r="U58" s="3">
        <f t="shared" si="12"/>
        <v>3.6570841889117043</v>
      </c>
      <c r="V58" s="11">
        <v>0.55155299999999996</v>
      </c>
      <c r="W58" s="61">
        <v>0.64838399999999996</v>
      </c>
      <c r="X58" s="71">
        <v>0.66122199999999998</v>
      </c>
      <c r="Y58" s="128">
        <v>0.65892799999999996</v>
      </c>
      <c r="Z58" s="128">
        <v>0.64839400000000003</v>
      </c>
    </row>
    <row r="59" spans="1:55" x14ac:dyDescent="0.25">
      <c r="A59" s="3"/>
      <c r="B59" s="3">
        <v>9</v>
      </c>
      <c r="C59" s="3">
        <v>50</v>
      </c>
      <c r="D59" s="3">
        <v>720</v>
      </c>
      <c r="E59" s="3">
        <f t="shared" si="7"/>
        <v>32778</v>
      </c>
      <c r="F59" s="3">
        <f t="shared" si="8"/>
        <v>1365.75</v>
      </c>
      <c r="G59" s="3">
        <f t="shared" si="9"/>
        <v>3.7392197125256672</v>
      </c>
      <c r="H59" s="3">
        <v>1.0065010000000001</v>
      </c>
      <c r="I59" s="60">
        <v>1.0068051</v>
      </c>
      <c r="J59" s="12">
        <v>0.97504900000000005</v>
      </c>
      <c r="K59" s="70">
        <v>0.98346199999999995</v>
      </c>
      <c r="L59" s="70">
        <v>1.0058674999999999</v>
      </c>
      <c r="O59" s="3"/>
      <c r="P59" s="3">
        <v>9</v>
      </c>
      <c r="Q59" s="3">
        <v>50</v>
      </c>
      <c r="R59" s="3">
        <v>720</v>
      </c>
      <c r="S59" s="3">
        <f t="shared" si="10"/>
        <v>32778</v>
      </c>
      <c r="T59" s="3">
        <f t="shared" si="19"/>
        <v>1365.75</v>
      </c>
      <c r="U59" s="3">
        <f t="shared" si="12"/>
        <v>3.7392197125256672</v>
      </c>
      <c r="V59" s="11">
        <v>0.55346099999999998</v>
      </c>
      <c r="W59" s="61">
        <v>0.64881299999999997</v>
      </c>
      <c r="X59" s="71">
        <v>0.661663</v>
      </c>
      <c r="Y59" s="128">
        <v>0.65938699999999995</v>
      </c>
      <c r="Z59" s="128">
        <v>0.64885999999999999</v>
      </c>
    </row>
    <row r="60" spans="1:55" x14ac:dyDescent="0.25">
      <c r="A60" s="3"/>
      <c r="B60" s="3">
        <v>10</v>
      </c>
      <c r="C60" s="3">
        <v>51</v>
      </c>
      <c r="D60" s="3">
        <v>720</v>
      </c>
      <c r="E60" s="3">
        <f t="shared" si="7"/>
        <v>33498</v>
      </c>
      <c r="F60" s="3">
        <f t="shared" si="8"/>
        <v>1395.75</v>
      </c>
      <c r="G60" s="3">
        <f t="shared" si="9"/>
        <v>3.8213552361396306</v>
      </c>
      <c r="H60" s="3">
        <v>1.0039393000000001</v>
      </c>
      <c r="I60" s="60">
        <v>1.0055107999999999</v>
      </c>
      <c r="J60" s="12">
        <v>0.97379649999999995</v>
      </c>
      <c r="K60" s="70">
        <v>0.982294</v>
      </c>
      <c r="L60" s="70">
        <v>1.0046451000000001</v>
      </c>
      <c r="O60" s="3"/>
      <c r="P60" s="3">
        <v>10</v>
      </c>
      <c r="Q60" s="3">
        <v>51</v>
      </c>
      <c r="R60" s="3">
        <v>720</v>
      </c>
      <c r="S60" s="3">
        <f t="shared" si="10"/>
        <v>33498</v>
      </c>
      <c r="T60" s="3">
        <f t="shared" si="19"/>
        <v>1395.75</v>
      </c>
      <c r="U60" s="3">
        <f t="shared" si="12"/>
        <v>3.8213552361396306</v>
      </c>
      <c r="V60" s="11">
        <v>0.55540800000000001</v>
      </c>
      <c r="W60" s="61">
        <v>0.64922500000000005</v>
      </c>
      <c r="X60" s="71">
        <v>0.66207800000000006</v>
      </c>
      <c r="Y60" s="128">
        <v>0.65977200000000003</v>
      </c>
      <c r="Z60" s="128">
        <v>0.64925699999999997</v>
      </c>
      <c r="AC60" s="142"/>
    </row>
    <row r="61" spans="1:55" x14ac:dyDescent="0.25">
      <c r="A61" s="3"/>
      <c r="B61" s="3">
        <v>11</v>
      </c>
      <c r="C61" s="3">
        <v>52</v>
      </c>
      <c r="D61" s="3">
        <v>720</v>
      </c>
      <c r="E61" s="3">
        <f t="shared" si="7"/>
        <v>34218</v>
      </c>
      <c r="F61" s="3">
        <f t="shared" si="8"/>
        <v>1425.75</v>
      </c>
      <c r="G61" s="3">
        <f t="shared" si="9"/>
        <v>3.9034907597535935</v>
      </c>
      <c r="H61" s="9">
        <v>1.0015129</v>
      </c>
      <c r="I61" s="60">
        <v>1.0042127000000001</v>
      </c>
      <c r="J61" s="12">
        <v>0.97250460000000005</v>
      </c>
      <c r="K61" s="70">
        <v>0.98085409999999995</v>
      </c>
      <c r="L61" s="70">
        <v>1.0032995</v>
      </c>
      <c r="O61" s="3"/>
      <c r="P61" s="3">
        <v>11</v>
      </c>
      <c r="Q61" s="3">
        <v>52</v>
      </c>
      <c r="R61" s="3">
        <v>720</v>
      </c>
      <c r="S61" s="3">
        <f t="shared" si="10"/>
        <v>34218</v>
      </c>
      <c r="T61" s="3">
        <f t="shared" si="19"/>
        <v>1425.75</v>
      </c>
      <c r="U61" s="3">
        <f t="shared" si="12"/>
        <v>3.9034907597535935</v>
      </c>
      <c r="V61" s="11">
        <v>0.55720800000000004</v>
      </c>
      <c r="W61" s="61">
        <v>0.64964900000000003</v>
      </c>
      <c r="X61" s="71">
        <v>0.66250299999999995</v>
      </c>
      <c r="Y61" s="128">
        <v>0.660242</v>
      </c>
      <c r="Z61" s="128">
        <v>0.64969299999999996</v>
      </c>
    </row>
    <row r="62" spans="1:55" x14ac:dyDescent="0.25">
      <c r="A62" s="3"/>
      <c r="B62" s="3">
        <v>12</v>
      </c>
      <c r="C62" s="3">
        <v>53</v>
      </c>
      <c r="D62" s="3">
        <v>846</v>
      </c>
      <c r="E62" s="3">
        <f t="shared" si="7"/>
        <v>35064</v>
      </c>
      <c r="F62" s="3">
        <f t="shared" si="8"/>
        <v>1461</v>
      </c>
      <c r="G62" s="3">
        <f t="shared" si="9"/>
        <v>4</v>
      </c>
      <c r="H62" s="3">
        <v>0.99908710000000001</v>
      </c>
      <c r="I62" s="60">
        <v>1.0029273000000001</v>
      </c>
      <c r="J62" s="12">
        <v>0.97123179999999998</v>
      </c>
      <c r="K62" s="70">
        <v>0.97962669999999996</v>
      </c>
      <c r="L62" s="70">
        <v>1.0020313999999999</v>
      </c>
      <c r="O62" s="3"/>
      <c r="P62" s="3">
        <v>12</v>
      </c>
      <c r="Q62" s="3">
        <v>53</v>
      </c>
      <c r="R62" s="3">
        <v>846</v>
      </c>
      <c r="S62" s="3">
        <f t="shared" si="10"/>
        <v>35064</v>
      </c>
      <c r="T62" s="3">
        <f t="shared" si="19"/>
        <v>1461</v>
      </c>
      <c r="U62" s="3">
        <f t="shared" si="12"/>
        <v>4</v>
      </c>
      <c r="V62" s="11">
        <v>0.55902200000000002</v>
      </c>
      <c r="W62" s="61">
        <v>0.65006699999999995</v>
      </c>
      <c r="X62" s="71">
        <v>0.66293800000000003</v>
      </c>
      <c r="Y62" s="128">
        <v>0.66066499999999995</v>
      </c>
      <c r="Z62" s="128">
        <v>0.65010699999999999</v>
      </c>
    </row>
    <row r="63" spans="1:55" x14ac:dyDescent="0.25">
      <c r="A63" s="3"/>
      <c r="B63" s="3">
        <v>13</v>
      </c>
      <c r="C63" s="3">
        <v>54</v>
      </c>
      <c r="D63" s="3">
        <v>720</v>
      </c>
      <c r="E63" s="3">
        <f t="shared" si="7"/>
        <v>35784</v>
      </c>
      <c r="F63" s="3">
        <f t="shared" si="8"/>
        <v>1491</v>
      </c>
      <c r="G63" s="3">
        <f t="shared" si="9"/>
        <v>4.0821355236139629</v>
      </c>
      <c r="H63" s="3">
        <v>0.99624159999999995</v>
      </c>
      <c r="I63" s="60">
        <v>1.0014189</v>
      </c>
      <c r="J63" s="12">
        <v>0.96968509999999997</v>
      </c>
      <c r="K63" s="70">
        <v>0.97820790000000002</v>
      </c>
      <c r="L63" s="73">
        <v>1.0005185999999999</v>
      </c>
      <c r="O63" s="3"/>
      <c r="P63" s="3">
        <v>13</v>
      </c>
      <c r="Q63" s="3">
        <v>54</v>
      </c>
      <c r="R63" s="3">
        <v>720</v>
      </c>
      <c r="S63" s="3">
        <f t="shared" si="10"/>
        <v>35784</v>
      </c>
      <c r="T63" s="3">
        <f t="shared" si="19"/>
        <v>1491</v>
      </c>
      <c r="U63" s="3">
        <f t="shared" si="12"/>
        <v>4.0821355236139629</v>
      </c>
      <c r="V63" s="11">
        <v>0.56111</v>
      </c>
      <c r="W63" s="61">
        <v>0.65056899999999995</v>
      </c>
      <c r="X63" s="71">
        <v>0.66347199999999995</v>
      </c>
      <c r="Y63" s="128">
        <v>0.66114499999999998</v>
      </c>
      <c r="Z63" s="128">
        <v>0.65061000000000002</v>
      </c>
    </row>
    <row r="64" spans="1:55" x14ac:dyDescent="0.25">
      <c r="A64" s="3"/>
      <c r="B64" s="3">
        <v>14</v>
      </c>
      <c r="C64" s="3">
        <v>55</v>
      </c>
      <c r="D64" s="3">
        <v>720</v>
      </c>
      <c r="E64" s="3">
        <f t="shared" si="7"/>
        <v>36504</v>
      </c>
      <c r="F64" s="3">
        <f t="shared" si="8"/>
        <v>1521</v>
      </c>
      <c r="G64" s="3">
        <f t="shared" si="9"/>
        <v>4.1642710472279258</v>
      </c>
      <c r="H64" s="3">
        <v>0.9936526</v>
      </c>
      <c r="I64" s="67">
        <v>1.0002622999999999</v>
      </c>
      <c r="J64" s="12">
        <v>0.96841509999999997</v>
      </c>
      <c r="K64" s="70">
        <v>0.97679919999999998</v>
      </c>
      <c r="L64" s="3">
        <v>0.99925070000000005</v>
      </c>
      <c r="O64" s="3"/>
      <c r="P64" s="3">
        <v>14</v>
      </c>
      <c r="Q64" s="3">
        <v>55</v>
      </c>
      <c r="R64" s="3">
        <v>720</v>
      </c>
      <c r="S64" s="3">
        <f t="shared" si="10"/>
        <v>36504</v>
      </c>
      <c r="T64" s="3">
        <f t="shared" si="19"/>
        <v>1521</v>
      </c>
      <c r="U64" s="3">
        <f t="shared" si="12"/>
        <v>4.1642710472279258</v>
      </c>
      <c r="V64" s="11">
        <v>0.56318699999999999</v>
      </c>
      <c r="W64" s="61">
        <v>0.65094399999999997</v>
      </c>
      <c r="X64" s="71">
        <v>0.66389799999999999</v>
      </c>
      <c r="Y64" s="128">
        <v>0.66161400000000004</v>
      </c>
      <c r="Z64" s="128">
        <v>0.65102000000000004</v>
      </c>
    </row>
    <row r="65" spans="1:26" x14ac:dyDescent="0.25">
      <c r="A65" s="3"/>
      <c r="B65" s="3">
        <v>15</v>
      </c>
      <c r="C65" s="3">
        <v>56</v>
      </c>
      <c r="D65" s="3">
        <v>720</v>
      </c>
      <c r="E65" s="3">
        <f t="shared" si="7"/>
        <v>37224</v>
      </c>
      <c r="F65" s="3">
        <f t="shared" si="8"/>
        <v>1551</v>
      </c>
      <c r="G65" s="3">
        <f t="shared" si="9"/>
        <v>4.2464065708418888</v>
      </c>
      <c r="H65" s="3">
        <v>0.99117449999999996</v>
      </c>
      <c r="I65" s="60">
        <v>0.99881200000000003</v>
      </c>
      <c r="J65" s="12">
        <v>0.96720090000000003</v>
      </c>
      <c r="K65" s="70">
        <v>0.97562459999999995</v>
      </c>
      <c r="L65" s="3">
        <v>0.99795650000000002</v>
      </c>
      <c r="O65" s="3"/>
      <c r="P65" s="3">
        <v>15</v>
      </c>
      <c r="Q65" s="3">
        <v>56</v>
      </c>
      <c r="R65" s="3">
        <v>720</v>
      </c>
      <c r="S65" s="3">
        <f t="shared" si="10"/>
        <v>37224</v>
      </c>
      <c r="T65" s="3">
        <f t="shared" si="19"/>
        <v>1551</v>
      </c>
      <c r="U65" s="3">
        <f t="shared" si="12"/>
        <v>4.2464065708418888</v>
      </c>
      <c r="V65" s="11">
        <v>0.56511199999999995</v>
      </c>
      <c r="W65" s="61">
        <v>0.65140799999999999</v>
      </c>
      <c r="X65" s="71">
        <v>0.66431200000000001</v>
      </c>
      <c r="Y65" s="128">
        <v>0.66201100000000002</v>
      </c>
      <c r="Z65" s="128">
        <v>0.65144400000000002</v>
      </c>
    </row>
    <row r="66" spans="1:26" x14ac:dyDescent="0.25">
      <c r="A66" s="3"/>
      <c r="B66" s="3">
        <v>16</v>
      </c>
      <c r="C66" s="3">
        <v>57</v>
      </c>
      <c r="D66" s="3">
        <v>720</v>
      </c>
      <c r="E66" s="3">
        <f t="shared" si="7"/>
        <v>37944</v>
      </c>
      <c r="F66" s="3">
        <f t="shared" si="8"/>
        <v>1581</v>
      </c>
      <c r="G66" s="3">
        <f t="shared" si="9"/>
        <v>4.3285420944558526</v>
      </c>
      <c r="H66" s="3">
        <v>0.9884406</v>
      </c>
      <c r="I66" s="60">
        <v>0.99764600000000003</v>
      </c>
      <c r="J66" s="12">
        <v>0.96595450000000005</v>
      </c>
      <c r="K66" s="70">
        <v>0.97431889999999999</v>
      </c>
      <c r="L66" s="3">
        <v>0.99670669999999995</v>
      </c>
      <c r="O66" s="3"/>
      <c r="P66" s="3">
        <v>16</v>
      </c>
      <c r="Q66" s="3">
        <v>57</v>
      </c>
      <c r="R66" s="3">
        <v>720</v>
      </c>
      <c r="S66" s="3">
        <f t="shared" si="10"/>
        <v>37944</v>
      </c>
      <c r="T66" s="3">
        <f t="shared" si="19"/>
        <v>1581</v>
      </c>
      <c r="U66" s="3">
        <f t="shared" si="12"/>
        <v>4.3285420944558526</v>
      </c>
      <c r="V66" s="11">
        <v>0.56748900000000002</v>
      </c>
      <c r="W66" s="61">
        <v>0.65181699999999998</v>
      </c>
      <c r="X66" s="71">
        <v>0.66474200000000006</v>
      </c>
      <c r="Y66" s="128">
        <v>0.66245799999999999</v>
      </c>
      <c r="Z66" s="128">
        <v>0.65186999999999995</v>
      </c>
    </row>
    <row r="67" spans="1:26" x14ac:dyDescent="0.25">
      <c r="A67" s="3"/>
      <c r="B67" s="3">
        <v>17</v>
      </c>
      <c r="C67" s="3">
        <v>58</v>
      </c>
      <c r="D67" s="3">
        <v>720</v>
      </c>
      <c r="E67" s="3">
        <f t="shared" si="7"/>
        <v>38664</v>
      </c>
      <c r="F67" s="3">
        <f t="shared" si="8"/>
        <v>1611</v>
      </c>
      <c r="G67" s="3">
        <f t="shared" si="9"/>
        <v>4.4106776180698155</v>
      </c>
      <c r="H67" s="3">
        <v>0.98535010000000001</v>
      </c>
      <c r="I67" s="60">
        <v>0.99633769999999999</v>
      </c>
      <c r="J67" s="12">
        <v>0.96475820000000001</v>
      </c>
      <c r="K67" s="70">
        <v>0.9731109</v>
      </c>
      <c r="L67" s="3">
        <v>0.99547560000000002</v>
      </c>
      <c r="O67" s="3"/>
      <c r="P67" s="3">
        <v>17</v>
      </c>
      <c r="Q67" s="3">
        <v>58</v>
      </c>
      <c r="R67" s="3">
        <v>720</v>
      </c>
      <c r="S67" s="3">
        <f t="shared" si="10"/>
        <v>38664</v>
      </c>
      <c r="T67" s="3">
        <f t="shared" si="19"/>
        <v>1611</v>
      </c>
      <c r="U67" s="3">
        <f t="shared" si="12"/>
        <v>4.4106776180698155</v>
      </c>
      <c r="V67" s="11">
        <v>0.57041500000000001</v>
      </c>
      <c r="W67" s="61">
        <v>0.65226300000000004</v>
      </c>
      <c r="X67" s="71">
        <v>0.665157</v>
      </c>
      <c r="Y67" s="128">
        <v>0.66288000000000002</v>
      </c>
      <c r="Z67" s="128">
        <v>0.65229499999999996</v>
      </c>
    </row>
    <row r="68" spans="1:26" x14ac:dyDescent="0.25">
      <c r="A68" s="3"/>
      <c r="B68" s="3">
        <v>18</v>
      </c>
      <c r="C68" s="3">
        <v>59</v>
      </c>
      <c r="D68" s="3">
        <v>720</v>
      </c>
      <c r="E68" s="3">
        <f t="shared" si="7"/>
        <v>39384</v>
      </c>
      <c r="F68" s="3">
        <f t="shared" si="8"/>
        <v>1641</v>
      </c>
      <c r="G68" s="3">
        <f t="shared" si="9"/>
        <v>4.4928131416837784</v>
      </c>
      <c r="H68" s="3">
        <v>0.98233159999999997</v>
      </c>
      <c r="I68" s="60">
        <v>0.99509420000000004</v>
      </c>
      <c r="J68" s="12">
        <v>0.96349379999999996</v>
      </c>
      <c r="K68" s="70">
        <v>0.97187170000000001</v>
      </c>
      <c r="L68" s="3">
        <v>0.99419829999999998</v>
      </c>
      <c r="O68" s="3"/>
      <c r="P68" s="3">
        <v>18</v>
      </c>
      <c r="Q68" s="3">
        <v>59</v>
      </c>
      <c r="R68" s="3">
        <v>720</v>
      </c>
      <c r="S68" s="3">
        <f t="shared" si="10"/>
        <v>39384</v>
      </c>
      <c r="T68" s="3">
        <f t="shared" si="19"/>
        <v>1641</v>
      </c>
      <c r="U68" s="3">
        <f t="shared" si="12"/>
        <v>4.4928131416837784</v>
      </c>
      <c r="V68" s="11">
        <v>0.573237</v>
      </c>
      <c r="W68" s="61">
        <v>0.65268300000000001</v>
      </c>
      <c r="X68" s="71">
        <v>0.66560200000000003</v>
      </c>
      <c r="Y68" s="128">
        <v>0.66330999999999996</v>
      </c>
      <c r="Z68" s="128">
        <v>0.65272300000000005</v>
      </c>
    </row>
    <row r="69" spans="1:26" x14ac:dyDescent="0.25">
      <c r="A69" s="3"/>
      <c r="B69" s="3">
        <v>19</v>
      </c>
      <c r="C69" s="3">
        <v>60</v>
      </c>
      <c r="D69" s="3">
        <v>720</v>
      </c>
      <c r="E69" s="3">
        <f t="shared" si="7"/>
        <v>40104</v>
      </c>
      <c r="F69" s="3">
        <f t="shared" si="8"/>
        <v>1671</v>
      </c>
      <c r="G69" s="3">
        <f t="shared" si="9"/>
        <v>4.5749486652977414</v>
      </c>
      <c r="H69" s="3">
        <v>0.97935530000000004</v>
      </c>
      <c r="I69" s="60">
        <v>0.99395199999999995</v>
      </c>
      <c r="J69" s="12">
        <v>0.96225559999999999</v>
      </c>
      <c r="K69" s="70">
        <v>0.9706205</v>
      </c>
      <c r="L69" s="3">
        <v>0.99296030000000002</v>
      </c>
      <c r="O69" s="3"/>
      <c r="P69" s="3">
        <v>19</v>
      </c>
      <c r="Q69" s="3">
        <v>60</v>
      </c>
      <c r="R69" s="3">
        <v>720</v>
      </c>
      <c r="S69" s="3">
        <f t="shared" si="10"/>
        <v>40104</v>
      </c>
      <c r="T69" s="3">
        <f t="shared" si="19"/>
        <v>1671</v>
      </c>
      <c r="U69" s="3">
        <f t="shared" si="12"/>
        <v>4.5749486652977414</v>
      </c>
      <c r="V69" s="11">
        <v>0.57601400000000003</v>
      </c>
      <c r="W69" s="61">
        <v>0.65306699999999995</v>
      </c>
      <c r="X69" s="71">
        <v>0.66603299999999999</v>
      </c>
      <c r="Y69" s="128">
        <v>0.66374</v>
      </c>
      <c r="Z69" s="128">
        <v>0.653138</v>
      </c>
    </row>
    <row r="70" spans="1:26" x14ac:dyDescent="0.25">
      <c r="A70" s="3"/>
      <c r="B70" s="3">
        <v>20</v>
      </c>
      <c r="C70" s="3">
        <v>61</v>
      </c>
      <c r="D70" s="3">
        <v>720</v>
      </c>
      <c r="E70" s="3">
        <f t="shared" si="7"/>
        <v>40824</v>
      </c>
      <c r="F70" s="3">
        <f t="shared" si="8"/>
        <v>1701</v>
      </c>
      <c r="G70" s="3">
        <f t="shared" si="9"/>
        <v>4.6570841889117043</v>
      </c>
      <c r="H70" s="3">
        <v>0.97600469999999995</v>
      </c>
      <c r="I70" s="60">
        <v>0.99254730000000002</v>
      </c>
      <c r="J70" s="12">
        <v>0.9610147</v>
      </c>
      <c r="K70" s="70">
        <v>0.96937450000000003</v>
      </c>
      <c r="L70" s="3">
        <v>0.99170530000000001</v>
      </c>
      <c r="O70" s="3"/>
      <c r="P70" s="3">
        <v>20</v>
      </c>
      <c r="Q70" s="3">
        <v>61</v>
      </c>
      <c r="R70" s="3">
        <v>720</v>
      </c>
      <c r="S70" s="3">
        <f t="shared" si="10"/>
        <v>40824</v>
      </c>
      <c r="T70" s="3">
        <f t="shared" si="19"/>
        <v>1701</v>
      </c>
      <c r="U70" s="3">
        <f t="shared" si="12"/>
        <v>4.6570841889117043</v>
      </c>
      <c r="V70" s="11">
        <v>0.57943999999999996</v>
      </c>
      <c r="W70" s="61">
        <v>0.65353700000000003</v>
      </c>
      <c r="X70" s="71">
        <v>0.66646700000000003</v>
      </c>
      <c r="Y70" s="128">
        <v>0.66417400000000004</v>
      </c>
      <c r="Z70" s="128">
        <v>0.65356899999999996</v>
      </c>
    </row>
    <row r="71" spans="1:26" x14ac:dyDescent="0.25">
      <c r="A71" s="3"/>
      <c r="B71" s="3">
        <v>21</v>
      </c>
      <c r="C71" s="3">
        <v>62</v>
      </c>
      <c r="D71" s="3">
        <v>720</v>
      </c>
      <c r="E71" s="3">
        <f t="shared" si="7"/>
        <v>41544</v>
      </c>
      <c r="F71" s="3">
        <f t="shared" si="8"/>
        <v>1731</v>
      </c>
      <c r="G71" s="3">
        <f t="shared" si="9"/>
        <v>4.7392197125256672</v>
      </c>
      <c r="H71" s="3">
        <v>0.97261629999999999</v>
      </c>
      <c r="I71" s="60">
        <v>0.99136219999999997</v>
      </c>
      <c r="J71" s="12">
        <v>0.95978770000000002</v>
      </c>
      <c r="K71" s="70">
        <v>0.96808760000000005</v>
      </c>
      <c r="L71" s="3">
        <v>0.9904328</v>
      </c>
      <c r="O71" s="3"/>
      <c r="P71" s="3">
        <v>21</v>
      </c>
      <c r="Q71" s="3">
        <v>62</v>
      </c>
      <c r="R71" s="3">
        <v>720</v>
      </c>
      <c r="S71" s="3">
        <f t="shared" si="10"/>
        <v>41544</v>
      </c>
      <c r="T71" s="3">
        <f t="shared" si="19"/>
        <v>1731</v>
      </c>
      <c r="U71" s="3">
        <f t="shared" si="12"/>
        <v>4.7392197125256672</v>
      </c>
      <c r="V71" s="11">
        <v>0.58291999999999999</v>
      </c>
      <c r="W71" s="61">
        <v>0.65395599999999998</v>
      </c>
      <c r="X71" s="71">
        <v>0.66690199999999999</v>
      </c>
      <c r="Y71" s="128">
        <v>0.66463099999999997</v>
      </c>
      <c r="Z71" s="128">
        <v>0.65400599999999998</v>
      </c>
    </row>
    <row r="72" spans="1:26" x14ac:dyDescent="0.25">
      <c r="A72" s="3"/>
      <c r="B72" s="3">
        <v>22</v>
      </c>
      <c r="C72" s="3">
        <v>63</v>
      </c>
      <c r="D72" s="3">
        <v>720</v>
      </c>
      <c r="E72" s="3">
        <f t="shared" si="7"/>
        <v>42264</v>
      </c>
      <c r="F72" s="3">
        <f t="shared" si="8"/>
        <v>1761</v>
      </c>
      <c r="G72" s="3">
        <f t="shared" si="9"/>
        <v>4.8213552361396301</v>
      </c>
      <c r="H72" s="3">
        <v>0.96926179999999995</v>
      </c>
      <c r="I72" s="60">
        <v>0.99005889999999996</v>
      </c>
      <c r="J72" s="12">
        <v>0.95851710000000001</v>
      </c>
      <c r="K72" s="70">
        <v>0.96687420000000002</v>
      </c>
      <c r="L72" s="3">
        <v>0.98923320000000003</v>
      </c>
      <c r="O72" s="3"/>
      <c r="P72" s="3">
        <v>22</v>
      </c>
      <c r="Q72" s="3">
        <v>63</v>
      </c>
      <c r="R72" s="3">
        <v>720</v>
      </c>
      <c r="S72" s="3">
        <f t="shared" si="10"/>
        <v>42264</v>
      </c>
      <c r="T72" s="3">
        <f t="shared" si="19"/>
        <v>1761</v>
      </c>
      <c r="U72" s="3">
        <f t="shared" si="12"/>
        <v>4.8213552361396301</v>
      </c>
      <c r="V72" s="11">
        <v>0.58638599999999996</v>
      </c>
      <c r="W72" s="61">
        <v>0.65441099999999996</v>
      </c>
      <c r="X72" s="66">
        <v>0.66735599999999995</v>
      </c>
      <c r="Y72" s="128">
        <v>0.665072</v>
      </c>
      <c r="Z72" s="128">
        <v>0.65443399999999996</v>
      </c>
    </row>
    <row r="73" spans="1:26" x14ac:dyDescent="0.25">
      <c r="A73" s="3"/>
      <c r="B73" s="3">
        <v>23</v>
      </c>
      <c r="C73" s="3">
        <v>64</v>
      </c>
      <c r="D73" s="3">
        <v>720</v>
      </c>
      <c r="E73" s="3">
        <f t="shared" si="7"/>
        <v>42984</v>
      </c>
      <c r="F73" s="3">
        <f t="shared" si="8"/>
        <v>1791</v>
      </c>
      <c r="G73" s="3">
        <f t="shared" si="9"/>
        <v>4.9034907597535931</v>
      </c>
      <c r="H73" s="3">
        <v>0.96584119999999996</v>
      </c>
      <c r="I73" s="60">
        <v>0.98900189999999999</v>
      </c>
      <c r="J73" s="12">
        <v>0.95730970000000004</v>
      </c>
      <c r="K73" s="70">
        <v>0.96569649999999996</v>
      </c>
      <c r="L73" s="3">
        <v>0.98799559999999997</v>
      </c>
      <c r="O73" s="3"/>
      <c r="P73" s="3">
        <v>23</v>
      </c>
      <c r="Q73" s="3">
        <v>64</v>
      </c>
      <c r="R73" s="3">
        <v>720</v>
      </c>
      <c r="S73" s="3">
        <f t="shared" si="10"/>
        <v>42984</v>
      </c>
      <c r="T73" s="3">
        <f t="shared" si="19"/>
        <v>1791</v>
      </c>
      <c r="U73" s="3">
        <f t="shared" si="12"/>
        <v>4.9034907597535931</v>
      </c>
      <c r="V73" s="11">
        <v>0.58995399999999998</v>
      </c>
      <c r="W73" s="61">
        <v>0.65478099999999995</v>
      </c>
      <c r="X73" s="71">
        <v>0.66779200000000005</v>
      </c>
      <c r="Y73" s="128">
        <v>0.66548700000000005</v>
      </c>
      <c r="Z73" s="128">
        <v>0.65486</v>
      </c>
    </row>
    <row r="74" spans="1:26" x14ac:dyDescent="0.25">
      <c r="A74" s="3" t="s">
        <v>272</v>
      </c>
      <c r="B74" s="3">
        <v>24</v>
      </c>
      <c r="C74" s="3">
        <v>65</v>
      </c>
      <c r="D74" s="3">
        <v>846</v>
      </c>
      <c r="E74" s="3">
        <f t="shared" si="7"/>
        <v>43830</v>
      </c>
      <c r="F74" s="3">
        <f t="shared" si="8"/>
        <v>1826.25</v>
      </c>
      <c r="G74" s="3">
        <f t="shared" si="9"/>
        <v>5</v>
      </c>
      <c r="H74" s="3">
        <v>0.96243809999999996</v>
      </c>
      <c r="I74" s="60">
        <v>0.98756820000000001</v>
      </c>
      <c r="J74" s="12">
        <v>0.95620000000000005</v>
      </c>
      <c r="K74" s="70">
        <v>0.96447150000000004</v>
      </c>
      <c r="L74" s="3">
        <v>0.98674280000000003</v>
      </c>
      <c r="O74" s="3" t="s">
        <v>272</v>
      </c>
      <c r="P74" s="3">
        <v>24</v>
      </c>
      <c r="Q74" s="3">
        <v>65</v>
      </c>
      <c r="R74" s="3">
        <v>846</v>
      </c>
      <c r="S74" s="3">
        <f t="shared" si="10"/>
        <v>43830</v>
      </c>
      <c r="T74" s="3">
        <f t="shared" si="19"/>
        <v>1826.25</v>
      </c>
      <c r="U74" s="3">
        <f t="shared" si="12"/>
        <v>5</v>
      </c>
      <c r="V74" s="11">
        <v>0.59353400000000001</v>
      </c>
      <c r="W74" s="61">
        <v>0.65527599999999997</v>
      </c>
      <c r="X74" s="71">
        <v>0.66819300000000004</v>
      </c>
      <c r="Y74" s="128">
        <v>0.66592200000000001</v>
      </c>
      <c r="Z74" s="128">
        <v>0.655304</v>
      </c>
    </row>
  </sheetData>
  <mergeCells count="24">
    <mergeCell ref="AO7:BK7"/>
    <mergeCell ref="AO8:BC8"/>
    <mergeCell ref="BF8:BK8"/>
    <mergeCell ref="AE8:AE9"/>
    <mergeCell ref="AF8:AL8"/>
    <mergeCell ref="V8:Z8"/>
    <mergeCell ref="AD8:AD9"/>
    <mergeCell ref="AD10:AD13"/>
    <mergeCell ref="AD14:AD17"/>
    <mergeCell ref="AD18:AD21"/>
    <mergeCell ref="AD22:AD25"/>
    <mergeCell ref="AD26:AD29"/>
    <mergeCell ref="AD7:AL7"/>
    <mergeCell ref="A8:A9"/>
    <mergeCell ref="C8:C9"/>
    <mergeCell ref="D8:D9"/>
    <mergeCell ref="E8:E9"/>
    <mergeCell ref="F8:F9"/>
    <mergeCell ref="H8:L8"/>
    <mergeCell ref="O8:O9"/>
    <mergeCell ref="Q8:Q9"/>
    <mergeCell ref="R8:R9"/>
    <mergeCell ref="S8:S9"/>
    <mergeCell ref="T8:T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Core Parameters</vt:lpstr>
      <vt:lpstr>Geometri</vt:lpstr>
      <vt:lpstr>Suhu Gap dan Cladding</vt:lpstr>
      <vt:lpstr>Fraksi Volume</vt:lpstr>
      <vt:lpstr>HD FIX</vt:lpstr>
      <vt:lpstr>Nuklida FA1</vt:lpstr>
      <vt:lpstr>Nuklida FA2</vt:lpstr>
      <vt:lpstr>Hasil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Harun Ardiansyah</dc:creator>
  <cp:lastModifiedBy>Harun Ardiansyah</cp:lastModifiedBy>
  <dcterms:created xsi:type="dcterms:W3CDTF">2017-12-20T08:29:11Z</dcterms:created>
  <dcterms:modified xsi:type="dcterms:W3CDTF">2018-05-09T16:50:14Z</dcterms:modified>
</cp:coreProperties>
</file>