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un Ardiansyah\OneDrive\Skripsi Harun\Fixed Excels\"/>
    </mc:Choice>
  </mc:AlternateContent>
  <bookViews>
    <workbookView xWindow="0" yWindow="0" windowWidth="20490" windowHeight="7755" firstSheet="4" activeTab="8"/>
  </bookViews>
  <sheets>
    <sheet name="Core Parameters" sheetId="4" r:id="rId1"/>
    <sheet name="Geometri" sheetId="1" r:id="rId2"/>
    <sheet name="Suhu Gap dan Cladding" sheetId="7" r:id="rId3"/>
    <sheet name="Fraksi Volume" sheetId="8" r:id="rId4"/>
    <sheet name="HD FIX" sheetId="5" r:id="rId5"/>
    <sheet name="Nuklida FA1" sheetId="2" r:id="rId6"/>
    <sheet name="Nuklida FA2" sheetId="3" r:id="rId7"/>
    <sheet name="Hasil" sheetId="6" r:id="rId8"/>
    <sheet name="Hasil BMTest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9" l="1"/>
  <c r="R13" i="9" s="1"/>
  <c r="R11" i="9"/>
  <c r="S11" i="9" s="1"/>
  <c r="T11" i="9" s="1"/>
  <c r="X6" i="9"/>
  <c r="W6" i="9"/>
  <c r="V6" i="9"/>
  <c r="U6" i="9"/>
  <c r="E13" i="9"/>
  <c r="E14" i="9" s="1"/>
  <c r="G12" i="9"/>
  <c r="E12" i="9"/>
  <c r="F12" i="9" s="1"/>
  <c r="F11" i="9"/>
  <c r="G11" i="9" s="1"/>
  <c r="E11" i="9"/>
  <c r="K6" i="9"/>
  <c r="J6" i="9"/>
  <c r="I6" i="9"/>
  <c r="H6" i="9"/>
  <c r="R14" i="9" l="1"/>
  <c r="S13" i="9"/>
  <c r="T13" i="9" s="1"/>
  <c r="S12" i="9"/>
  <c r="T12" i="9" s="1"/>
  <c r="E15" i="9"/>
  <c r="F14" i="9"/>
  <c r="G14" i="9" s="1"/>
  <c r="F13" i="9"/>
  <c r="G13" i="9" s="1"/>
  <c r="AK44" i="6"/>
  <c r="AH6" i="6"/>
  <c r="P6" i="6"/>
  <c r="BI24" i="3"/>
  <c r="S14" i="9" l="1"/>
  <c r="T14" i="9" s="1"/>
  <c r="R15" i="9"/>
  <c r="F15" i="9"/>
  <c r="G15" i="9" s="1"/>
  <c r="E16" i="9"/>
  <c r="BG25" i="3"/>
  <c r="BG24" i="3"/>
  <c r="BD22" i="3" s="1"/>
  <c r="BA24" i="3"/>
  <c r="S15" i="9" l="1"/>
  <c r="T15" i="9" s="1"/>
  <c r="R16" i="9"/>
  <c r="F16" i="9"/>
  <c r="G16" i="9" s="1"/>
  <c r="E17" i="9"/>
  <c r="BA13" i="6"/>
  <c r="BA14" i="6" s="1"/>
  <c r="BA15" i="6" s="1"/>
  <c r="BA16" i="6" s="1"/>
  <c r="BA17" i="6" s="1"/>
  <c r="BA18" i="6" s="1"/>
  <c r="BA19" i="6" s="1"/>
  <c r="BA20" i="6" s="1"/>
  <c r="BA21" i="6" s="1"/>
  <c r="BA22" i="6" s="1"/>
  <c r="BA23" i="6" s="1"/>
  <c r="BA24" i="6" s="1"/>
  <c r="BA25" i="6" s="1"/>
  <c r="BA26" i="6" s="1"/>
  <c r="BA27" i="6" s="1"/>
  <c r="BA28" i="6" s="1"/>
  <c r="BA29" i="6" s="1"/>
  <c r="BA30" i="6" s="1"/>
  <c r="BA31" i="6" s="1"/>
  <c r="BA32" i="6" s="1"/>
  <c r="BA33" i="6" s="1"/>
  <c r="BA34" i="6" s="1"/>
  <c r="BA35" i="6" s="1"/>
  <c r="BA36" i="6" s="1"/>
  <c r="BA37" i="6" s="1"/>
  <c r="BA38" i="6" s="1"/>
  <c r="BA39" i="6" s="1"/>
  <c r="BA40" i="6" s="1"/>
  <c r="BA41" i="6" s="1"/>
  <c r="BA42" i="6" s="1"/>
  <c r="BA43" i="6" s="1"/>
  <c r="BA44" i="6" s="1"/>
  <c r="BA45" i="6" s="1"/>
  <c r="BA46" i="6" s="1"/>
  <c r="BA47" i="6" s="1"/>
  <c r="BA48" i="6" s="1"/>
  <c r="AX13" i="6"/>
  <c r="AX14" i="6" s="1"/>
  <c r="AX15" i="6" s="1"/>
  <c r="AX16" i="6" s="1"/>
  <c r="AX17" i="6" s="1"/>
  <c r="AX18" i="6" s="1"/>
  <c r="AX19" i="6" s="1"/>
  <c r="AX20" i="6" s="1"/>
  <c r="AX21" i="6" s="1"/>
  <c r="AX22" i="6" s="1"/>
  <c r="AX23" i="6" s="1"/>
  <c r="AX24" i="6" s="1"/>
  <c r="AX25" i="6" s="1"/>
  <c r="AX26" i="6" s="1"/>
  <c r="AX27" i="6" s="1"/>
  <c r="AX28" i="6" s="1"/>
  <c r="AX29" i="6" s="1"/>
  <c r="AX30" i="6" s="1"/>
  <c r="AX31" i="6" s="1"/>
  <c r="AX32" i="6" s="1"/>
  <c r="AX33" i="6" s="1"/>
  <c r="AX34" i="6" s="1"/>
  <c r="AX35" i="6" s="1"/>
  <c r="AX36" i="6" s="1"/>
  <c r="AX37" i="6" s="1"/>
  <c r="AX38" i="6" s="1"/>
  <c r="AX39" i="6" s="1"/>
  <c r="AX40" i="6" s="1"/>
  <c r="AX41" i="6" s="1"/>
  <c r="AX42" i="6" s="1"/>
  <c r="AX43" i="6" s="1"/>
  <c r="AX44" i="6" s="1"/>
  <c r="AX45" i="6" s="1"/>
  <c r="AX46" i="6" s="1"/>
  <c r="AX47" i="6" s="1"/>
  <c r="AX48" i="6" s="1"/>
  <c r="R17" i="9" l="1"/>
  <c r="S16" i="9"/>
  <c r="T16" i="9" s="1"/>
  <c r="F17" i="9"/>
  <c r="G17" i="9" s="1"/>
  <c r="E18" i="9"/>
  <c r="AX50" i="6"/>
  <c r="AX49" i="6"/>
  <c r="BA50" i="6"/>
  <c r="BA49" i="6"/>
  <c r="V6" i="2"/>
  <c r="W6" i="2"/>
  <c r="X6" i="2"/>
  <c r="Y6" i="2"/>
  <c r="Z6" i="2"/>
  <c r="AA6" i="2"/>
  <c r="U6" i="2"/>
  <c r="B17" i="5"/>
  <c r="B18" i="5" s="1"/>
  <c r="B16" i="5"/>
  <c r="B15" i="5"/>
  <c r="C11" i="5"/>
  <c r="B11" i="5"/>
  <c r="B12" i="5" s="1"/>
  <c r="C6" i="5"/>
  <c r="C17" i="5" s="1"/>
  <c r="C18" i="5" s="1"/>
  <c r="B6" i="5"/>
  <c r="C3" i="5"/>
  <c r="B3" i="5"/>
  <c r="S17" i="9" l="1"/>
  <c r="T17" i="9" s="1"/>
  <c r="R18" i="9"/>
  <c r="E19" i="9"/>
  <c r="F18" i="9"/>
  <c r="G18" i="9" s="1"/>
  <c r="BJ13" i="6"/>
  <c r="BJ14" i="6" s="1"/>
  <c r="BJ15" i="6" s="1"/>
  <c r="BJ16" i="6" s="1"/>
  <c r="BJ17" i="6" s="1"/>
  <c r="BJ18" i="6" s="1"/>
  <c r="BJ19" i="6" s="1"/>
  <c r="BJ20" i="6" s="1"/>
  <c r="BJ21" i="6" s="1"/>
  <c r="BJ22" i="6" s="1"/>
  <c r="BJ23" i="6" s="1"/>
  <c r="BJ24" i="6" s="1"/>
  <c r="BJ25" i="6" s="1"/>
  <c r="BJ26" i="6" s="1"/>
  <c r="BJ27" i="6" s="1"/>
  <c r="BJ28" i="6" s="1"/>
  <c r="BJ29" i="6" s="1"/>
  <c r="BJ30" i="6" s="1"/>
  <c r="BJ31" i="6" s="1"/>
  <c r="BJ32" i="6" s="1"/>
  <c r="BJ33" i="6" s="1"/>
  <c r="BJ34" i="6" s="1"/>
  <c r="BJ35" i="6" s="1"/>
  <c r="BJ36" i="6" s="1"/>
  <c r="BJ37" i="6" s="1"/>
  <c r="BJ38" i="6" s="1"/>
  <c r="BJ39" i="6" s="1"/>
  <c r="BJ40" i="6" s="1"/>
  <c r="BJ41" i="6" s="1"/>
  <c r="BJ42" i="6" s="1"/>
  <c r="BJ43" i="6" s="1"/>
  <c r="BJ44" i="6" s="1"/>
  <c r="BJ45" i="6" s="1"/>
  <c r="BJ46" i="6" s="1"/>
  <c r="BJ47" i="6" s="1"/>
  <c r="BJ48" i="6" s="1"/>
  <c r="BG13" i="6"/>
  <c r="BG14" i="6" s="1"/>
  <c r="BG15" i="6" s="1"/>
  <c r="BG16" i="6" s="1"/>
  <c r="BG17" i="6" s="1"/>
  <c r="BG18" i="6" s="1"/>
  <c r="BG19" i="6" s="1"/>
  <c r="BG20" i="6" s="1"/>
  <c r="BG21" i="6" s="1"/>
  <c r="BG22" i="6" s="1"/>
  <c r="BG23" i="6" s="1"/>
  <c r="BG24" i="6" s="1"/>
  <c r="BG25" i="6" s="1"/>
  <c r="BG26" i="6" s="1"/>
  <c r="BG27" i="6" s="1"/>
  <c r="BG28" i="6" s="1"/>
  <c r="BG29" i="6" s="1"/>
  <c r="BG30" i="6" s="1"/>
  <c r="BG31" i="6" s="1"/>
  <c r="BG32" i="6" s="1"/>
  <c r="BG33" i="6" s="1"/>
  <c r="BG34" i="6" s="1"/>
  <c r="BG35" i="6" s="1"/>
  <c r="BG36" i="6" s="1"/>
  <c r="BG37" i="6" s="1"/>
  <c r="BG38" i="6" s="1"/>
  <c r="BG39" i="6" s="1"/>
  <c r="BG40" i="6" s="1"/>
  <c r="BG41" i="6" s="1"/>
  <c r="BG42" i="6" s="1"/>
  <c r="BG43" i="6" s="1"/>
  <c r="BG44" i="6" s="1"/>
  <c r="BG45" i="6" s="1"/>
  <c r="BG46" i="6" s="1"/>
  <c r="BG47" i="6" s="1"/>
  <c r="BG48" i="6" s="1"/>
  <c r="BD13" i="6"/>
  <c r="BD14" i="6" s="1"/>
  <c r="BD15" i="6" s="1"/>
  <c r="BD16" i="6" s="1"/>
  <c r="BD17" i="6" s="1"/>
  <c r="BD18" i="6" s="1"/>
  <c r="BD19" i="6" s="1"/>
  <c r="BD20" i="6" s="1"/>
  <c r="BD21" i="6" s="1"/>
  <c r="BD22" i="6" s="1"/>
  <c r="BD23" i="6" s="1"/>
  <c r="BD24" i="6" s="1"/>
  <c r="BD25" i="6" s="1"/>
  <c r="BD26" i="6" s="1"/>
  <c r="BD27" i="6" s="1"/>
  <c r="BD28" i="6" s="1"/>
  <c r="BD29" i="6" s="1"/>
  <c r="BD30" i="6" s="1"/>
  <c r="BD31" i="6" s="1"/>
  <c r="BD32" i="6" s="1"/>
  <c r="BD33" i="6" s="1"/>
  <c r="BD34" i="6" s="1"/>
  <c r="BD35" i="6" s="1"/>
  <c r="BD36" i="6" s="1"/>
  <c r="BD37" i="6" s="1"/>
  <c r="BD38" i="6" s="1"/>
  <c r="BD39" i="6" s="1"/>
  <c r="BD40" i="6" s="1"/>
  <c r="BD41" i="6" s="1"/>
  <c r="BD42" i="6" s="1"/>
  <c r="BD43" i="6" s="1"/>
  <c r="BD44" i="6" s="1"/>
  <c r="BD45" i="6" s="1"/>
  <c r="BD46" i="6" s="1"/>
  <c r="BD47" i="6" s="1"/>
  <c r="BD48" i="6" s="1"/>
  <c r="S18" i="9" l="1"/>
  <c r="T18" i="9" s="1"/>
  <c r="R19" i="9"/>
  <c r="F19" i="9"/>
  <c r="G19" i="9" s="1"/>
  <c r="E20" i="9"/>
  <c r="BJ50" i="6"/>
  <c r="BJ49" i="6"/>
  <c r="BG50" i="6"/>
  <c r="BG49" i="6"/>
  <c r="BD50" i="6"/>
  <c r="BD49" i="6"/>
  <c r="L20" i="3"/>
  <c r="S19" i="9" l="1"/>
  <c r="T19" i="9" s="1"/>
  <c r="R20" i="9"/>
  <c r="F20" i="9"/>
  <c r="G20" i="9" s="1"/>
  <c r="E21" i="9"/>
  <c r="AK40" i="6"/>
  <c r="AK36" i="6"/>
  <c r="AK32" i="6"/>
  <c r="AK28" i="6"/>
  <c r="AK24" i="6"/>
  <c r="AK20" i="6"/>
  <c r="AK16" i="6"/>
  <c r="AK12" i="6"/>
  <c r="R21" i="9" l="1"/>
  <c r="S20" i="9"/>
  <c r="T20" i="9" s="1"/>
  <c r="E22" i="9"/>
  <c r="F21" i="9"/>
  <c r="G21" i="9" s="1"/>
  <c r="BO12" i="6"/>
  <c r="BP12" i="6"/>
  <c r="BQ12" i="6"/>
  <c r="BR12" i="6"/>
  <c r="BS12" i="6"/>
  <c r="BO13" i="6"/>
  <c r="BP13" i="6"/>
  <c r="BQ13" i="6"/>
  <c r="BR13" i="6"/>
  <c r="BS13" i="6"/>
  <c r="BO14" i="6"/>
  <c r="BP14" i="6"/>
  <c r="BQ14" i="6"/>
  <c r="BR14" i="6"/>
  <c r="BS14" i="6"/>
  <c r="BO15" i="6"/>
  <c r="BP15" i="6"/>
  <c r="BQ15" i="6"/>
  <c r="BR15" i="6"/>
  <c r="BS15" i="6"/>
  <c r="BO16" i="6"/>
  <c r="BP16" i="6"/>
  <c r="BQ16" i="6"/>
  <c r="BR16" i="6"/>
  <c r="BS16" i="6"/>
  <c r="BO17" i="6"/>
  <c r="BP17" i="6"/>
  <c r="BQ17" i="6"/>
  <c r="BR17" i="6"/>
  <c r="BS17" i="6"/>
  <c r="BO18" i="6"/>
  <c r="BP18" i="6"/>
  <c r="BQ18" i="6"/>
  <c r="BR18" i="6"/>
  <c r="BS18" i="6"/>
  <c r="BO19" i="6"/>
  <c r="BP19" i="6"/>
  <c r="BQ19" i="6"/>
  <c r="BR19" i="6"/>
  <c r="BS19" i="6"/>
  <c r="BO20" i="6"/>
  <c r="BP20" i="6"/>
  <c r="BQ20" i="6"/>
  <c r="BR20" i="6"/>
  <c r="BS20" i="6"/>
  <c r="BO21" i="6"/>
  <c r="BP21" i="6"/>
  <c r="BQ21" i="6"/>
  <c r="BR21" i="6"/>
  <c r="BS21" i="6"/>
  <c r="BO22" i="6"/>
  <c r="BP22" i="6"/>
  <c r="BQ22" i="6"/>
  <c r="BR22" i="6"/>
  <c r="BS22" i="6"/>
  <c r="BO23" i="6"/>
  <c r="BP23" i="6"/>
  <c r="BQ23" i="6"/>
  <c r="BR23" i="6"/>
  <c r="BS23" i="6"/>
  <c r="BO24" i="6"/>
  <c r="BP24" i="6"/>
  <c r="BQ24" i="6"/>
  <c r="BR24" i="6"/>
  <c r="BS24" i="6"/>
  <c r="BO25" i="6"/>
  <c r="BP25" i="6"/>
  <c r="BQ25" i="6"/>
  <c r="BR25" i="6"/>
  <c r="BS25" i="6"/>
  <c r="BO26" i="6"/>
  <c r="BP26" i="6"/>
  <c r="BQ26" i="6"/>
  <c r="BR26" i="6"/>
  <c r="BS26" i="6"/>
  <c r="BO27" i="6"/>
  <c r="BP27" i="6"/>
  <c r="BQ27" i="6"/>
  <c r="BR27" i="6"/>
  <c r="BS27" i="6"/>
  <c r="BO28" i="6"/>
  <c r="BP28" i="6"/>
  <c r="BQ28" i="6"/>
  <c r="BR28" i="6"/>
  <c r="BS28" i="6"/>
  <c r="BO29" i="6"/>
  <c r="BP29" i="6"/>
  <c r="BQ29" i="6"/>
  <c r="BR29" i="6"/>
  <c r="BS29" i="6"/>
  <c r="BO30" i="6"/>
  <c r="BP30" i="6"/>
  <c r="BQ30" i="6"/>
  <c r="BR30" i="6"/>
  <c r="BS30" i="6"/>
  <c r="BO31" i="6"/>
  <c r="BP31" i="6"/>
  <c r="BQ31" i="6"/>
  <c r="BR31" i="6"/>
  <c r="BS31" i="6"/>
  <c r="BO32" i="6"/>
  <c r="BP32" i="6"/>
  <c r="BQ32" i="6"/>
  <c r="BR32" i="6"/>
  <c r="BS32" i="6"/>
  <c r="BO33" i="6"/>
  <c r="BP33" i="6"/>
  <c r="BQ33" i="6"/>
  <c r="BR33" i="6"/>
  <c r="BS33" i="6"/>
  <c r="BO34" i="6"/>
  <c r="BP34" i="6"/>
  <c r="BQ34" i="6"/>
  <c r="BR34" i="6"/>
  <c r="BS34" i="6"/>
  <c r="BO35" i="6"/>
  <c r="BP35" i="6"/>
  <c r="BQ35" i="6"/>
  <c r="BR35" i="6"/>
  <c r="BS35" i="6"/>
  <c r="BO36" i="6"/>
  <c r="BP36" i="6"/>
  <c r="BQ36" i="6"/>
  <c r="BR36" i="6"/>
  <c r="BS36" i="6"/>
  <c r="BO37" i="6"/>
  <c r="BP37" i="6"/>
  <c r="BQ37" i="6"/>
  <c r="BR37" i="6"/>
  <c r="BS37" i="6"/>
  <c r="BO38" i="6"/>
  <c r="BP38" i="6"/>
  <c r="BQ38" i="6"/>
  <c r="BR38" i="6"/>
  <c r="BS38" i="6"/>
  <c r="BO39" i="6"/>
  <c r="BP39" i="6"/>
  <c r="BQ39" i="6"/>
  <c r="BR39" i="6"/>
  <c r="BS39" i="6"/>
  <c r="BO40" i="6"/>
  <c r="BP40" i="6"/>
  <c r="BQ40" i="6"/>
  <c r="BR40" i="6"/>
  <c r="BS40" i="6"/>
  <c r="BO41" i="6"/>
  <c r="BP41" i="6"/>
  <c r="BQ41" i="6"/>
  <c r="BR41" i="6"/>
  <c r="BS41" i="6"/>
  <c r="BO42" i="6"/>
  <c r="BP42" i="6"/>
  <c r="BQ42" i="6"/>
  <c r="BR42" i="6"/>
  <c r="BS42" i="6"/>
  <c r="BO43" i="6"/>
  <c r="BP43" i="6"/>
  <c r="BQ43" i="6"/>
  <c r="BR43" i="6"/>
  <c r="BS43" i="6"/>
  <c r="BO44" i="6"/>
  <c r="BP44" i="6"/>
  <c r="BQ44" i="6"/>
  <c r="BR44" i="6"/>
  <c r="BS44" i="6"/>
  <c r="BO45" i="6"/>
  <c r="BP45" i="6"/>
  <c r="BQ45" i="6"/>
  <c r="BR45" i="6"/>
  <c r="BS45" i="6"/>
  <c r="BO46" i="6"/>
  <c r="BP46" i="6"/>
  <c r="BQ46" i="6"/>
  <c r="BR46" i="6"/>
  <c r="BS46" i="6"/>
  <c r="BO47" i="6"/>
  <c r="BP47" i="6"/>
  <c r="BQ47" i="6"/>
  <c r="BR47" i="6"/>
  <c r="BS47" i="6"/>
  <c r="BO48" i="6"/>
  <c r="BP48" i="6"/>
  <c r="BQ48" i="6"/>
  <c r="BR48" i="6"/>
  <c r="BS48" i="6"/>
  <c r="BO49" i="6"/>
  <c r="BP49" i="6"/>
  <c r="BQ49" i="6"/>
  <c r="BR49" i="6"/>
  <c r="BS49" i="6"/>
  <c r="BS11" i="6"/>
  <c r="BR11" i="6"/>
  <c r="BQ11" i="6"/>
  <c r="BP11" i="6"/>
  <c r="BO11" i="6"/>
  <c r="BN12" i="6"/>
  <c r="BN13" i="6" s="1"/>
  <c r="BN14" i="6" s="1"/>
  <c r="BN15" i="6" s="1"/>
  <c r="BN16" i="6" s="1"/>
  <c r="BN17" i="6" s="1"/>
  <c r="BN18" i="6" s="1"/>
  <c r="BN19" i="6" s="1"/>
  <c r="BN20" i="6" s="1"/>
  <c r="BN21" i="6" s="1"/>
  <c r="BN22" i="6" s="1"/>
  <c r="BN23" i="6" s="1"/>
  <c r="BN24" i="6" s="1"/>
  <c r="BN25" i="6" s="1"/>
  <c r="BN26" i="6" s="1"/>
  <c r="BN27" i="6" s="1"/>
  <c r="BN28" i="6" s="1"/>
  <c r="BN29" i="6" s="1"/>
  <c r="BN30" i="6" s="1"/>
  <c r="BN31" i="6" s="1"/>
  <c r="BN32" i="6" s="1"/>
  <c r="BN33" i="6" s="1"/>
  <c r="BN34" i="6" s="1"/>
  <c r="BN35" i="6" s="1"/>
  <c r="BN36" i="6" s="1"/>
  <c r="BN37" i="6" s="1"/>
  <c r="BN38" i="6" s="1"/>
  <c r="BN39" i="6" s="1"/>
  <c r="BN40" i="6" s="1"/>
  <c r="BN41" i="6" s="1"/>
  <c r="BN42" i="6" s="1"/>
  <c r="BN43" i="6" s="1"/>
  <c r="BN44" i="6" s="1"/>
  <c r="BN45" i="6" s="1"/>
  <c r="BN46" i="6" s="1"/>
  <c r="BN47" i="6" s="1"/>
  <c r="C21" i="8"/>
  <c r="C11" i="8"/>
  <c r="U18" i="7"/>
  <c r="U17" i="7"/>
  <c r="U19" i="7" s="1"/>
  <c r="U21" i="7" s="1"/>
  <c r="O17" i="7"/>
  <c r="M17" i="7"/>
  <c r="G17" i="7"/>
  <c r="J17" i="7" s="1"/>
  <c r="E17" i="7"/>
  <c r="C17" i="7"/>
  <c r="B9" i="7"/>
  <c r="B6" i="7"/>
  <c r="G1" i="7" s="1"/>
  <c r="T5" i="7"/>
  <c r="B5" i="7"/>
  <c r="T4" i="7"/>
  <c r="T3" i="7"/>
  <c r="G3" i="7"/>
  <c r="G2" i="7"/>
  <c r="R22" i="9" l="1"/>
  <c r="S21" i="9"/>
  <c r="T21" i="9" s="1"/>
  <c r="E23" i="9"/>
  <c r="F22" i="9"/>
  <c r="G22" i="9" s="1"/>
  <c r="BR50" i="6"/>
  <c r="BW15" i="6" s="1"/>
  <c r="BR51" i="6"/>
  <c r="BO51" i="6"/>
  <c r="BO50" i="6"/>
  <c r="BW12" i="6" s="1"/>
  <c r="BS51" i="6"/>
  <c r="BS50" i="6"/>
  <c r="BW16" i="6" s="1"/>
  <c r="BP51" i="6"/>
  <c r="BP50" i="6"/>
  <c r="BW13" i="6" s="1"/>
  <c r="BQ51" i="6"/>
  <c r="BQ50" i="6"/>
  <c r="BW14" i="6" s="1"/>
  <c r="BN48" i="6"/>
  <c r="BN49" i="6"/>
  <c r="H17" i="7"/>
  <c r="D17" i="7"/>
  <c r="I17" i="7"/>
  <c r="K17" i="7" s="1"/>
  <c r="L18" i="7" s="1"/>
  <c r="U24" i="7"/>
  <c r="F17" i="7"/>
  <c r="N17" i="7"/>
  <c r="P17" i="7" s="1"/>
  <c r="S22" i="9" l="1"/>
  <c r="T22" i="9" s="1"/>
  <c r="R23" i="9"/>
  <c r="E24" i="9"/>
  <c r="F23" i="9"/>
  <c r="G23" i="9" s="1"/>
  <c r="O18" i="7"/>
  <c r="M18" i="7"/>
  <c r="N18" i="7" s="1"/>
  <c r="P18" i="7" s="1"/>
  <c r="B18" i="7"/>
  <c r="S23" i="9" l="1"/>
  <c r="T23" i="9" s="1"/>
  <c r="R24" i="9"/>
  <c r="F24" i="9"/>
  <c r="G24" i="9" s="1"/>
  <c r="E25" i="9"/>
  <c r="G18" i="7"/>
  <c r="C18" i="7"/>
  <c r="D18" i="7" s="1"/>
  <c r="F18" i="7" s="1"/>
  <c r="E18" i="7"/>
  <c r="R25" i="9" l="1"/>
  <c r="S24" i="9"/>
  <c r="T24" i="9" s="1"/>
  <c r="E26" i="9"/>
  <c r="F25" i="9"/>
  <c r="G25" i="9" s="1"/>
  <c r="H18" i="7"/>
  <c r="I18" i="7" s="1"/>
  <c r="Q18" i="7"/>
  <c r="J18" i="7"/>
  <c r="BI25" i="3"/>
  <c r="K5" i="1"/>
  <c r="K6" i="1"/>
  <c r="K7" i="1"/>
  <c r="K8" i="1"/>
  <c r="K9" i="1"/>
  <c r="K10" i="1"/>
  <c r="K4" i="1"/>
  <c r="R26" i="9" l="1"/>
  <c r="S25" i="9"/>
  <c r="T25" i="9" s="1"/>
  <c r="E27" i="9"/>
  <c r="F26" i="9"/>
  <c r="G26" i="9" s="1"/>
  <c r="K18" i="7"/>
  <c r="N4" i="1"/>
  <c r="F16" i="1"/>
  <c r="S26" i="9" l="1"/>
  <c r="T26" i="9" s="1"/>
  <c r="R27" i="9"/>
  <c r="E28" i="9"/>
  <c r="F27" i="9"/>
  <c r="G27" i="9" s="1"/>
  <c r="L19" i="7"/>
  <c r="B19" i="7"/>
  <c r="N8" i="1"/>
  <c r="N9" i="1"/>
  <c r="N10" i="1"/>
  <c r="S27" i="9" l="1"/>
  <c r="T27" i="9" s="1"/>
  <c r="R28" i="9"/>
  <c r="F28" i="9"/>
  <c r="G28" i="9" s="1"/>
  <c r="E29" i="9"/>
  <c r="E19" i="7"/>
  <c r="C19" i="7"/>
  <c r="D19" i="7" s="1"/>
  <c r="F19" i="7" s="1"/>
  <c r="G19" i="7"/>
  <c r="O19" i="7"/>
  <c r="M19" i="7"/>
  <c r="N19" i="7" s="1"/>
  <c r="P19" i="7" s="1"/>
  <c r="AG6" i="6"/>
  <c r="O6" i="6"/>
  <c r="R29" i="9" l="1"/>
  <c r="S28" i="9"/>
  <c r="T28" i="9" s="1"/>
  <c r="F29" i="9"/>
  <c r="G29" i="9" s="1"/>
  <c r="E30" i="9"/>
  <c r="J19" i="7"/>
  <c r="H19" i="7"/>
  <c r="I19" i="7" s="1"/>
  <c r="K19" i="7" s="1"/>
  <c r="L20" i="7" s="1"/>
  <c r="Q19" i="7"/>
  <c r="BC24" i="3"/>
  <c r="R30" i="9" l="1"/>
  <c r="S29" i="9"/>
  <c r="T29" i="9" s="1"/>
  <c r="E31" i="9"/>
  <c r="F30" i="9"/>
  <c r="G30" i="9" s="1"/>
  <c r="B20" i="7"/>
  <c r="M20" i="7"/>
  <c r="N20" i="7" s="1"/>
  <c r="P20" i="7" s="1"/>
  <c r="O20" i="7"/>
  <c r="A9" i="1"/>
  <c r="S30" i="9" l="1"/>
  <c r="T30" i="9" s="1"/>
  <c r="R31" i="9"/>
  <c r="E32" i="9"/>
  <c r="F31" i="9"/>
  <c r="G31" i="9" s="1"/>
  <c r="E20" i="7"/>
  <c r="C20" i="7"/>
  <c r="D20" i="7" s="1"/>
  <c r="F20" i="7" s="1"/>
  <c r="G20" i="7"/>
  <c r="I6" i="6"/>
  <c r="N6" i="6"/>
  <c r="S31" i="9" l="1"/>
  <c r="T31" i="9" s="1"/>
  <c r="R32" i="9"/>
  <c r="F32" i="9"/>
  <c r="G32" i="9" s="1"/>
  <c r="E33" i="9"/>
  <c r="Q20" i="7"/>
  <c r="H20" i="7"/>
  <c r="I20" i="7" s="1"/>
  <c r="K20" i="7" s="1"/>
  <c r="L21" i="7" s="1"/>
  <c r="J20" i="7"/>
  <c r="B21" i="7"/>
  <c r="W11" i="6"/>
  <c r="W12" i="6" s="1"/>
  <c r="X12" i="6" s="1"/>
  <c r="Y12" i="6" s="1"/>
  <c r="E11" i="6"/>
  <c r="AF6" i="6"/>
  <c r="AE6" i="6"/>
  <c r="AD6" i="6"/>
  <c r="AC6" i="6"/>
  <c r="AB6" i="6"/>
  <c r="AA6" i="6"/>
  <c r="Z6" i="6"/>
  <c r="M6" i="6"/>
  <c r="L6" i="6"/>
  <c r="K6" i="6"/>
  <c r="J6" i="6"/>
  <c r="H6" i="6"/>
  <c r="B66" i="3"/>
  <c r="D66" i="3" s="1"/>
  <c r="B65" i="3"/>
  <c r="D65" i="3" s="1"/>
  <c r="B64" i="3"/>
  <c r="D64" i="3" s="1"/>
  <c r="B63" i="3"/>
  <c r="D63" i="3" s="1"/>
  <c r="B62" i="3"/>
  <c r="D62" i="3" s="1"/>
  <c r="B61" i="3"/>
  <c r="D61" i="3" s="1"/>
  <c r="B60" i="3"/>
  <c r="D48" i="3"/>
  <c r="D47" i="3"/>
  <c r="D46" i="3"/>
  <c r="D45" i="3"/>
  <c r="D44" i="3"/>
  <c r="AO33" i="3"/>
  <c r="AO32" i="3"/>
  <c r="AC32" i="3"/>
  <c r="AO31" i="3"/>
  <c r="AI31" i="3"/>
  <c r="AC31" i="3"/>
  <c r="S31" i="3"/>
  <c r="Q31" i="3"/>
  <c r="AO30" i="3"/>
  <c r="AI30" i="3"/>
  <c r="AC30" i="3"/>
  <c r="S30" i="3"/>
  <c r="Q30" i="3"/>
  <c r="AO29" i="3"/>
  <c r="AI29" i="3"/>
  <c r="AA29" i="3"/>
  <c r="AC29" i="3" s="1"/>
  <c r="S29" i="3"/>
  <c r="Q29" i="3"/>
  <c r="AO28" i="3"/>
  <c r="AI28" i="3"/>
  <c r="AC28" i="3"/>
  <c r="S28" i="3"/>
  <c r="Q28" i="3"/>
  <c r="C28" i="3"/>
  <c r="AO27" i="3"/>
  <c r="AI27" i="3"/>
  <c r="AC27" i="3"/>
  <c r="S27" i="3"/>
  <c r="Q27" i="3"/>
  <c r="C27" i="3"/>
  <c r="AS26" i="3"/>
  <c r="AO26" i="3"/>
  <c r="AI26" i="3"/>
  <c r="AC26" i="3"/>
  <c r="S26" i="3"/>
  <c r="Q26" i="3"/>
  <c r="AU25" i="3"/>
  <c r="AO25" i="3"/>
  <c r="AI25" i="3"/>
  <c r="AC25" i="3"/>
  <c r="W25" i="3"/>
  <c r="S25" i="3"/>
  <c r="Q25" i="3"/>
  <c r="AU24" i="3"/>
  <c r="AO24" i="3"/>
  <c r="AI24" i="3"/>
  <c r="AC24" i="3"/>
  <c r="W24" i="3"/>
  <c r="S24" i="3"/>
  <c r="P24" i="3"/>
  <c r="Q24" i="3" s="1"/>
  <c r="F21" i="3"/>
  <c r="H25" i="3" s="1"/>
  <c r="B20" i="3"/>
  <c r="D20" i="3" s="1"/>
  <c r="B19" i="3"/>
  <c r="D19" i="3" s="1"/>
  <c r="B18" i="3"/>
  <c r="D18" i="3" s="1"/>
  <c r="B17" i="3"/>
  <c r="D17" i="3" s="1"/>
  <c r="B16" i="3"/>
  <c r="D16" i="3" s="1"/>
  <c r="H13" i="3"/>
  <c r="I6" i="3"/>
  <c r="G6" i="3"/>
  <c r="D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2" i="2"/>
  <c r="P31" i="2"/>
  <c r="D31" i="2"/>
  <c r="P30" i="2"/>
  <c r="D30" i="2"/>
  <c r="P29" i="2"/>
  <c r="D29" i="2"/>
  <c r="P28" i="2"/>
  <c r="D28" i="2"/>
  <c r="P27" i="2"/>
  <c r="D27" i="2"/>
  <c r="P26" i="2"/>
  <c r="P25" i="2"/>
  <c r="H25" i="2"/>
  <c r="P24" i="2"/>
  <c r="H24" i="2"/>
  <c r="N21" i="2"/>
  <c r="F21" i="2"/>
  <c r="D21" i="2"/>
  <c r="D20" i="2"/>
  <c r="B20" i="2"/>
  <c r="D19" i="2"/>
  <c r="B19" i="2"/>
  <c r="D18" i="2"/>
  <c r="B18" i="2"/>
  <c r="P17" i="2"/>
  <c r="L17" i="2"/>
  <c r="D17" i="2"/>
  <c r="B17" i="2"/>
  <c r="P16" i="2"/>
  <c r="L16" i="2"/>
  <c r="D16" i="2"/>
  <c r="B16" i="2"/>
  <c r="P15" i="2"/>
  <c r="L15" i="2"/>
  <c r="P14" i="2"/>
  <c r="L14" i="2"/>
  <c r="P13" i="2"/>
  <c r="L13" i="2"/>
  <c r="H13" i="2"/>
  <c r="N10" i="2"/>
  <c r="J10" i="2"/>
  <c r="I6" i="2"/>
  <c r="G6" i="2"/>
  <c r="E24" i="8"/>
  <c r="M23" i="8"/>
  <c r="L23" i="8"/>
  <c r="F23" i="8"/>
  <c r="E23" i="8"/>
  <c r="E22" i="8"/>
  <c r="E20" i="8"/>
  <c r="F20" i="8" s="1"/>
  <c r="E19" i="8"/>
  <c r="C18" i="8"/>
  <c r="C17" i="8"/>
  <c r="C16" i="8"/>
  <c r="C15" i="8"/>
  <c r="J14" i="8"/>
  <c r="G14" i="8"/>
  <c r="H14" i="8" s="1"/>
  <c r="L14" i="8" s="1"/>
  <c r="M14" i="8" s="1"/>
  <c r="F14" i="8"/>
  <c r="E14" i="8"/>
  <c r="C14" i="8"/>
  <c r="E12" i="8"/>
  <c r="G10" i="8"/>
  <c r="G20" i="8" s="1"/>
  <c r="H20" i="8" s="1"/>
  <c r="L20" i="8" s="1"/>
  <c r="M20" i="8" s="1"/>
  <c r="F10" i="8"/>
  <c r="E10" i="8"/>
  <c r="E9" i="8"/>
  <c r="C8" i="8"/>
  <c r="C7" i="8"/>
  <c r="C6" i="8"/>
  <c r="C5" i="8"/>
  <c r="J4" i="8"/>
  <c r="H4" i="8"/>
  <c r="L4" i="8" s="1"/>
  <c r="M4" i="8" s="1"/>
  <c r="F4" i="8"/>
  <c r="E4" i="8"/>
  <c r="C4" i="8"/>
  <c r="F22" i="1"/>
  <c r="C21" i="1"/>
  <c r="C20" i="1"/>
  <c r="F19" i="1"/>
  <c r="C13" i="1"/>
  <c r="C36" i="1" s="1"/>
  <c r="C12" i="1"/>
  <c r="F11" i="1"/>
  <c r="F13" i="1" s="1"/>
  <c r="N7" i="1"/>
  <c r="N6" i="1"/>
  <c r="C6" i="1"/>
  <c r="E25" i="1" s="1"/>
  <c r="N5" i="1"/>
  <c r="F4" i="1"/>
  <c r="F6" i="1" s="1"/>
  <c r="F54" i="4"/>
  <c r="F53" i="4"/>
  <c r="F51" i="4"/>
  <c r="B49" i="4"/>
  <c r="D45" i="4"/>
  <c r="D44" i="4"/>
  <c r="D43" i="4"/>
  <c r="D35" i="4"/>
  <c r="D34" i="4"/>
  <c r="D29" i="4"/>
  <c r="D28" i="4"/>
  <c r="D27" i="4"/>
  <c r="D26" i="4"/>
  <c r="D24" i="4"/>
  <c r="D17" i="4"/>
  <c r="D15" i="4"/>
  <c r="D14" i="4"/>
  <c r="D13" i="4"/>
  <c r="F9" i="4"/>
  <c r="F8" i="4"/>
  <c r="F7" i="4"/>
  <c r="F6" i="4"/>
  <c r="D5" i="4"/>
  <c r="D4" i="4"/>
  <c r="R33" i="9" l="1"/>
  <c r="S32" i="9"/>
  <c r="T32" i="9" s="1"/>
  <c r="F33" i="9"/>
  <c r="G33" i="9" s="1"/>
  <c r="E34" i="9"/>
  <c r="T22" i="3"/>
  <c r="Y25" i="3" s="1"/>
  <c r="B59" i="3"/>
  <c r="D59" i="3" s="1"/>
  <c r="AF22" i="3"/>
  <c r="AK28" i="3" s="1"/>
  <c r="AL22" i="3"/>
  <c r="AQ31" i="3" s="1"/>
  <c r="N14" i="8"/>
  <c r="O23" i="8" s="1"/>
  <c r="H10" i="8"/>
  <c r="L10" i="8" s="1"/>
  <c r="M10" i="8" s="1"/>
  <c r="I4" i="8"/>
  <c r="J6" i="2" s="1"/>
  <c r="I14" i="8"/>
  <c r="J6" i="3" s="1"/>
  <c r="E21" i="7"/>
  <c r="C21" i="7"/>
  <c r="D21" i="7" s="1"/>
  <c r="F21" i="7" s="1"/>
  <c r="G21" i="7"/>
  <c r="M21" i="7"/>
  <c r="N21" i="7" s="1"/>
  <c r="P21" i="7" s="1"/>
  <c r="O21" i="7"/>
  <c r="C14" i="1"/>
  <c r="C33" i="1" s="1"/>
  <c r="C34" i="1" s="1"/>
  <c r="C35" i="1" s="1"/>
  <c r="D60" i="3"/>
  <c r="D67" i="3" s="1"/>
  <c r="F30" i="3" s="1"/>
  <c r="H37" i="3" s="1"/>
  <c r="H24" i="3"/>
  <c r="Z22" i="3"/>
  <c r="AE31" i="3" s="1"/>
  <c r="C29" i="3"/>
  <c r="D49" i="3"/>
  <c r="N10" i="3" s="1"/>
  <c r="AQ32" i="3"/>
  <c r="AQ26" i="3"/>
  <c r="AQ28" i="3"/>
  <c r="D21" i="3"/>
  <c r="AK29" i="3"/>
  <c r="AK30" i="3"/>
  <c r="AU26" i="3"/>
  <c r="AR22" i="3" s="1"/>
  <c r="Y24" i="3"/>
  <c r="X11" i="6"/>
  <c r="Y11" i="6" s="1"/>
  <c r="W13" i="6"/>
  <c r="E12" i="6"/>
  <c r="F11" i="6"/>
  <c r="G11" i="6" s="1"/>
  <c r="R34" i="9" l="1"/>
  <c r="S33" i="9"/>
  <c r="T33" i="9" s="1"/>
  <c r="E35" i="9"/>
  <c r="F34" i="9"/>
  <c r="G34" i="9" s="1"/>
  <c r="AK31" i="3"/>
  <c r="AK24" i="3"/>
  <c r="AK25" i="3"/>
  <c r="AK26" i="3"/>
  <c r="J10" i="3"/>
  <c r="AK27" i="3"/>
  <c r="AE28" i="3"/>
  <c r="AQ25" i="3"/>
  <c r="AQ27" i="3"/>
  <c r="AQ29" i="3"/>
  <c r="AQ30" i="3"/>
  <c r="AQ24" i="3"/>
  <c r="AQ33" i="3"/>
  <c r="AE26" i="3"/>
  <c r="AE27" i="3"/>
  <c r="AE24" i="3"/>
  <c r="O14" i="8"/>
  <c r="O20" i="8"/>
  <c r="N4" i="8"/>
  <c r="O4" i="8" s="1"/>
  <c r="Q21" i="7"/>
  <c r="H21" i="7"/>
  <c r="I21" i="7" s="1"/>
  <c r="K21" i="7" s="1"/>
  <c r="L22" i="7" s="1"/>
  <c r="J21" i="7"/>
  <c r="C15" i="1"/>
  <c r="C32" i="1" s="1"/>
  <c r="C24" i="1" s="1"/>
  <c r="AE29" i="3"/>
  <c r="AE25" i="3"/>
  <c r="AE30" i="3"/>
  <c r="AE32" i="3"/>
  <c r="AW25" i="3"/>
  <c r="AW24" i="3"/>
  <c r="AW26" i="3"/>
  <c r="L17" i="3"/>
  <c r="P17" i="3" s="1"/>
  <c r="L16" i="3"/>
  <c r="P16" i="3" s="1"/>
  <c r="L15" i="3"/>
  <c r="P15" i="3" s="1"/>
  <c r="L13" i="3"/>
  <c r="P13" i="3" s="1"/>
  <c r="L14" i="3"/>
  <c r="P14" i="3" s="1"/>
  <c r="H38" i="3"/>
  <c r="H34" i="3"/>
  <c r="H40" i="3"/>
  <c r="H39" i="3"/>
  <c r="H36" i="3"/>
  <c r="H35" i="3"/>
  <c r="H33" i="3"/>
  <c r="F12" i="6"/>
  <c r="G12" i="6" s="1"/>
  <c r="E13" i="6"/>
  <c r="W14" i="6"/>
  <c r="X13" i="6"/>
  <c r="Y13" i="6" s="1"/>
  <c r="S34" i="9" l="1"/>
  <c r="T34" i="9" s="1"/>
  <c r="R35" i="9"/>
  <c r="E36" i="9"/>
  <c r="F35" i="9"/>
  <c r="G35" i="9" s="1"/>
  <c r="O10" i="8"/>
  <c r="P4" i="8" s="1"/>
  <c r="Q4" i="8" s="1"/>
  <c r="K6" i="2" s="1"/>
  <c r="P14" i="8"/>
  <c r="Q14" i="8" s="1"/>
  <c r="K6" i="3" s="1"/>
  <c r="B22" i="7"/>
  <c r="M22" i="7"/>
  <c r="N22" i="7" s="1"/>
  <c r="P22" i="7" s="1"/>
  <c r="O22" i="7"/>
  <c r="C29" i="1"/>
  <c r="C31" i="1"/>
  <c r="C26" i="1"/>
  <c r="C30" i="1"/>
  <c r="C27" i="1"/>
  <c r="C28" i="1"/>
  <c r="C25" i="1"/>
  <c r="W15" i="6"/>
  <c r="X14" i="6"/>
  <c r="Y14" i="6" s="1"/>
  <c r="F13" i="6"/>
  <c r="G13" i="6" s="1"/>
  <c r="E14" i="6"/>
  <c r="S35" i="9" l="1"/>
  <c r="T35" i="9" s="1"/>
  <c r="R36" i="9"/>
  <c r="F36" i="9"/>
  <c r="G36" i="9" s="1"/>
  <c r="E37" i="9"/>
  <c r="W6" i="3"/>
  <c r="AM6" i="3" s="1"/>
  <c r="S6" i="3"/>
  <c r="AI6" i="3" s="1"/>
  <c r="O6" i="3"/>
  <c r="AE6" i="3" s="1"/>
  <c r="T6" i="3"/>
  <c r="AJ6" i="3" s="1"/>
  <c r="L6" i="3"/>
  <c r="AB6" i="3" s="1"/>
  <c r="Z6" i="3"/>
  <c r="V6" i="3"/>
  <c r="AL6" i="3" s="1"/>
  <c r="R6" i="3"/>
  <c r="AH6" i="3" s="1"/>
  <c r="N6" i="3"/>
  <c r="AD6" i="3" s="1"/>
  <c r="Y6" i="3"/>
  <c r="AO6" i="3" s="1"/>
  <c r="U6" i="3"/>
  <c r="AK6" i="3" s="1"/>
  <c r="Q6" i="3"/>
  <c r="AG6" i="3" s="1"/>
  <c r="M6" i="3"/>
  <c r="AC6" i="3" s="1"/>
  <c r="X6" i="3"/>
  <c r="AN6" i="3" s="1"/>
  <c r="P6" i="3"/>
  <c r="AF6" i="3" s="1"/>
  <c r="R6" i="2"/>
  <c r="S6" i="2"/>
  <c r="Q6" i="2"/>
  <c r="L6" i="2"/>
  <c r="O6" i="2"/>
  <c r="N6" i="2"/>
  <c r="M6" i="2"/>
  <c r="P6" i="2"/>
  <c r="C22" i="7"/>
  <c r="D22" i="7" s="1"/>
  <c r="F22" i="7" s="1"/>
  <c r="G22" i="7"/>
  <c r="E22" i="7"/>
  <c r="E15" i="6"/>
  <c r="F14" i="6"/>
  <c r="G14" i="6" s="1"/>
  <c r="X15" i="6"/>
  <c r="Y15" i="6" s="1"/>
  <c r="W16" i="6"/>
  <c r="R37" i="9" l="1"/>
  <c r="S36" i="9"/>
  <c r="T36" i="9" s="1"/>
  <c r="F37" i="9"/>
  <c r="G37" i="9" s="1"/>
  <c r="E38" i="9"/>
  <c r="H22" i="7"/>
  <c r="I22" i="7" s="1"/>
  <c r="J22" i="7"/>
  <c r="Q22" i="7"/>
  <c r="X16" i="6"/>
  <c r="Y16" i="6" s="1"/>
  <c r="W17" i="6"/>
  <c r="E16" i="6"/>
  <c r="F15" i="6"/>
  <c r="G15" i="6" s="1"/>
  <c r="R38" i="9" l="1"/>
  <c r="S37" i="9"/>
  <c r="T37" i="9" s="1"/>
  <c r="E39" i="9"/>
  <c r="F38" i="9"/>
  <c r="G38" i="9" s="1"/>
  <c r="K22" i="7"/>
  <c r="F16" i="6"/>
  <c r="G16" i="6" s="1"/>
  <c r="E17" i="6"/>
  <c r="W18" i="6"/>
  <c r="X17" i="6"/>
  <c r="Y17" i="6" s="1"/>
  <c r="S38" i="9" l="1"/>
  <c r="T38" i="9" s="1"/>
  <c r="R39" i="9"/>
  <c r="E40" i="9"/>
  <c r="F39" i="9"/>
  <c r="G39" i="9" s="1"/>
  <c r="L23" i="7"/>
  <c r="B23" i="7"/>
  <c r="W19" i="6"/>
  <c r="X18" i="6"/>
  <c r="Y18" i="6" s="1"/>
  <c r="F17" i="6"/>
  <c r="G17" i="6" s="1"/>
  <c r="E18" i="6"/>
  <c r="S39" i="9" l="1"/>
  <c r="T39" i="9" s="1"/>
  <c r="R40" i="9"/>
  <c r="F40" i="9"/>
  <c r="G40" i="9" s="1"/>
  <c r="E41" i="9"/>
  <c r="E23" i="7"/>
  <c r="C23" i="7"/>
  <c r="D23" i="7" s="1"/>
  <c r="F23" i="7" s="1"/>
  <c r="G23" i="7"/>
  <c r="O23" i="7"/>
  <c r="M23" i="7"/>
  <c r="N23" i="7" s="1"/>
  <c r="P23" i="7" s="1"/>
  <c r="E19" i="6"/>
  <c r="F18" i="6"/>
  <c r="G18" i="6" s="1"/>
  <c r="X19" i="6"/>
  <c r="Y19" i="6" s="1"/>
  <c r="W20" i="6"/>
  <c r="R41" i="9" l="1"/>
  <c r="S40" i="9"/>
  <c r="T40" i="9" s="1"/>
  <c r="F41" i="9"/>
  <c r="G41" i="9" s="1"/>
  <c r="E42" i="9"/>
  <c r="H23" i="7"/>
  <c r="I23" i="7" s="1"/>
  <c r="Q23" i="7"/>
  <c r="J23" i="7"/>
  <c r="X20" i="6"/>
  <c r="Y20" i="6" s="1"/>
  <c r="W21" i="6"/>
  <c r="E20" i="6"/>
  <c r="F19" i="6"/>
  <c r="G19" i="6" s="1"/>
  <c r="R42" i="9" l="1"/>
  <c r="S41" i="9"/>
  <c r="T41" i="9" s="1"/>
  <c r="E43" i="9"/>
  <c r="F42" i="9"/>
  <c r="G42" i="9" s="1"/>
  <c r="K23" i="7"/>
  <c r="F20" i="6"/>
  <c r="G20" i="6" s="1"/>
  <c r="E21" i="6"/>
  <c r="W22" i="6"/>
  <c r="X21" i="6"/>
  <c r="Y21" i="6" s="1"/>
  <c r="S42" i="9" l="1"/>
  <c r="T42" i="9" s="1"/>
  <c r="R43" i="9"/>
  <c r="E44" i="9"/>
  <c r="F43" i="9"/>
  <c r="G43" i="9" s="1"/>
  <c r="L24" i="7"/>
  <c r="B24" i="7"/>
  <c r="W23" i="6"/>
  <c r="X22" i="6"/>
  <c r="Y22" i="6" s="1"/>
  <c r="F21" i="6"/>
  <c r="G21" i="6" s="1"/>
  <c r="E22" i="6"/>
  <c r="S43" i="9" l="1"/>
  <c r="T43" i="9" s="1"/>
  <c r="R44" i="9"/>
  <c r="F44" i="9"/>
  <c r="G44" i="9" s="1"/>
  <c r="E45" i="9"/>
  <c r="C24" i="7"/>
  <c r="D24" i="7" s="1"/>
  <c r="F24" i="7" s="1"/>
  <c r="G24" i="7"/>
  <c r="E24" i="7"/>
  <c r="M24" i="7"/>
  <c r="N24" i="7" s="1"/>
  <c r="O24" i="7"/>
  <c r="E23" i="6"/>
  <c r="F22" i="6"/>
  <c r="G22" i="6" s="1"/>
  <c r="X23" i="6"/>
  <c r="Y23" i="6" s="1"/>
  <c r="W24" i="6"/>
  <c r="R45" i="9" l="1"/>
  <c r="S44" i="9"/>
  <c r="T44" i="9" s="1"/>
  <c r="F45" i="9"/>
  <c r="G45" i="9" s="1"/>
  <c r="E46" i="9"/>
  <c r="P24" i="7"/>
  <c r="H24" i="7"/>
  <c r="I24" i="7" s="1"/>
  <c r="K24" i="7" s="1"/>
  <c r="L25" i="7" s="1"/>
  <c r="J24" i="7"/>
  <c r="Q24" i="7"/>
  <c r="X24" i="6"/>
  <c r="Y24" i="6" s="1"/>
  <c r="W25" i="6"/>
  <c r="E24" i="6"/>
  <c r="F23" i="6"/>
  <c r="G23" i="6" s="1"/>
  <c r="R46" i="9" l="1"/>
  <c r="S45" i="9"/>
  <c r="T45" i="9" s="1"/>
  <c r="E47" i="9"/>
  <c r="F46" i="9"/>
  <c r="G46" i="9" s="1"/>
  <c r="O25" i="7"/>
  <c r="M25" i="7"/>
  <c r="N25" i="7" s="1"/>
  <c r="P25" i="7" s="1"/>
  <c r="B25" i="7"/>
  <c r="F24" i="6"/>
  <c r="G24" i="6" s="1"/>
  <c r="E25" i="6"/>
  <c r="W26" i="6"/>
  <c r="X25" i="6"/>
  <c r="Y25" i="6" s="1"/>
  <c r="S46" i="9" l="1"/>
  <c r="T46" i="9" s="1"/>
  <c r="R47" i="9"/>
  <c r="E48" i="9"/>
  <c r="F47" i="9"/>
  <c r="G47" i="9" s="1"/>
  <c r="G25" i="7"/>
  <c r="C25" i="7"/>
  <c r="D25" i="7" s="1"/>
  <c r="E25" i="7"/>
  <c r="W27" i="6"/>
  <c r="X26" i="6"/>
  <c r="Y26" i="6" s="1"/>
  <c r="F25" i="6"/>
  <c r="G25" i="6" s="1"/>
  <c r="E26" i="6"/>
  <c r="R48" i="9" l="1"/>
  <c r="S47" i="9"/>
  <c r="T47" i="9" s="1"/>
  <c r="F48" i="9"/>
  <c r="G48" i="9" s="1"/>
  <c r="E49" i="9"/>
  <c r="F25" i="7"/>
  <c r="Q25" i="7"/>
  <c r="J25" i="7"/>
  <c r="H25" i="7"/>
  <c r="I25" i="7" s="1"/>
  <c r="K25" i="7" s="1"/>
  <c r="L26" i="7" s="1"/>
  <c r="E27" i="6"/>
  <c r="F26" i="6"/>
  <c r="G26" i="6" s="1"/>
  <c r="X27" i="6"/>
  <c r="Y27" i="6" s="1"/>
  <c r="W28" i="6"/>
  <c r="R49" i="9" l="1"/>
  <c r="S48" i="9"/>
  <c r="T48" i="9" s="1"/>
  <c r="F49" i="9"/>
  <c r="G49" i="9" s="1"/>
  <c r="E50" i="9"/>
  <c r="O26" i="7"/>
  <c r="M26" i="7"/>
  <c r="N26" i="7" s="1"/>
  <c r="P26" i="7" s="1"/>
  <c r="B26" i="7"/>
  <c r="X28" i="6"/>
  <c r="Y28" i="6" s="1"/>
  <c r="W29" i="6"/>
  <c r="E28" i="6"/>
  <c r="F27" i="6"/>
  <c r="G27" i="6" s="1"/>
  <c r="R50" i="9" l="1"/>
  <c r="S49" i="9"/>
  <c r="T49" i="9" s="1"/>
  <c r="E51" i="9"/>
  <c r="F50" i="9"/>
  <c r="G50" i="9" s="1"/>
  <c r="G26" i="7"/>
  <c r="C26" i="7"/>
  <c r="D26" i="7" s="1"/>
  <c r="F26" i="7" s="1"/>
  <c r="E26" i="7"/>
  <c r="F28" i="6"/>
  <c r="G28" i="6" s="1"/>
  <c r="E29" i="6"/>
  <c r="W30" i="6"/>
  <c r="X29" i="6"/>
  <c r="Y29" i="6" s="1"/>
  <c r="S50" i="9" l="1"/>
  <c r="T50" i="9" s="1"/>
  <c r="R51" i="9"/>
  <c r="E52" i="9"/>
  <c r="F51" i="9"/>
  <c r="G51" i="9" s="1"/>
  <c r="B27" i="7"/>
  <c r="Q26" i="7"/>
  <c r="J26" i="7"/>
  <c r="H26" i="7"/>
  <c r="I26" i="7" s="1"/>
  <c r="K26" i="7" s="1"/>
  <c r="L27" i="7" s="1"/>
  <c r="W31" i="6"/>
  <c r="X30" i="6"/>
  <c r="Y30" i="6" s="1"/>
  <c r="F29" i="6"/>
  <c r="G29" i="6" s="1"/>
  <c r="E30" i="6"/>
  <c r="R52" i="9" l="1"/>
  <c r="S51" i="9"/>
  <c r="T51" i="9" s="1"/>
  <c r="F52" i="9"/>
  <c r="G52" i="9" s="1"/>
  <c r="E53" i="9"/>
  <c r="C27" i="7"/>
  <c r="D27" i="7" s="1"/>
  <c r="F27" i="7" s="1"/>
  <c r="G27" i="7"/>
  <c r="E27" i="7"/>
  <c r="O27" i="7"/>
  <c r="M27" i="7"/>
  <c r="N27" i="7" s="1"/>
  <c r="P27" i="7" s="1"/>
  <c r="E31" i="6"/>
  <c r="F30" i="6"/>
  <c r="G30" i="6" s="1"/>
  <c r="X31" i="6"/>
  <c r="Y31" i="6" s="1"/>
  <c r="W32" i="6"/>
  <c r="R53" i="9" l="1"/>
  <c r="S52" i="9"/>
  <c r="T52" i="9" s="1"/>
  <c r="F53" i="9"/>
  <c r="G53" i="9" s="1"/>
  <c r="E54" i="9"/>
  <c r="J27" i="7"/>
  <c r="Q27" i="7"/>
  <c r="H27" i="7"/>
  <c r="I27" i="7" s="1"/>
  <c r="K27" i="7" s="1"/>
  <c r="L28" i="7" s="1"/>
  <c r="X32" i="6"/>
  <c r="Y32" i="6" s="1"/>
  <c r="W33" i="6"/>
  <c r="E32" i="6"/>
  <c r="F31" i="6"/>
  <c r="G31" i="6" s="1"/>
  <c r="R54" i="9" l="1"/>
  <c r="S53" i="9"/>
  <c r="T53" i="9" s="1"/>
  <c r="E55" i="9"/>
  <c r="F54" i="9"/>
  <c r="G54" i="9" s="1"/>
  <c r="O28" i="7"/>
  <c r="M28" i="7"/>
  <c r="N28" i="7" s="1"/>
  <c r="P28" i="7" s="1"/>
  <c r="B28" i="7"/>
  <c r="F32" i="6"/>
  <c r="G32" i="6" s="1"/>
  <c r="E33" i="6"/>
  <c r="W34" i="6"/>
  <c r="X33" i="6"/>
  <c r="Y33" i="6" s="1"/>
  <c r="S54" i="9" l="1"/>
  <c r="T54" i="9" s="1"/>
  <c r="R55" i="9"/>
  <c r="E56" i="9"/>
  <c r="F55" i="9"/>
  <c r="G55" i="9" s="1"/>
  <c r="C28" i="7"/>
  <c r="D28" i="7" s="1"/>
  <c r="G28" i="7"/>
  <c r="E28" i="7"/>
  <c r="W35" i="6"/>
  <c r="X34" i="6"/>
  <c r="Y34" i="6" s="1"/>
  <c r="E34" i="6"/>
  <c r="F33" i="6"/>
  <c r="G33" i="6" s="1"/>
  <c r="S55" i="9" l="1"/>
  <c r="T55" i="9" s="1"/>
  <c r="R56" i="9"/>
  <c r="F56" i="9"/>
  <c r="G56" i="9" s="1"/>
  <c r="E57" i="9"/>
  <c r="J28" i="7"/>
  <c r="Q28" i="7"/>
  <c r="H28" i="7"/>
  <c r="I28" i="7" s="1"/>
  <c r="K28" i="7" s="1"/>
  <c r="L29" i="7" s="1"/>
  <c r="F28" i="7"/>
  <c r="E35" i="6"/>
  <c r="F34" i="6"/>
  <c r="G34" i="6" s="1"/>
  <c r="X35" i="6"/>
  <c r="Y35" i="6" s="1"/>
  <c r="W36" i="6"/>
  <c r="R57" i="9" l="1"/>
  <c r="S56" i="9"/>
  <c r="T56" i="9" s="1"/>
  <c r="F57" i="9"/>
  <c r="G57" i="9" s="1"/>
  <c r="E58" i="9"/>
  <c r="O29" i="7"/>
  <c r="M29" i="7"/>
  <c r="N29" i="7" s="1"/>
  <c r="P29" i="7" s="1"/>
  <c r="B29" i="7"/>
  <c r="X36" i="6"/>
  <c r="Y36" i="6" s="1"/>
  <c r="W37" i="6"/>
  <c r="E36" i="6"/>
  <c r="F35" i="6"/>
  <c r="G35" i="6" s="1"/>
  <c r="S57" i="9" l="1"/>
  <c r="T57" i="9" s="1"/>
  <c r="R58" i="9"/>
  <c r="E59" i="9"/>
  <c r="F58" i="9"/>
  <c r="G58" i="9" s="1"/>
  <c r="C29" i="7"/>
  <c r="D29" i="7" s="1"/>
  <c r="G29" i="7"/>
  <c r="E29" i="7"/>
  <c r="F36" i="6"/>
  <c r="G36" i="6" s="1"/>
  <c r="E37" i="6"/>
  <c r="W38" i="6"/>
  <c r="X37" i="6"/>
  <c r="Y37" i="6" s="1"/>
  <c r="S58" i="9" l="1"/>
  <c r="T58" i="9" s="1"/>
  <c r="R59" i="9"/>
  <c r="E60" i="9"/>
  <c r="F59" i="9"/>
  <c r="G59" i="9" s="1"/>
  <c r="J29" i="7"/>
  <c r="Q29" i="7"/>
  <c r="H29" i="7"/>
  <c r="I29" i="7" s="1"/>
  <c r="K29" i="7" s="1"/>
  <c r="L30" i="7" s="1"/>
  <c r="F29" i="7"/>
  <c r="B30" i="7" s="1"/>
  <c r="W39" i="6"/>
  <c r="X38" i="6"/>
  <c r="Y38" i="6" s="1"/>
  <c r="F37" i="6"/>
  <c r="G37" i="6" s="1"/>
  <c r="E38" i="6"/>
  <c r="S59" i="9" l="1"/>
  <c r="T59" i="9" s="1"/>
  <c r="R60" i="9"/>
  <c r="F60" i="9"/>
  <c r="G60" i="9" s="1"/>
  <c r="E61" i="9"/>
  <c r="O30" i="7"/>
  <c r="M30" i="7"/>
  <c r="N30" i="7" s="1"/>
  <c r="P30" i="7" s="1"/>
  <c r="G30" i="7"/>
  <c r="E30" i="7"/>
  <c r="C30" i="7"/>
  <c r="D30" i="7" s="1"/>
  <c r="E39" i="6"/>
  <c r="F38" i="6"/>
  <c r="G38" i="6" s="1"/>
  <c r="X39" i="6"/>
  <c r="Y39" i="6" s="1"/>
  <c r="W40" i="6"/>
  <c r="R61" i="9" l="1"/>
  <c r="S60" i="9"/>
  <c r="T60" i="9" s="1"/>
  <c r="F61" i="9"/>
  <c r="G61" i="9" s="1"/>
  <c r="E62" i="9"/>
  <c r="J30" i="7"/>
  <c r="Q30" i="7"/>
  <c r="H30" i="7"/>
  <c r="I30" i="7" s="1"/>
  <c r="K30" i="7" s="1"/>
  <c r="L31" i="7" s="1"/>
  <c r="F30" i="7"/>
  <c r="B31" i="7" s="1"/>
  <c r="X40" i="6"/>
  <c r="Y40" i="6" s="1"/>
  <c r="W41" i="6"/>
  <c r="E40" i="6"/>
  <c r="F39" i="6"/>
  <c r="G39" i="6" s="1"/>
  <c r="S61" i="9" l="1"/>
  <c r="T61" i="9" s="1"/>
  <c r="R62" i="9"/>
  <c r="E63" i="9"/>
  <c r="F62" i="9"/>
  <c r="G62" i="9" s="1"/>
  <c r="O31" i="7"/>
  <c r="M31" i="7"/>
  <c r="N31" i="7" s="1"/>
  <c r="P31" i="7" s="1"/>
  <c r="G31" i="7"/>
  <c r="E31" i="7"/>
  <c r="C31" i="7"/>
  <c r="D31" i="7" s="1"/>
  <c r="F40" i="6"/>
  <c r="G40" i="6" s="1"/>
  <c r="E41" i="6"/>
  <c r="W42" i="6"/>
  <c r="X41" i="6"/>
  <c r="Y41" i="6" s="1"/>
  <c r="S62" i="9" l="1"/>
  <c r="T62" i="9" s="1"/>
  <c r="R63" i="9"/>
  <c r="E64" i="9"/>
  <c r="F63" i="9"/>
  <c r="G63" i="9" s="1"/>
  <c r="J31" i="7"/>
  <c r="H31" i="7"/>
  <c r="I31" i="7" s="1"/>
  <c r="K31" i="7" s="1"/>
  <c r="L32" i="7" s="1"/>
  <c r="Q31" i="7"/>
  <c r="F31" i="7"/>
  <c r="W43" i="6"/>
  <c r="X42" i="6"/>
  <c r="Y42" i="6" s="1"/>
  <c r="F41" i="6"/>
  <c r="G41" i="6" s="1"/>
  <c r="E42" i="6"/>
  <c r="S63" i="9" l="1"/>
  <c r="T63" i="9" s="1"/>
  <c r="R64" i="9"/>
  <c r="F64" i="9"/>
  <c r="G64" i="9" s="1"/>
  <c r="E65" i="9"/>
  <c r="B32" i="7"/>
  <c r="O32" i="7"/>
  <c r="M32" i="7"/>
  <c r="N32" i="7" s="1"/>
  <c r="E43" i="6"/>
  <c r="F42" i="6"/>
  <c r="G42" i="6" s="1"/>
  <c r="X43" i="6"/>
  <c r="Y43" i="6" s="1"/>
  <c r="W44" i="6"/>
  <c r="R65" i="9" l="1"/>
  <c r="S64" i="9"/>
  <c r="T64" i="9" s="1"/>
  <c r="F65" i="9"/>
  <c r="G65" i="9" s="1"/>
  <c r="E66" i="9"/>
  <c r="P32" i="7"/>
  <c r="G32" i="7"/>
  <c r="C32" i="7"/>
  <c r="D32" i="7" s="1"/>
  <c r="E32" i="7"/>
  <c r="X44" i="6"/>
  <c r="Y44" i="6" s="1"/>
  <c r="W45" i="6"/>
  <c r="E44" i="6"/>
  <c r="F43" i="6"/>
  <c r="G43" i="6" s="1"/>
  <c r="S65" i="9" l="1"/>
  <c r="T65" i="9" s="1"/>
  <c r="R66" i="9"/>
  <c r="E67" i="9"/>
  <c r="F66" i="9"/>
  <c r="G66" i="9" s="1"/>
  <c r="F32" i="7"/>
  <c r="Q32" i="7"/>
  <c r="J32" i="7"/>
  <c r="H32" i="7"/>
  <c r="I32" i="7" s="1"/>
  <c r="K32" i="7" s="1"/>
  <c r="L33" i="7" s="1"/>
  <c r="F44" i="6"/>
  <c r="G44" i="6" s="1"/>
  <c r="E45" i="6"/>
  <c r="W46" i="6"/>
  <c r="X45" i="6"/>
  <c r="Y45" i="6" s="1"/>
  <c r="S66" i="9" l="1"/>
  <c r="T66" i="9" s="1"/>
  <c r="R67" i="9"/>
  <c r="E68" i="9"/>
  <c r="F67" i="9"/>
  <c r="G67" i="9" s="1"/>
  <c r="O33" i="7"/>
  <c r="M33" i="7"/>
  <c r="N33" i="7" s="1"/>
  <c r="P33" i="7" s="1"/>
  <c r="B33" i="7"/>
  <c r="W47" i="6"/>
  <c r="X46" i="6"/>
  <c r="Y46" i="6" s="1"/>
  <c r="F45" i="6"/>
  <c r="G45" i="6" s="1"/>
  <c r="E46" i="6"/>
  <c r="S67" i="9" l="1"/>
  <c r="T67" i="9" s="1"/>
  <c r="R68" i="9"/>
  <c r="F68" i="9"/>
  <c r="G68" i="9" s="1"/>
  <c r="E69" i="9"/>
  <c r="G33" i="7"/>
  <c r="C33" i="7"/>
  <c r="D33" i="7" s="1"/>
  <c r="F33" i="7" s="1"/>
  <c r="E33" i="7"/>
  <c r="E47" i="6"/>
  <c r="F46" i="6"/>
  <c r="G46" i="6" s="1"/>
  <c r="X47" i="6"/>
  <c r="Y47" i="6" s="1"/>
  <c r="W48" i="6"/>
  <c r="R69" i="9" l="1"/>
  <c r="S68" i="9"/>
  <c r="T68" i="9" s="1"/>
  <c r="F69" i="9"/>
  <c r="G69" i="9" s="1"/>
  <c r="E70" i="9"/>
  <c r="H33" i="7"/>
  <c r="I33" i="7" s="1"/>
  <c r="K33" i="7" s="1"/>
  <c r="L34" i="7" s="1"/>
  <c r="Q33" i="7"/>
  <c r="J33" i="7"/>
  <c r="X48" i="6"/>
  <c r="Y48" i="6" s="1"/>
  <c r="W49" i="6"/>
  <c r="E48" i="6"/>
  <c r="F47" i="6"/>
  <c r="G47" i="6" s="1"/>
  <c r="R70" i="9" l="1"/>
  <c r="S69" i="9"/>
  <c r="T69" i="9" s="1"/>
  <c r="E71" i="9"/>
  <c r="F70" i="9"/>
  <c r="G70" i="9" s="1"/>
  <c r="O34" i="7"/>
  <c r="M34" i="7"/>
  <c r="N34" i="7" s="1"/>
  <c r="P34" i="7" s="1"/>
  <c r="B34" i="7"/>
  <c r="F48" i="6"/>
  <c r="G48" i="6" s="1"/>
  <c r="E49" i="6"/>
  <c r="W50" i="6"/>
  <c r="X49" i="6"/>
  <c r="Y49" i="6" s="1"/>
  <c r="S70" i="9" l="1"/>
  <c r="T70" i="9" s="1"/>
  <c r="R71" i="9"/>
  <c r="E72" i="9"/>
  <c r="F71" i="9"/>
  <c r="G71" i="9" s="1"/>
  <c r="G34" i="7"/>
  <c r="C34" i="7"/>
  <c r="D34" i="7" s="1"/>
  <c r="F34" i="7" s="1"/>
  <c r="E34" i="7"/>
  <c r="W51" i="6"/>
  <c r="X50" i="6"/>
  <c r="Y50" i="6" s="1"/>
  <c r="F49" i="6"/>
  <c r="G49" i="6" s="1"/>
  <c r="E50" i="6"/>
  <c r="R72" i="9" l="1"/>
  <c r="S71" i="9"/>
  <c r="T71" i="9" s="1"/>
  <c r="F72" i="9"/>
  <c r="G72" i="9" s="1"/>
  <c r="E73" i="9"/>
  <c r="Q34" i="7"/>
  <c r="J34" i="7"/>
  <c r="H34" i="7"/>
  <c r="I34" i="7" s="1"/>
  <c r="K34" i="7" s="1"/>
  <c r="L35" i="7" s="1"/>
  <c r="E51" i="6"/>
  <c r="F50" i="6"/>
  <c r="G50" i="6" s="1"/>
  <c r="W52" i="6"/>
  <c r="X51" i="6"/>
  <c r="Y51" i="6" s="1"/>
  <c r="R73" i="9" l="1"/>
  <c r="S72" i="9"/>
  <c r="T72" i="9" s="1"/>
  <c r="F73" i="9"/>
  <c r="G73" i="9" s="1"/>
  <c r="E74" i="9"/>
  <c r="O35" i="7"/>
  <c r="M35" i="7"/>
  <c r="N35" i="7" s="1"/>
  <c r="P35" i="7" s="1"/>
  <c r="B35" i="7"/>
  <c r="W53" i="6"/>
  <c r="X52" i="6"/>
  <c r="Y52" i="6" s="1"/>
  <c r="F51" i="6"/>
  <c r="G51" i="6" s="1"/>
  <c r="E52" i="6"/>
  <c r="R74" i="9" l="1"/>
  <c r="S73" i="9"/>
  <c r="T73" i="9" s="1"/>
  <c r="E75" i="9"/>
  <c r="F75" i="9" s="1"/>
  <c r="G75" i="9" s="1"/>
  <c r="F74" i="9"/>
  <c r="G74" i="9" s="1"/>
  <c r="G35" i="7"/>
  <c r="C35" i="7"/>
  <c r="D35" i="7" s="1"/>
  <c r="F35" i="7" s="1"/>
  <c r="E35" i="7"/>
  <c r="E53" i="6"/>
  <c r="F52" i="6"/>
  <c r="G52" i="6" s="1"/>
  <c r="W54" i="6"/>
  <c r="X53" i="6"/>
  <c r="Y53" i="6" s="1"/>
  <c r="S74" i="9" l="1"/>
  <c r="T74" i="9" s="1"/>
  <c r="R75" i="9"/>
  <c r="S75" i="9" s="1"/>
  <c r="T75" i="9" s="1"/>
  <c r="Q35" i="7"/>
  <c r="J35" i="7"/>
  <c r="H35" i="7"/>
  <c r="I35" i="7" s="1"/>
  <c r="K35" i="7" s="1"/>
  <c r="L36" i="7" s="1"/>
  <c r="W55" i="6"/>
  <c r="X54" i="6"/>
  <c r="Y54" i="6" s="1"/>
  <c r="F53" i="6"/>
  <c r="G53" i="6" s="1"/>
  <c r="E54" i="6"/>
  <c r="O36" i="7" l="1"/>
  <c r="M36" i="7"/>
  <c r="N36" i="7" s="1"/>
  <c r="P36" i="7" s="1"/>
  <c r="B36" i="7"/>
  <c r="E55" i="6"/>
  <c r="F54" i="6"/>
  <c r="G54" i="6" s="1"/>
  <c r="W56" i="6"/>
  <c r="X55" i="6"/>
  <c r="Y55" i="6" s="1"/>
  <c r="G36" i="7" l="1"/>
  <c r="C36" i="7"/>
  <c r="D36" i="7" s="1"/>
  <c r="F36" i="7" s="1"/>
  <c r="E36" i="7"/>
  <c r="W57" i="6"/>
  <c r="X56" i="6"/>
  <c r="Y56" i="6" s="1"/>
  <c r="F55" i="6"/>
  <c r="G55" i="6" s="1"/>
  <c r="E56" i="6"/>
  <c r="Q36" i="7" l="1"/>
  <c r="J36" i="7"/>
  <c r="H36" i="7"/>
  <c r="I36" i="7" s="1"/>
  <c r="K36" i="7" s="1"/>
  <c r="L37" i="7" s="1"/>
  <c r="E57" i="6"/>
  <c r="F56" i="6"/>
  <c r="G56" i="6" s="1"/>
  <c r="W58" i="6"/>
  <c r="X57" i="6"/>
  <c r="Y57" i="6" s="1"/>
  <c r="O37" i="7" l="1"/>
  <c r="M37" i="7"/>
  <c r="N37" i="7" s="1"/>
  <c r="P37" i="7" s="1"/>
  <c r="B37" i="7"/>
  <c r="W59" i="6"/>
  <c r="X58" i="6"/>
  <c r="Y58" i="6" s="1"/>
  <c r="F57" i="6"/>
  <c r="G57" i="6" s="1"/>
  <c r="E58" i="6"/>
  <c r="G37" i="7" l="1"/>
  <c r="C37" i="7"/>
  <c r="D37" i="7" s="1"/>
  <c r="F37" i="7" s="1"/>
  <c r="E37" i="7"/>
  <c r="E59" i="6"/>
  <c r="F58" i="6"/>
  <c r="G58" i="6" s="1"/>
  <c r="W60" i="6"/>
  <c r="X59" i="6"/>
  <c r="Y59" i="6" s="1"/>
  <c r="H37" i="7" l="1"/>
  <c r="I37" i="7" s="1"/>
  <c r="K37" i="7" s="1"/>
  <c r="L38" i="7" s="1"/>
  <c r="J37" i="7"/>
  <c r="Q37" i="7"/>
  <c r="W61" i="6"/>
  <c r="X60" i="6"/>
  <c r="Y60" i="6" s="1"/>
  <c r="F59" i="6"/>
  <c r="G59" i="6" s="1"/>
  <c r="E60" i="6"/>
  <c r="O38" i="7" l="1"/>
  <c r="M38" i="7"/>
  <c r="N38" i="7" s="1"/>
  <c r="P38" i="7" s="1"/>
  <c r="B38" i="7"/>
  <c r="E61" i="6"/>
  <c r="F60" i="6"/>
  <c r="G60" i="6" s="1"/>
  <c r="W62" i="6"/>
  <c r="X61" i="6"/>
  <c r="Y61" i="6" s="1"/>
  <c r="G38" i="7" l="1"/>
  <c r="C38" i="7"/>
  <c r="D38" i="7" s="1"/>
  <c r="E38" i="7"/>
  <c r="W63" i="6"/>
  <c r="X62" i="6"/>
  <c r="Y62" i="6" s="1"/>
  <c r="F61" i="6"/>
  <c r="G61" i="6" s="1"/>
  <c r="E62" i="6"/>
  <c r="F38" i="7" l="1"/>
  <c r="H38" i="7"/>
  <c r="I38" i="7" s="1"/>
  <c r="K38" i="7" s="1"/>
  <c r="L39" i="7" s="1"/>
  <c r="J38" i="7"/>
  <c r="Q38" i="7"/>
  <c r="E63" i="6"/>
  <c r="F62" i="6"/>
  <c r="G62" i="6" s="1"/>
  <c r="W64" i="6"/>
  <c r="X63" i="6"/>
  <c r="Y63" i="6" s="1"/>
  <c r="O39" i="7" l="1"/>
  <c r="M39" i="7"/>
  <c r="N39" i="7" s="1"/>
  <c r="P39" i="7" s="1"/>
  <c r="B39" i="7"/>
  <c r="W65" i="6"/>
  <c r="X64" i="6"/>
  <c r="Y64" i="6" s="1"/>
  <c r="F63" i="6"/>
  <c r="G63" i="6" s="1"/>
  <c r="E64" i="6"/>
  <c r="G39" i="7" l="1"/>
  <c r="C39" i="7"/>
  <c r="D39" i="7" s="1"/>
  <c r="F39" i="7" s="1"/>
  <c r="E39" i="7"/>
  <c r="E65" i="6"/>
  <c r="F64" i="6"/>
  <c r="G64" i="6" s="1"/>
  <c r="W66" i="6"/>
  <c r="X65" i="6"/>
  <c r="Y65" i="6" s="1"/>
  <c r="H39" i="7" l="1"/>
  <c r="I39" i="7" s="1"/>
  <c r="J39" i="7"/>
  <c r="Q39" i="7"/>
  <c r="W67" i="6"/>
  <c r="X66" i="6"/>
  <c r="Y66" i="6" s="1"/>
  <c r="F65" i="6"/>
  <c r="G65" i="6" s="1"/>
  <c r="E66" i="6"/>
  <c r="K39" i="7" l="1"/>
  <c r="E67" i="6"/>
  <c r="F66" i="6"/>
  <c r="G66" i="6" s="1"/>
  <c r="W68" i="6"/>
  <c r="X67" i="6"/>
  <c r="Y67" i="6" s="1"/>
  <c r="L40" i="7" l="1"/>
  <c r="B40" i="7"/>
  <c r="W69" i="6"/>
  <c r="X68" i="6"/>
  <c r="Y68" i="6" s="1"/>
  <c r="F67" i="6"/>
  <c r="G67" i="6" s="1"/>
  <c r="E68" i="6"/>
  <c r="G40" i="7" l="1"/>
  <c r="C40" i="7"/>
  <c r="D40" i="7" s="1"/>
  <c r="F40" i="7" s="1"/>
  <c r="E40" i="7"/>
  <c r="O40" i="7"/>
  <c r="M40" i="7"/>
  <c r="N40" i="7" s="1"/>
  <c r="E69" i="6"/>
  <c r="F68" i="6"/>
  <c r="G68" i="6" s="1"/>
  <c r="W70" i="6"/>
  <c r="X69" i="6"/>
  <c r="Y69" i="6" s="1"/>
  <c r="P40" i="7" l="1"/>
  <c r="H40" i="7"/>
  <c r="I40" i="7" s="1"/>
  <c r="J40" i="7"/>
  <c r="Q40" i="7"/>
  <c r="W71" i="6"/>
  <c r="X70" i="6"/>
  <c r="Y70" i="6" s="1"/>
  <c r="F69" i="6"/>
  <c r="G69" i="6" s="1"/>
  <c r="E70" i="6"/>
  <c r="K40" i="7" l="1"/>
  <c r="E71" i="6"/>
  <c r="F70" i="6"/>
  <c r="G70" i="6" s="1"/>
  <c r="W72" i="6"/>
  <c r="X71" i="6"/>
  <c r="Y71" i="6" s="1"/>
  <c r="L41" i="7" l="1"/>
  <c r="B41" i="7"/>
  <c r="W73" i="6"/>
  <c r="X72" i="6"/>
  <c r="Y72" i="6" s="1"/>
  <c r="F71" i="6"/>
  <c r="G71" i="6" s="1"/>
  <c r="E72" i="6"/>
  <c r="G41" i="7" l="1"/>
  <c r="C41" i="7"/>
  <c r="D41" i="7" s="1"/>
  <c r="E41" i="7"/>
  <c r="O41" i="7"/>
  <c r="M41" i="7"/>
  <c r="N41" i="7" s="1"/>
  <c r="E73" i="6"/>
  <c r="F72" i="6"/>
  <c r="G72" i="6" s="1"/>
  <c r="W74" i="6"/>
  <c r="X73" i="6"/>
  <c r="Y73" i="6" s="1"/>
  <c r="F41" i="7" l="1"/>
  <c r="P41" i="7"/>
  <c r="H41" i="7"/>
  <c r="I41" i="7" s="1"/>
  <c r="K41" i="7" s="1"/>
  <c r="L42" i="7" s="1"/>
  <c r="J41" i="7"/>
  <c r="Q41" i="7"/>
  <c r="W75" i="6"/>
  <c r="X74" i="6"/>
  <c r="Y74" i="6" s="1"/>
  <c r="F73" i="6"/>
  <c r="G73" i="6" s="1"/>
  <c r="E74" i="6"/>
  <c r="X75" i="6" l="1"/>
  <c r="Y75" i="6" s="1"/>
  <c r="O42" i="7"/>
  <c r="M42" i="7"/>
  <c r="N42" i="7" s="1"/>
  <c r="P42" i="7" s="1"/>
  <c r="B42" i="7"/>
  <c r="E75" i="6"/>
  <c r="F74" i="6"/>
  <c r="G74" i="6" s="1"/>
  <c r="F75" i="6" l="1"/>
  <c r="G75" i="6" s="1"/>
  <c r="G42" i="7"/>
  <c r="C42" i="7"/>
  <c r="D42" i="7" s="1"/>
  <c r="F42" i="7" s="1"/>
  <c r="E42" i="7"/>
  <c r="H42" i="7" l="1"/>
  <c r="I42" i="7" s="1"/>
  <c r="J42" i="7"/>
  <c r="Q42" i="7"/>
  <c r="K42" i="7" l="1"/>
  <c r="L43" i="7" l="1"/>
  <c r="B43" i="7"/>
  <c r="G43" i="7" l="1"/>
  <c r="C43" i="7"/>
  <c r="D43" i="7" s="1"/>
  <c r="E43" i="7"/>
  <c r="O43" i="7"/>
  <c r="M43" i="7"/>
  <c r="N43" i="7" s="1"/>
  <c r="F43" i="7" l="1"/>
  <c r="P43" i="7"/>
  <c r="H43" i="7"/>
  <c r="I43" i="7" s="1"/>
  <c r="J43" i="7"/>
  <c r="Q43" i="7"/>
  <c r="K43" i="7" l="1"/>
  <c r="L44" i="7" s="1"/>
  <c r="B44" i="7" l="1"/>
  <c r="O44" i="7"/>
  <c r="M44" i="7"/>
  <c r="N44" i="7" s="1"/>
  <c r="P44" i="7" s="1"/>
  <c r="G44" i="7" l="1"/>
  <c r="C44" i="7"/>
  <c r="D44" i="7" s="1"/>
  <c r="E44" i="7"/>
  <c r="F44" i="7" l="1"/>
  <c r="H44" i="7"/>
  <c r="I44" i="7" s="1"/>
  <c r="K44" i="7" s="1"/>
  <c r="L45" i="7" s="1"/>
  <c r="J44" i="7"/>
  <c r="Q44" i="7"/>
  <c r="O45" i="7" l="1"/>
  <c r="M45" i="7"/>
  <c r="N45" i="7" s="1"/>
  <c r="P45" i="7" s="1"/>
  <c r="B45" i="7"/>
  <c r="G45" i="7" l="1"/>
  <c r="C45" i="7"/>
  <c r="D45" i="7" s="1"/>
  <c r="F45" i="7" s="1"/>
  <c r="E45" i="7"/>
  <c r="H45" i="7" l="1"/>
  <c r="I45" i="7" s="1"/>
  <c r="J45" i="7"/>
  <c r="Q45" i="7"/>
  <c r="K45" i="7" l="1"/>
  <c r="L46" i="7" l="1"/>
  <c r="B46" i="7"/>
  <c r="E46" i="7" l="1"/>
  <c r="G46" i="7"/>
  <c r="C46" i="7"/>
  <c r="D46" i="7" s="1"/>
  <c r="F46" i="7" s="1"/>
  <c r="M46" i="7"/>
  <c r="N46" i="7" s="1"/>
  <c r="P46" i="7" s="1"/>
  <c r="O46" i="7"/>
  <c r="J46" i="7" l="1"/>
  <c r="H46" i="7"/>
  <c r="I46" i="7" s="1"/>
  <c r="K46" i="7" s="1"/>
  <c r="L47" i="7" s="1"/>
  <c r="Q46" i="7"/>
  <c r="M47" i="7" l="1"/>
  <c r="N47" i="7" s="1"/>
  <c r="P47" i="7" s="1"/>
  <c r="O47" i="7"/>
  <c r="B47" i="7"/>
  <c r="E47" i="7" l="1"/>
  <c r="G47" i="7"/>
  <c r="C47" i="7"/>
  <c r="D47" i="7" s="1"/>
  <c r="F47" i="7" s="1"/>
  <c r="J47" i="7" l="1"/>
  <c r="H47" i="7"/>
  <c r="I47" i="7" s="1"/>
  <c r="K47" i="7" s="1"/>
  <c r="L48" i="7" s="1"/>
  <c r="Q47" i="7"/>
  <c r="M48" i="7" l="1"/>
  <c r="N48" i="7" s="1"/>
  <c r="P48" i="7" s="1"/>
  <c r="O48" i="7"/>
  <c r="B48" i="7"/>
  <c r="E48" i="7" l="1"/>
  <c r="G48" i="7"/>
  <c r="C48" i="7"/>
  <c r="D48" i="7" s="1"/>
  <c r="F48" i="7" s="1"/>
  <c r="J48" i="7" l="1"/>
  <c r="H48" i="7"/>
  <c r="I48" i="7" s="1"/>
  <c r="K48" i="7" s="1"/>
  <c r="L49" i="7" s="1"/>
  <c r="Q48" i="7"/>
  <c r="M49" i="7" l="1"/>
  <c r="N49" i="7" s="1"/>
  <c r="P49" i="7" s="1"/>
  <c r="O49" i="7"/>
  <c r="B49" i="7"/>
  <c r="E49" i="7" l="1"/>
  <c r="C49" i="7"/>
  <c r="D49" i="7" s="1"/>
  <c r="F49" i="7" s="1"/>
  <c r="G49" i="7"/>
  <c r="J49" i="7" l="1"/>
  <c r="H49" i="7"/>
  <c r="I49" i="7" s="1"/>
  <c r="K49" i="7" s="1"/>
  <c r="L50" i="7" s="1"/>
  <c r="Q49" i="7"/>
  <c r="M50" i="7" l="1"/>
  <c r="N50" i="7" s="1"/>
  <c r="P50" i="7" s="1"/>
  <c r="O50" i="7"/>
  <c r="B50" i="7"/>
  <c r="E50" i="7" l="1"/>
  <c r="G50" i="7"/>
  <c r="C50" i="7"/>
  <c r="D50" i="7" s="1"/>
  <c r="F50" i="7" s="1"/>
  <c r="J50" i="7" l="1"/>
  <c r="H50" i="7"/>
  <c r="I50" i="7" s="1"/>
  <c r="K50" i="7" s="1"/>
  <c r="L51" i="7" s="1"/>
  <c r="Q50" i="7"/>
  <c r="M51" i="7" l="1"/>
  <c r="N51" i="7" s="1"/>
  <c r="P51" i="7" s="1"/>
  <c r="O51" i="7"/>
  <c r="B51" i="7"/>
  <c r="E51" i="7" l="1"/>
  <c r="G51" i="7"/>
  <c r="C51" i="7"/>
  <c r="D51" i="7" s="1"/>
  <c r="F51" i="7" s="1"/>
  <c r="J51" i="7" l="1"/>
  <c r="H51" i="7"/>
  <c r="I51" i="7" s="1"/>
  <c r="K51" i="7" s="1"/>
  <c r="L52" i="7" s="1"/>
  <c r="Q51" i="7"/>
  <c r="M52" i="7" l="1"/>
  <c r="N52" i="7" s="1"/>
  <c r="O52" i="7"/>
  <c r="B52" i="7"/>
  <c r="E52" i="7" l="1"/>
  <c r="G52" i="7"/>
  <c r="C52" i="7"/>
  <c r="D52" i="7" s="1"/>
  <c r="F52" i="7" s="1"/>
  <c r="P52" i="7"/>
  <c r="J52" i="7" l="1"/>
  <c r="H52" i="7"/>
  <c r="I52" i="7" s="1"/>
  <c r="K52" i="7" s="1"/>
  <c r="L53" i="7" s="1"/>
  <c r="Q52" i="7"/>
  <c r="M53" i="7" l="1"/>
  <c r="N53" i="7" s="1"/>
  <c r="P53" i="7" s="1"/>
  <c r="O53" i="7"/>
  <c r="B53" i="7"/>
  <c r="E53" i="7" l="1"/>
  <c r="G53" i="7"/>
  <c r="C53" i="7"/>
  <c r="D53" i="7" s="1"/>
  <c r="F53" i="7" s="1"/>
  <c r="J53" i="7" l="1"/>
  <c r="Q53" i="7"/>
  <c r="H53" i="7"/>
  <c r="I53" i="7" s="1"/>
  <c r="K53" i="7" s="1"/>
  <c r="L54" i="7" s="1"/>
  <c r="M54" i="7" l="1"/>
  <c r="N54" i="7" s="1"/>
  <c r="O54" i="7"/>
  <c r="B54" i="7"/>
  <c r="E54" i="7" l="1"/>
  <c r="G54" i="7"/>
  <c r="C54" i="7"/>
  <c r="D54" i="7" s="1"/>
  <c r="F54" i="7" s="1"/>
  <c r="P54" i="7"/>
  <c r="J54" i="7" l="1"/>
  <c r="Q54" i="7"/>
  <c r="H54" i="7"/>
  <c r="I54" i="7" s="1"/>
  <c r="K54" i="7" s="1"/>
  <c r="L55" i="7" s="1"/>
  <c r="M55" i="7" l="1"/>
  <c r="N55" i="7" s="1"/>
  <c r="O55" i="7"/>
  <c r="B55" i="7"/>
  <c r="E55" i="7" l="1"/>
  <c r="G55" i="7"/>
  <c r="C55" i="7"/>
  <c r="D55" i="7" s="1"/>
  <c r="F55" i="7" s="1"/>
  <c r="P55" i="7"/>
  <c r="J55" i="7" l="1"/>
  <c r="Q55" i="7"/>
  <c r="H55" i="7"/>
  <c r="I55" i="7" s="1"/>
  <c r="K55" i="7" s="1"/>
  <c r="L56" i="7" s="1"/>
  <c r="B56" i="7" l="1"/>
  <c r="M56" i="7"/>
  <c r="N56" i="7" s="1"/>
  <c r="O56" i="7"/>
  <c r="P56" i="7" l="1"/>
  <c r="E56" i="7"/>
  <c r="G56" i="7"/>
  <c r="C56" i="7"/>
  <c r="D56" i="7" s="1"/>
  <c r="F56" i="7" s="1"/>
  <c r="J56" i="7" l="1"/>
  <c r="Q56" i="7"/>
  <c r="H56" i="7"/>
  <c r="I56" i="7" s="1"/>
  <c r="K56" i="7" s="1"/>
  <c r="L57" i="7" s="1"/>
  <c r="M57" i="7" l="1"/>
  <c r="N57" i="7" s="1"/>
  <c r="O57" i="7"/>
  <c r="B57" i="7"/>
  <c r="E57" i="7" l="1"/>
  <c r="G57" i="7"/>
  <c r="C57" i="7"/>
  <c r="D57" i="7" s="1"/>
  <c r="F57" i="7" s="1"/>
  <c r="P57" i="7"/>
  <c r="J57" i="7" l="1"/>
  <c r="Q57" i="7"/>
  <c r="H57" i="7"/>
  <c r="I57" i="7" s="1"/>
  <c r="K57" i="7" s="1"/>
  <c r="L58" i="7" s="1"/>
  <c r="M58" i="7" l="1"/>
  <c r="N58" i="7" s="1"/>
  <c r="P58" i="7" s="1"/>
  <c r="O58" i="7"/>
  <c r="B58" i="7"/>
  <c r="E58" i="7" l="1"/>
  <c r="G58" i="7"/>
  <c r="C58" i="7"/>
  <c r="D58" i="7" s="1"/>
  <c r="F58" i="7" s="1"/>
  <c r="J58" i="7" l="1"/>
  <c r="Q58" i="7"/>
  <c r="H58" i="7"/>
  <c r="I58" i="7" s="1"/>
  <c r="K58" i="7" s="1"/>
  <c r="L59" i="7" s="1"/>
  <c r="M59" i="7" l="1"/>
  <c r="N59" i="7" s="1"/>
  <c r="P59" i="7" s="1"/>
  <c r="O59" i="7"/>
  <c r="B59" i="7"/>
  <c r="E59" i="7" l="1"/>
  <c r="G59" i="7"/>
  <c r="C59" i="7"/>
  <c r="D59" i="7" s="1"/>
  <c r="F59" i="7" s="1"/>
  <c r="J59" i="7" l="1"/>
  <c r="Q59" i="7"/>
  <c r="H59" i="7"/>
  <c r="I59" i="7" s="1"/>
  <c r="K59" i="7" s="1"/>
  <c r="L60" i="7" s="1"/>
  <c r="M60" i="7" l="1"/>
  <c r="N60" i="7" s="1"/>
  <c r="P60" i="7" s="1"/>
  <c r="O60" i="7"/>
  <c r="B60" i="7"/>
  <c r="E60" i="7" l="1"/>
  <c r="G60" i="7"/>
  <c r="C60" i="7"/>
  <c r="D60" i="7" s="1"/>
  <c r="F60" i="7" l="1"/>
  <c r="J60" i="7"/>
  <c r="Q60" i="7"/>
  <c r="H60" i="7"/>
  <c r="I60" i="7" s="1"/>
  <c r="K60" i="7" s="1"/>
  <c r="L61" i="7" s="1"/>
  <c r="M61" i="7" l="1"/>
  <c r="N61" i="7" s="1"/>
  <c r="P61" i="7" s="1"/>
  <c r="O61" i="7"/>
  <c r="B61" i="7"/>
  <c r="E61" i="7" l="1"/>
  <c r="G61" i="7"/>
  <c r="C61" i="7"/>
  <c r="D61" i="7" s="1"/>
  <c r="F61" i="7" s="1"/>
  <c r="J61" i="7" l="1"/>
  <c r="Q61" i="7"/>
  <c r="H61" i="7"/>
  <c r="I61" i="7" s="1"/>
  <c r="K61" i="7" s="1"/>
  <c r="L62" i="7" s="1"/>
  <c r="M62" i="7" l="1"/>
  <c r="N62" i="7" s="1"/>
  <c r="O62" i="7"/>
  <c r="B62" i="7"/>
  <c r="P62" i="7" l="1"/>
  <c r="E62" i="7"/>
  <c r="G62" i="7"/>
  <c r="C62" i="7"/>
  <c r="D62" i="7" s="1"/>
  <c r="F62" i="7" s="1"/>
  <c r="J62" i="7" l="1"/>
  <c r="Q62" i="7"/>
  <c r="H62" i="7"/>
  <c r="I62" i="7" s="1"/>
  <c r="K62" i="7" s="1"/>
  <c r="L63" i="7" s="1"/>
  <c r="M63" i="7" l="1"/>
  <c r="N63" i="7" s="1"/>
  <c r="P63" i="7" s="1"/>
  <c r="O63" i="7"/>
  <c r="B63" i="7"/>
  <c r="E63" i="7" l="1"/>
  <c r="G63" i="7"/>
  <c r="C63" i="7"/>
  <c r="D63" i="7" s="1"/>
  <c r="F63" i="7" s="1"/>
  <c r="J63" i="7" l="1"/>
  <c r="Q63" i="7"/>
  <c r="H63" i="7"/>
  <c r="I63" i="7" s="1"/>
  <c r="K63" i="7" s="1"/>
  <c r="L64" i="7" s="1"/>
  <c r="M64" i="7" l="1"/>
  <c r="N64" i="7" s="1"/>
  <c r="O64" i="7"/>
  <c r="B64" i="7"/>
  <c r="P64" i="7" l="1"/>
  <c r="E64" i="7"/>
  <c r="G64" i="7"/>
  <c r="C64" i="7"/>
  <c r="D64" i="7" s="1"/>
  <c r="F64" i="7" s="1"/>
  <c r="J64" i="7" l="1"/>
  <c r="Q64" i="7"/>
  <c r="H64" i="7"/>
  <c r="I64" i="7" s="1"/>
  <c r="K64" i="7" s="1"/>
  <c r="L65" i="7" s="1"/>
  <c r="M65" i="7" l="1"/>
  <c r="N65" i="7" s="1"/>
  <c r="P65" i="7" s="1"/>
  <c r="O65" i="7"/>
  <c r="B65" i="7"/>
  <c r="E65" i="7" l="1"/>
  <c r="G65" i="7"/>
  <c r="C65" i="7"/>
  <c r="D65" i="7" s="1"/>
  <c r="F65" i="7" l="1"/>
  <c r="J65" i="7"/>
  <c r="Q65" i="7"/>
  <c r="H65" i="7"/>
  <c r="I65" i="7" s="1"/>
  <c r="K65" i="7" s="1"/>
  <c r="L66" i="7" s="1"/>
  <c r="M66" i="7" l="1"/>
  <c r="N66" i="7" s="1"/>
  <c r="P66" i="7" s="1"/>
  <c r="O66" i="7"/>
  <c r="B66" i="7"/>
  <c r="E66" i="7" l="1"/>
  <c r="G66" i="7"/>
  <c r="C66" i="7"/>
  <c r="D66" i="7" s="1"/>
  <c r="F66" i="7" s="1"/>
  <c r="C68" i="7" l="1"/>
  <c r="J66" i="7"/>
  <c r="Q66" i="7"/>
  <c r="H66" i="7"/>
  <c r="I66" i="7" s="1"/>
  <c r="K66" i="7" s="1"/>
  <c r="T26" i="7"/>
</calcChain>
</file>

<file path=xl/sharedStrings.xml><?xml version="1.0" encoding="utf-8"?>
<sst xmlns="http://schemas.openxmlformats.org/spreadsheetml/2006/main" count="1218" uniqueCount="425">
  <si>
    <t>Pin Region</t>
  </si>
  <si>
    <t>Buckling Geometri</t>
  </si>
  <si>
    <t>Jenis</t>
  </si>
  <si>
    <t>Nilai (cm)</t>
  </si>
  <si>
    <t>nilai (cm)</t>
  </si>
  <si>
    <t>Diameter Luar Pin</t>
  </si>
  <si>
    <t>Jari-jari Aktif</t>
  </si>
  <si>
    <t>Diameter Dalam Pin</t>
  </si>
  <si>
    <t>Tinggi Aktif</t>
  </si>
  <si>
    <t>Tebal Clad</t>
  </si>
  <si>
    <t>Bg2</t>
  </si>
  <si>
    <t>Diameter Gap</t>
  </si>
  <si>
    <t>Fuel Assembly</t>
  </si>
  <si>
    <t>Diameter Fuel</t>
  </si>
  <si>
    <t>Pitch</t>
  </si>
  <si>
    <t>Sisi Dalam</t>
  </si>
  <si>
    <t>Batas Utama R-X</t>
  </si>
  <si>
    <t>Sisi Luar</t>
  </si>
  <si>
    <t>Tebal FA</t>
  </si>
  <si>
    <t>Pitch Ekuivalen</t>
  </si>
  <si>
    <t>tinggi FA</t>
  </si>
  <si>
    <t>Jari - Jari Cladding</t>
  </si>
  <si>
    <t>Mean Chord Length</t>
  </si>
  <si>
    <t>Jari - jari Gap</t>
  </si>
  <si>
    <t>Jari - Jari Fuel</t>
  </si>
  <si>
    <t>Diameter luar</t>
  </si>
  <si>
    <t>Diameter dalam</t>
  </si>
  <si>
    <t>Fuel</t>
  </si>
  <si>
    <t>Tebal Reflektor</t>
  </si>
  <si>
    <t>Gap</t>
  </si>
  <si>
    <t>Clad</t>
  </si>
  <si>
    <t>Moderator</t>
  </si>
  <si>
    <t>Sub-Region</t>
  </si>
  <si>
    <t>Jumlah Pin Rod</t>
  </si>
  <si>
    <t>Data Dasar</t>
  </si>
  <si>
    <t>Parameter</t>
  </si>
  <si>
    <t>Nilai</t>
  </si>
  <si>
    <t>Satuan</t>
  </si>
  <si>
    <t>Sumber</t>
  </si>
  <si>
    <t>Avogadro</t>
  </si>
  <si>
    <t>partikel/mol</t>
  </si>
  <si>
    <t>Data NIST</t>
  </si>
  <si>
    <t>g/cm3</t>
  </si>
  <si>
    <t>Densitas Operasi UO2</t>
  </si>
  <si>
    <t>Suhu Rata2 Bahan Bakar</t>
  </si>
  <si>
    <t>K</t>
  </si>
  <si>
    <t>Densitas Moderator</t>
  </si>
  <si>
    <t>Suhu Rata2 Moderator</t>
  </si>
  <si>
    <t>Densitas GAP</t>
  </si>
  <si>
    <t>Suhu Rata2 GAP</t>
  </si>
  <si>
    <t>Tekanan Operasi</t>
  </si>
  <si>
    <t>psia</t>
  </si>
  <si>
    <t>Suhu rata2 cladding</t>
  </si>
  <si>
    <t>Pu-238</t>
  </si>
  <si>
    <t>Pu-239</t>
  </si>
  <si>
    <t>Pu-240</t>
  </si>
  <si>
    <t>Pu-241</t>
  </si>
  <si>
    <t>Pu-242</t>
  </si>
  <si>
    <t>FUE1A010</t>
  </si>
  <si>
    <t>Nuklida</t>
  </si>
  <si>
    <t>Kode</t>
  </si>
  <si>
    <t>Jumlah</t>
  </si>
  <si>
    <t>U-235</t>
  </si>
  <si>
    <t>XU050000</t>
  </si>
  <si>
    <t>U-238</t>
  </si>
  <si>
    <t>XU080000</t>
  </si>
  <si>
    <t>O</t>
  </si>
  <si>
    <t>XO060000</t>
  </si>
  <si>
    <t>GAP</t>
  </si>
  <si>
    <t>GAP1A020</t>
  </si>
  <si>
    <t>Mr He</t>
  </si>
  <si>
    <t>Cladding</t>
  </si>
  <si>
    <t>Densitas</t>
  </si>
  <si>
    <t>He</t>
  </si>
  <si>
    <t>XHE40000</t>
  </si>
  <si>
    <t>Komposisi Cladding</t>
  </si>
  <si>
    <t>Persentase</t>
  </si>
  <si>
    <t>Ar</t>
  </si>
  <si>
    <t>CLA1A030</t>
  </si>
  <si>
    <t>Guide Tube dan Control Rod</t>
  </si>
  <si>
    <t>GCR1A030</t>
  </si>
  <si>
    <t>Zr</t>
  </si>
  <si>
    <t>Mr Clad</t>
  </si>
  <si>
    <t>Sn</t>
  </si>
  <si>
    <t>Fe</t>
  </si>
  <si>
    <t>Cr</t>
  </si>
  <si>
    <t>Ni</t>
  </si>
  <si>
    <t>XZRN0000</t>
  </si>
  <si>
    <t>XSNN0000</t>
  </si>
  <si>
    <t>XFEN0000</t>
  </si>
  <si>
    <t>Struktur Fuel Assembly</t>
  </si>
  <si>
    <t>XCRN0000</t>
  </si>
  <si>
    <t>AISI 304 L stainless steel</t>
  </si>
  <si>
    <t>XNIN0000</t>
  </si>
  <si>
    <t>g/cc</t>
  </si>
  <si>
    <t>MOD1A040</t>
  </si>
  <si>
    <t>Komposisi</t>
  </si>
  <si>
    <t>Mr H2O</t>
  </si>
  <si>
    <t>C</t>
  </si>
  <si>
    <t>Mn</t>
  </si>
  <si>
    <t>H</t>
  </si>
  <si>
    <t>XH01H000</t>
  </si>
  <si>
    <t>P</t>
  </si>
  <si>
    <t>S</t>
  </si>
  <si>
    <t>SFA1A050</t>
  </si>
  <si>
    <t>Si</t>
  </si>
  <si>
    <t>Mr Struktur</t>
  </si>
  <si>
    <t>XC020000</t>
  </si>
  <si>
    <t>XMN50000</t>
  </si>
  <si>
    <t>XP0N0000</t>
  </si>
  <si>
    <t>XS0N0000</t>
  </si>
  <si>
    <t>XSIN0000</t>
  </si>
  <si>
    <t>MOX</t>
  </si>
  <si>
    <t>Pu-Vector</t>
  </si>
  <si>
    <t>Jumlah Nuklida</t>
  </si>
  <si>
    <t>Mr MOX</t>
  </si>
  <si>
    <t>Enrich (e) UO2</t>
  </si>
  <si>
    <t>1-e (UO2)</t>
  </si>
  <si>
    <t>% Massa Pu</t>
  </si>
  <si>
    <t>% Massa U</t>
  </si>
  <si>
    <t>XPU80000</t>
  </si>
  <si>
    <t>XPU90000</t>
  </si>
  <si>
    <t>XPU00000</t>
  </si>
  <si>
    <t>XPU10000</t>
  </si>
  <si>
    <t>XPU20000</t>
  </si>
  <si>
    <t>Fraksi Massa</t>
  </si>
  <si>
    <t>Gd2O3</t>
  </si>
  <si>
    <t>Mr Gd</t>
  </si>
  <si>
    <t>Mr O</t>
  </si>
  <si>
    <t>Nuklida Gd</t>
  </si>
  <si>
    <t>Gd-152</t>
  </si>
  <si>
    <t>Gd-154</t>
  </si>
  <si>
    <t>Gd-155</t>
  </si>
  <si>
    <t>Gd-156</t>
  </si>
  <si>
    <t>Gd-157</t>
  </si>
  <si>
    <t>Gd-158</t>
  </si>
  <si>
    <t>Gd-160</t>
  </si>
  <si>
    <t>XGD20000</t>
  </si>
  <si>
    <t>XGD40000</t>
  </si>
  <si>
    <t>XGD50000</t>
  </si>
  <si>
    <t>XGD60000</t>
  </si>
  <si>
    <t>XGD70000</t>
  </si>
  <si>
    <t>XGD80000</t>
  </si>
  <si>
    <t>XGD00000</t>
  </si>
  <si>
    <t>Mr MOX-Gd2O3</t>
  </si>
  <si>
    <t>Densitas Gd2O3</t>
  </si>
  <si>
    <t>Nilai (BU)</t>
  </si>
  <si>
    <t>Nilai SI</t>
  </si>
  <si>
    <t>Nilai yang dipakai</t>
  </si>
  <si>
    <t>Core</t>
  </si>
  <si>
    <t>Diameter</t>
  </si>
  <si>
    <t>Inch</t>
  </si>
  <si>
    <t>cm</t>
  </si>
  <si>
    <t>Active Fuel Height</t>
  </si>
  <si>
    <t>Array Batang BBN</t>
  </si>
  <si>
    <t>17x17</t>
  </si>
  <si>
    <t>Panjang</t>
  </si>
  <si>
    <t>FA Pitch</t>
  </si>
  <si>
    <t>Fuel Rod Pitch</t>
  </si>
  <si>
    <t>Jumlah Spacer</t>
  </si>
  <si>
    <t>Tinggi Spacer Grid</t>
  </si>
  <si>
    <t>Jumlah BBN Rod</t>
  </si>
  <si>
    <t>Jumlah Guide Tube per FA</t>
  </si>
  <si>
    <t>Jumlah Instrumentation Tubes per FA</t>
  </si>
  <si>
    <t>Tebal Struktur FA</t>
  </si>
  <si>
    <t>Fuel Rods</t>
  </si>
  <si>
    <t>Material Cladding</t>
  </si>
  <si>
    <t>MS*</t>
  </si>
  <si>
    <t>Zircalloy-4</t>
  </si>
  <si>
    <t>Diameter Luar Cladding</t>
  </si>
  <si>
    <t>Diameter Dalam Cladding</t>
  </si>
  <si>
    <t>Tebal Cladding</t>
  </si>
  <si>
    <t>Panjang Fuel Rod</t>
  </si>
  <si>
    <t>Fill Gas</t>
  </si>
  <si>
    <t>Helium</t>
  </si>
  <si>
    <t>Fuel Pellet</t>
  </si>
  <si>
    <t>96% TD</t>
  </si>
  <si>
    <t>Material</t>
  </si>
  <si>
    <t>UO2 (Sintered)</t>
  </si>
  <si>
    <t>Control Rod Assemblies</t>
  </si>
  <si>
    <t>Material Penyerap bagian Atas</t>
  </si>
  <si>
    <t>B4C</t>
  </si>
  <si>
    <t>Material Penyerap bagian Bawah</t>
  </si>
  <si>
    <t>Ag-In-Cd</t>
  </si>
  <si>
    <t>304 Stainless Steel</t>
  </si>
  <si>
    <t>Guide Tube</t>
  </si>
  <si>
    <t>Diameter Luar</t>
  </si>
  <si>
    <t>Diameter Dalam (diatas Dashpot)</t>
  </si>
  <si>
    <t>Diameter Dalam (di dalam Dashpot)</t>
  </si>
  <si>
    <t>Basic Core Parameter</t>
  </si>
  <si>
    <t>Daya Termal Teras</t>
  </si>
  <si>
    <t>MWt</t>
  </si>
  <si>
    <t>Panjang Fuel Cycle (sebelum harus refueling)</t>
  </si>
  <si>
    <t>Months</t>
  </si>
  <si>
    <t>Discharge burn-Up Rata-Rata</t>
  </si>
  <si>
    <t>MWd/ton</t>
  </si>
  <si>
    <t>Peak Linear Power</t>
  </si>
  <si>
    <t>kw/ft</t>
  </si>
  <si>
    <t>MW/cm</t>
  </si>
  <si>
    <t>Peak Linear Power per FA</t>
  </si>
  <si>
    <t>Tekanan Sistem Reaktor</t>
  </si>
  <si>
    <t>Suhu Fuel Pin</t>
  </si>
  <si>
    <t>F</t>
  </si>
  <si>
    <t>Note</t>
  </si>
  <si>
    <t>Suhu Inlet Coolant</t>
  </si>
  <si>
    <t>TD = Theoretical Density = 10.96 g/cm3</t>
  </si>
  <si>
    <t>Suhu Gap</t>
  </si>
  <si>
    <t>=</t>
  </si>
  <si>
    <t>Angka sementara. Belum yakin nilainya</t>
  </si>
  <si>
    <t>Suhu Cladding</t>
  </si>
  <si>
    <t>PbO</t>
  </si>
  <si>
    <t>WC</t>
  </si>
  <si>
    <t>Persentase*Ar</t>
  </si>
  <si>
    <t>Densitas (g/cm3)</t>
  </si>
  <si>
    <t>REFLEKTOR (REFL00R0)</t>
  </si>
  <si>
    <t>D9 (SS316/Austenitic Steel)</t>
  </si>
  <si>
    <t>Persentasi*Ar</t>
  </si>
  <si>
    <t>Mo</t>
  </si>
  <si>
    <t>XMON0000</t>
  </si>
  <si>
    <t>Ti</t>
  </si>
  <si>
    <t>XTIN0000</t>
  </si>
  <si>
    <t>HT9 (SS410/Ferritic Steel similar to SS-400s)</t>
  </si>
  <si>
    <t>W-184</t>
  </si>
  <si>
    <t>XW040000</t>
  </si>
  <si>
    <t>V</t>
  </si>
  <si>
    <t>XV0N0000</t>
  </si>
  <si>
    <t>Zr-2.5%Nb Alloy</t>
  </si>
  <si>
    <t>Nb</t>
  </si>
  <si>
    <t>XNB30000</t>
  </si>
  <si>
    <t>N</t>
  </si>
  <si>
    <t>XN040000</t>
  </si>
  <si>
    <t>XH010000</t>
  </si>
  <si>
    <t>Mr HT9</t>
  </si>
  <si>
    <t>Mr D9</t>
  </si>
  <si>
    <t>Mr Zr-2.5%Nb</t>
  </si>
  <si>
    <t>Mr PbO</t>
  </si>
  <si>
    <t>Pb</t>
  </si>
  <si>
    <t>Mr WC</t>
  </si>
  <si>
    <t>XPBN0000</t>
  </si>
  <si>
    <t>Volume Bahan Bakar</t>
  </si>
  <si>
    <t>cm3</t>
  </si>
  <si>
    <t>Massa Bahan Bakar</t>
  </si>
  <si>
    <t>g</t>
  </si>
  <si>
    <t>Ton</t>
  </si>
  <si>
    <t>varhd3</t>
  </si>
  <si>
    <t>FA 1</t>
  </si>
  <si>
    <t>FA 2</t>
  </si>
  <si>
    <t>H/D</t>
  </si>
  <si>
    <t>Diameter (cm)</t>
  </si>
  <si>
    <t>Tinggi (cm)</t>
  </si>
  <si>
    <t>Volume (cm3)</t>
  </si>
  <si>
    <t>Jari-jari Bahan Bakar</t>
  </si>
  <si>
    <t>Jumlah FA</t>
  </si>
  <si>
    <t>Jumlah Fuel Rod/FA</t>
  </si>
  <si>
    <t>Densitas Bahan Bakar (g/cm3)</t>
  </si>
  <si>
    <t>Massa Bahan Bakar (g)</t>
  </si>
  <si>
    <t>Jenis Cladding</t>
  </si>
  <si>
    <t>D9</t>
  </si>
  <si>
    <t>HT9</t>
  </si>
  <si>
    <t>% Pu</t>
  </si>
  <si>
    <t>Tinggi</t>
  </si>
  <si>
    <t>Inventori Aktinida (g)</t>
  </si>
  <si>
    <t>Nama</t>
  </si>
  <si>
    <t>Step</t>
  </si>
  <si>
    <t>Rentang (Jam)</t>
  </si>
  <si>
    <t>Jam</t>
  </si>
  <si>
    <t>Hari</t>
  </si>
  <si>
    <t>Tahun</t>
  </si>
  <si>
    <t>K-Efektif</t>
  </si>
  <si>
    <t>Conversion Ratio</t>
  </si>
  <si>
    <t>Aktinida</t>
  </si>
  <si>
    <t>Benchmark</t>
  </si>
  <si>
    <t>note:</t>
  </si>
  <si>
    <t>U-236</t>
  </si>
  <si>
    <t>BO1C</t>
  </si>
  <si>
    <t>step 2 diskip</t>
  </si>
  <si>
    <t>EO1C</t>
  </si>
  <si>
    <t>step 1 diskip</t>
  </si>
  <si>
    <t>EO2C</t>
  </si>
  <si>
    <t>EO3C</t>
  </si>
  <si>
    <t>varrefl1</t>
  </si>
  <si>
    <t>varrefl2</t>
  </si>
  <si>
    <t>varrefl3</t>
  </si>
  <si>
    <t>varrefl4</t>
  </si>
  <si>
    <t>varrefl5</t>
  </si>
  <si>
    <t>varrefl6</t>
  </si>
  <si>
    <t>Jenis Reflektor</t>
  </si>
  <si>
    <t>Grafit</t>
  </si>
  <si>
    <t>Massa Total BBN (g)</t>
  </si>
  <si>
    <t>Massa Konstan BBN (g)</t>
  </si>
  <si>
    <t xml:space="preserve">Jumlah Node Arah Z </t>
  </si>
  <si>
    <t>Ukuran per Node</t>
  </si>
  <si>
    <t>Volume Node</t>
  </si>
  <si>
    <t>R=165</t>
  </si>
  <si>
    <t>y\x</t>
  </si>
  <si>
    <t>R</t>
  </si>
  <si>
    <t>Relative Values</t>
  </si>
  <si>
    <t>Real Values</t>
  </si>
  <si>
    <t>Mesh Axial</t>
  </si>
  <si>
    <t>Top</t>
  </si>
  <si>
    <t>Bottom</t>
  </si>
  <si>
    <t>Reflektor SS304L</t>
  </si>
  <si>
    <t>Susunan 1/4 FA</t>
  </si>
  <si>
    <t>Jumlah Fuel Pin</t>
  </si>
  <si>
    <t>Jumlah CR</t>
  </si>
  <si>
    <t>Jumlah Guide Tube</t>
  </si>
  <si>
    <t>Tw</t>
  </si>
  <si>
    <t>2.pi().Rcli</t>
  </si>
  <si>
    <t>Suhu Rata2 Coolant</t>
  </si>
  <si>
    <t>Tfl</t>
  </si>
  <si>
    <t>b</t>
  </si>
  <si>
    <t>Suhu Rata2 Gap</t>
  </si>
  <si>
    <t>c</t>
  </si>
  <si>
    <t>Suhu Outlet Coolant</t>
  </si>
  <si>
    <t>Suhu rata2 Cladding</t>
  </si>
  <si>
    <t>m</t>
  </si>
  <si>
    <t>Peak Linear Power Per Fuel Pin</t>
  </si>
  <si>
    <t>W/cm</t>
  </si>
  <si>
    <t>q'</t>
  </si>
  <si>
    <t>Luas Area Konveksi</t>
  </si>
  <si>
    <t>m2</t>
  </si>
  <si>
    <t>pi</t>
  </si>
  <si>
    <t>Mass Flow</t>
  </si>
  <si>
    <t>kg/s</t>
  </si>
  <si>
    <t>Jari - Jari Cladding Dalam</t>
  </si>
  <si>
    <t>Rcli</t>
  </si>
  <si>
    <t>Coolant Velocity</t>
  </si>
  <si>
    <t>m/s</t>
  </si>
  <si>
    <t>Tebal Gap</t>
  </si>
  <si>
    <t>delta</t>
  </si>
  <si>
    <t>Properties of Water at Tfl,avg</t>
  </si>
  <si>
    <t>Konstanta Stephan-Boltzmann</t>
  </si>
  <si>
    <t>sigma kecil</t>
  </si>
  <si>
    <t>Fuel Emmisivity</t>
  </si>
  <si>
    <t>epsilon f</t>
  </si>
  <si>
    <t>asumsi sama dengan UO2</t>
  </si>
  <si>
    <t>Tekanan</t>
  </si>
  <si>
    <t>Cladding Emissivity</t>
  </si>
  <si>
    <t>epsilon c</t>
  </si>
  <si>
    <t>asumsi sama dengan Zr-1%Nb Alloy</t>
  </si>
  <si>
    <t>kg/m3</t>
  </si>
  <si>
    <t>A</t>
  </si>
  <si>
    <t>Viskositas (miu)</t>
  </si>
  <si>
    <t>Pa.s</t>
  </si>
  <si>
    <t>Cp</t>
  </si>
  <si>
    <t>kJ/kg.K</t>
  </si>
  <si>
    <t>Hitung Suhu GAP</t>
  </si>
  <si>
    <t>Konduktivitas</t>
  </si>
  <si>
    <t>W/m.K</t>
  </si>
  <si>
    <t>Iterasi</t>
  </si>
  <si>
    <t>Kiri</t>
  </si>
  <si>
    <t>Tengah</t>
  </si>
  <si>
    <t>Kanan</t>
  </si>
  <si>
    <t>Error</t>
  </si>
  <si>
    <t>Tcli</t>
  </si>
  <si>
    <t>B</t>
  </si>
  <si>
    <t>Hasil</t>
  </si>
  <si>
    <t>Perhitungan h (heat coefficient)</t>
  </si>
  <si>
    <t>Re</t>
  </si>
  <si>
    <t>Pr</t>
  </si>
  <si>
    <t>Nu</t>
  </si>
  <si>
    <t>h</t>
  </si>
  <si>
    <t>Perhitung Tclo</t>
  </si>
  <si>
    <t>Tclo</t>
  </si>
  <si>
    <t>Suhu Rata2 Cladding</t>
  </si>
  <si>
    <t>Tgap</t>
  </si>
  <si>
    <t>Fuel Assembly 1</t>
  </si>
  <si>
    <t>Komponen</t>
  </si>
  <si>
    <t>Penyusun</t>
  </si>
  <si>
    <t>Pengkayaan (Wt)</t>
  </si>
  <si>
    <t>Ar Isotop</t>
  </si>
  <si>
    <t>Ar Unsur</t>
  </si>
  <si>
    <t>Mr</t>
  </si>
  <si>
    <t>Abundance</t>
  </si>
  <si>
    <t>Mr Fuel (g/mol)</t>
  </si>
  <si>
    <t>Densitas (g/cc)</t>
  </si>
  <si>
    <t>Asumsi Massa (g)</t>
  </si>
  <si>
    <t>Massa Komponen (g)</t>
  </si>
  <si>
    <t>Volume Komponen (cc)</t>
  </si>
  <si>
    <t>Volume Total (cc)</t>
  </si>
  <si>
    <t>Fraksi Volume</t>
  </si>
  <si>
    <t>Densitas Campuran (versi volume) (g/cc)</t>
  </si>
  <si>
    <t>PuO2</t>
  </si>
  <si>
    <t>UO2</t>
  </si>
  <si>
    <t>Fuel Assembly 2</t>
  </si>
  <si>
    <t>Gd</t>
  </si>
  <si>
    <t>Zirc-4</t>
  </si>
  <si>
    <t>XP010000</t>
  </si>
  <si>
    <t>SS304L</t>
  </si>
  <si>
    <t>Mean Chord Length Reflektor</t>
  </si>
  <si>
    <t>Variasi</t>
  </si>
  <si>
    <t>Diam. Luar</t>
  </si>
  <si>
    <t>Diam. Dalam</t>
  </si>
  <si>
    <t>Tebal</t>
  </si>
  <si>
    <t>MCL</t>
  </si>
  <si>
    <t>Mr SS304L</t>
  </si>
  <si>
    <t>W/(cm2.K4)</t>
  </si>
  <si>
    <t>k/delta g</t>
  </si>
  <si>
    <t>Burn Up Steps</t>
  </si>
  <si>
    <t>Reflektor</t>
  </si>
  <si>
    <t>Tebal Aksial</t>
  </si>
  <si>
    <t>Tebal Radial</t>
  </si>
  <si>
    <t>Mr C</t>
  </si>
  <si>
    <t>varrefl7</t>
  </si>
  <si>
    <t>Zr-2.5%Nb</t>
  </si>
  <si>
    <t>Average</t>
  </si>
  <si>
    <t>BOC</t>
  </si>
  <si>
    <t>Axial Power Density of Best Design (varrefl3)</t>
  </si>
  <si>
    <t>Maksimum</t>
  </si>
  <si>
    <t>Minimum</t>
  </si>
  <si>
    <t>Densitas Daya Aksial</t>
  </si>
  <si>
    <t>varfuel12</t>
  </si>
  <si>
    <t>EO4C</t>
  </si>
  <si>
    <t>Volume BBN tiap Node</t>
  </si>
  <si>
    <t>Fraksi BBN di Node</t>
  </si>
  <si>
    <t>Untuk HIST</t>
  </si>
  <si>
    <t>BeO</t>
  </si>
  <si>
    <t>Be-9</t>
  </si>
  <si>
    <t>XO06E000</t>
  </si>
  <si>
    <t>XBE9E000</t>
  </si>
  <si>
    <t>Berilium Oksida</t>
  </si>
  <si>
    <t>varrefl8</t>
  </si>
  <si>
    <t>BMTest1</t>
  </si>
  <si>
    <t>BMTest2</t>
  </si>
  <si>
    <t>BMTest3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</si>
</sst>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0E+00"/>
    <numFmt numFmtId="165" formatCode="0.00000E+00"/>
    <numFmt numFmtId="166" formatCode="0.000"/>
    <numFmt numFmtId="167" formatCode="0.0000000E+00"/>
    <numFmt numFmtId="168" formatCode="0.000000000000"/>
    <numFmt numFmtId="169" formatCode="0.00000000"/>
    <numFmt numFmtId="170" formatCode="0.0000000"/>
    <numFmt numFmtId="171" formatCode="0.000000"/>
    <numFmt numFmtId="172" formatCode="0.0000E+00"/>
    <numFmt numFmtId="173" formatCode="0.0000000000000"/>
    <numFmt numFmtId="174" formatCode="0.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11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164" fontId="0" fillId="0" borderId="1" xfId="0" applyNumberFormat="1" applyBorder="1"/>
    <xf numFmtId="0" fontId="1" fillId="0" borderId="1" xfId="0" applyFont="1" applyBorder="1" applyAlignment="1"/>
    <xf numFmtId="0" fontId="1" fillId="0" borderId="0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14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165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Border="1" applyAlignment="1">
      <alignment horizontal="center" vertical="center"/>
    </xf>
    <xf numFmtId="9" fontId="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0" fillId="3" borderId="0" xfId="0" applyFill="1"/>
    <xf numFmtId="166" fontId="0" fillId="0" borderId="1" xfId="0" applyNumberFormat="1" applyBorder="1"/>
    <xf numFmtId="0" fontId="0" fillId="5" borderId="0" xfId="0" applyFill="1"/>
    <xf numFmtId="0" fontId="3" fillId="0" borderId="1" xfId="0" applyFont="1" applyBorder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/>
    </xf>
    <xf numFmtId="167" fontId="0" fillId="0" borderId="1" xfId="0" applyNumberFormat="1" applyBorder="1"/>
    <xf numFmtId="0" fontId="0" fillId="0" borderId="14" xfId="0" applyBorder="1"/>
    <xf numFmtId="0" fontId="4" fillId="0" borderId="1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0" fillId="0" borderId="4" xfId="0" applyBorder="1"/>
    <xf numFmtId="0" fontId="0" fillId="0" borderId="13" xfId="0" applyBorder="1"/>
    <xf numFmtId="0" fontId="0" fillId="0" borderId="6" xfId="0" applyBorder="1"/>
    <xf numFmtId="0" fontId="0" fillId="0" borderId="15" xfId="0" applyBorder="1"/>
    <xf numFmtId="0" fontId="0" fillId="0" borderId="9" xfId="0" applyBorder="1"/>
    <xf numFmtId="0" fontId="0" fillId="0" borderId="11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8" fontId="0" fillId="3" borderId="1" xfId="0" applyNumberFormat="1" applyFill="1" applyBorder="1"/>
    <xf numFmtId="169" fontId="0" fillId="0" borderId="1" xfId="0" applyNumberFormat="1" applyBorder="1"/>
    <xf numFmtId="0" fontId="0" fillId="0" borderId="7" xfId="0" applyBorder="1" applyAlignment="1"/>
    <xf numFmtId="0" fontId="0" fillId="0" borderId="0" xfId="0" applyBorder="1" applyAlignment="1"/>
    <xf numFmtId="0" fontId="0" fillId="0" borderId="1" xfId="0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70" fontId="0" fillId="0" borderId="1" xfId="0" applyNumberFormat="1" applyFill="1" applyBorder="1"/>
    <xf numFmtId="170" fontId="0" fillId="0" borderId="3" xfId="0" applyNumberFormat="1" applyFill="1" applyBorder="1"/>
    <xf numFmtId="170" fontId="0" fillId="0" borderId="4" xfId="0" applyNumberFormat="1" applyFill="1" applyBorder="1"/>
    <xf numFmtId="171" fontId="0" fillId="0" borderId="3" xfId="0" applyNumberFormat="1" applyFill="1" applyBorder="1"/>
    <xf numFmtId="0" fontId="0" fillId="0" borderId="1" xfId="0" applyNumberFormat="1" applyFill="1" applyBorder="1"/>
    <xf numFmtId="11" fontId="0" fillId="0" borderId="0" xfId="0" applyNumberFormat="1"/>
    <xf numFmtId="171" fontId="0" fillId="0" borderId="0" xfId="0" applyNumberFormat="1" applyFill="1"/>
    <xf numFmtId="0" fontId="0" fillId="0" borderId="4" xfId="0" applyFill="1" applyBorder="1"/>
    <xf numFmtId="0" fontId="0" fillId="0" borderId="15" xfId="0" applyBorder="1" applyAlignment="1"/>
    <xf numFmtId="0" fontId="0" fillId="0" borderId="0" xfId="0" applyFill="1" applyBorder="1" applyAlignment="1"/>
    <xf numFmtId="164" fontId="0" fillId="0" borderId="1" xfId="0" applyNumberFormat="1" applyFont="1" applyFill="1" applyBorder="1" applyAlignment="1">
      <alignment horizontal="center" vertical="center"/>
    </xf>
    <xf numFmtId="11" fontId="0" fillId="0" borderId="1" xfId="0" applyNumberFormat="1" applyFill="1" applyBorder="1"/>
    <xf numFmtId="0" fontId="0" fillId="0" borderId="7" xfId="0" applyBorder="1"/>
    <xf numFmtId="0" fontId="0" fillId="6" borderId="7" xfId="0" applyFill="1" applyBorder="1"/>
    <xf numFmtId="0" fontId="0" fillId="3" borderId="7" xfId="0" applyFill="1" applyBorder="1"/>
    <xf numFmtId="0" fontId="0" fillId="6" borderId="0" xfId="0" applyFill="1" applyBorder="1"/>
    <xf numFmtId="0" fontId="0" fillId="3" borderId="0" xfId="0" applyFill="1" applyBorder="1"/>
    <xf numFmtId="0" fontId="0" fillId="3" borderId="12" xfId="0" applyFill="1" applyBorder="1"/>
    <xf numFmtId="0" fontId="0" fillId="3" borderId="8" xfId="0" applyFill="1" applyBorder="1"/>
    <xf numFmtId="0" fontId="0" fillId="6" borderId="12" xfId="0" applyFill="1" applyBorder="1"/>
    <xf numFmtId="0" fontId="0" fillId="6" borderId="8" xfId="0" applyFill="1" applyBorder="1"/>
    <xf numFmtId="0" fontId="0" fillId="0" borderId="12" xfId="0" applyFill="1" applyBorder="1"/>
    <xf numFmtId="0" fontId="0" fillId="6" borderId="10" xfId="0" applyFill="1" applyBorder="1"/>
    <xf numFmtId="0" fontId="0" fillId="3" borderId="10" xfId="0" applyFill="1" applyBorder="1"/>
    <xf numFmtId="0" fontId="0" fillId="0" borderId="0" xfId="0" applyNumberFormat="1"/>
    <xf numFmtId="0" fontId="0" fillId="0" borderId="12" xfId="0" applyNumberFormat="1" applyFill="1" applyBorder="1"/>
    <xf numFmtId="0" fontId="0" fillId="0" borderId="0" xfId="0" applyNumberFormat="1" applyFill="1" applyBorder="1"/>
    <xf numFmtId="0" fontId="1" fillId="0" borderId="12" xfId="0" applyFont="1" applyFill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0" fillId="0" borderId="1" xfId="0" applyNumberFormat="1" applyFill="1" applyBorder="1"/>
    <xf numFmtId="170" fontId="0" fillId="0" borderId="0" xfId="0" applyNumberFormat="1"/>
    <xf numFmtId="0" fontId="0" fillId="0" borderId="0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69" fontId="0" fillId="0" borderId="0" xfId="0" applyNumberFormat="1"/>
    <xf numFmtId="0" fontId="6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right" vertical="center"/>
    </xf>
    <xf numFmtId="0" fontId="0" fillId="0" borderId="3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11" fontId="0" fillId="0" borderId="1" xfId="0" applyNumberFormat="1" applyFont="1" applyBorder="1" applyAlignment="1">
      <alignment horizontal="right"/>
    </xf>
    <xf numFmtId="11" fontId="0" fillId="0" borderId="1" xfId="0" applyNumberFormat="1" applyFont="1" applyBorder="1" applyAlignment="1"/>
    <xf numFmtId="0" fontId="0" fillId="0" borderId="1" xfId="0" applyNumberFormat="1" applyFont="1" applyFill="1" applyBorder="1" applyAlignment="1">
      <alignment horizontal="right"/>
    </xf>
    <xf numFmtId="0" fontId="0" fillId="0" borderId="3" xfId="0" applyNumberFormat="1" applyFont="1" applyFill="1" applyBorder="1" applyAlignment="1">
      <alignment horizontal="right"/>
    </xf>
    <xf numFmtId="11" fontId="0" fillId="0" borderId="1" xfId="0" applyNumberFormat="1" applyFont="1" applyFill="1" applyBorder="1" applyAlignment="1"/>
    <xf numFmtId="11" fontId="0" fillId="0" borderId="1" xfId="0" applyNumberFormat="1" applyFont="1" applyFill="1" applyBorder="1" applyAlignment="1">
      <alignment horizontal="right"/>
    </xf>
    <xf numFmtId="0" fontId="0" fillId="0" borderId="0" xfId="0" applyNumberFormat="1" applyBorder="1"/>
    <xf numFmtId="170" fontId="0" fillId="0" borderId="1" xfId="0" applyNumberFormat="1" applyBorder="1"/>
    <xf numFmtId="170" fontId="0" fillId="3" borderId="1" xfId="0" applyNumberFormat="1" applyFill="1" applyBorder="1"/>
    <xf numFmtId="171" fontId="0" fillId="0" borderId="1" xfId="0" applyNumberFormat="1" applyBorder="1"/>
    <xf numFmtId="171" fontId="0" fillId="0" borderId="1" xfId="0" applyNumberFormat="1" applyFill="1" applyBorder="1"/>
    <xf numFmtId="172" fontId="0" fillId="0" borderId="1" xfId="0" applyNumberFormat="1" applyBorder="1"/>
    <xf numFmtId="170" fontId="0" fillId="3" borderId="3" xfId="0" applyNumberFormat="1" applyFill="1" applyBorder="1"/>
    <xf numFmtId="0" fontId="0" fillId="3" borderId="4" xfId="0" applyFill="1" applyBorder="1"/>
    <xf numFmtId="170" fontId="0" fillId="3" borderId="4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0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164" fontId="0" fillId="0" borderId="0" xfId="0" applyNumberFormat="1" applyBorder="1"/>
    <xf numFmtId="0" fontId="1" fillId="0" borderId="1" xfId="0" applyFont="1" applyBorder="1" applyAlignment="1">
      <alignment horizontal="center" vertical="center"/>
    </xf>
    <xf numFmtId="164" fontId="0" fillId="0" borderId="0" xfId="0" applyNumberFormat="1"/>
    <xf numFmtId="170" fontId="0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17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" fontId="0" fillId="0" borderId="1" xfId="0" applyNumberFormat="1" applyFont="1" applyBorder="1"/>
    <xf numFmtId="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9" fontId="0" fillId="0" borderId="14" xfId="0" applyNumberFormat="1" applyFont="1" applyFill="1" applyBorder="1" applyAlignment="1">
      <alignment horizontal="center" vertical="center"/>
    </xf>
    <xf numFmtId="169" fontId="0" fillId="0" borderId="2" xfId="0" applyNumberFormat="1" applyFont="1" applyFill="1" applyBorder="1" applyAlignment="1">
      <alignment horizontal="center" vertical="center"/>
    </xf>
    <xf numFmtId="169" fontId="0" fillId="0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74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3" fontId="0" fillId="0" borderId="1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1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Hasil!$H$9:$H$10</c:f>
              <c:strCache>
                <c:ptCount val="2"/>
                <c:pt idx="0">
                  <c:v>K-Efektif</c:v>
                </c:pt>
                <c:pt idx="1">
                  <c:v>Benchmark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Hasil!$G$11:$G$75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Hasil!$H$11:$H$75</c:f>
              <c:numCache>
                <c:formatCode>General</c:formatCode>
                <c:ptCount val="65"/>
                <c:pt idx="0">
                  <c:v>1.1035820999999999</c:v>
                </c:pt>
                <c:pt idx="1">
                  <c:v>1.0720516</c:v>
                </c:pt>
                <c:pt idx="2">
                  <c:v>1.0714644</c:v>
                </c:pt>
                <c:pt idx="3">
                  <c:v>1.0695281999999999</c:v>
                </c:pt>
                <c:pt idx="4">
                  <c:v>1.0671405</c:v>
                </c:pt>
                <c:pt idx="5">
                  <c:v>1.0629377</c:v>
                </c:pt>
                <c:pt idx="6">
                  <c:v>1.0602526999999999</c:v>
                </c:pt>
                <c:pt idx="7">
                  <c:v>1.0544766999999999</c:v>
                </c:pt>
                <c:pt idx="8">
                  <c:v>1.0504937999999999</c:v>
                </c:pt>
                <c:pt idx="9">
                  <c:v>1.0487412</c:v>
                </c:pt>
                <c:pt idx="10">
                  <c:v>1.0501573</c:v>
                </c:pt>
                <c:pt idx="11">
                  <c:v>1.0563487</c:v>
                </c:pt>
                <c:pt idx="12">
                  <c:v>1.0669028</c:v>
                </c:pt>
                <c:pt idx="13">
                  <c:v>1.0802451</c:v>
                </c:pt>
                <c:pt idx="14">
                  <c:v>1.0899519</c:v>
                </c:pt>
                <c:pt idx="15">
                  <c:v>1.0890678</c:v>
                </c:pt>
                <c:pt idx="16">
                  <c:v>1.0850519000000001</c:v>
                </c:pt>
                <c:pt idx="17">
                  <c:v>1.0851443000000001</c:v>
                </c:pt>
                <c:pt idx="18">
                  <c:v>1.0796911</c:v>
                </c:pt>
                <c:pt idx="19">
                  <c:v>1.0745792000000001</c:v>
                </c:pt>
                <c:pt idx="20">
                  <c:v>1.0712229</c:v>
                </c:pt>
                <c:pt idx="21">
                  <c:v>1.0697478</c:v>
                </c:pt>
                <c:pt idx="22">
                  <c:v>1.0698274000000001</c:v>
                </c:pt>
                <c:pt idx="23">
                  <c:v>1.0695101</c:v>
                </c:pt>
                <c:pt idx="24">
                  <c:v>1.0673044</c:v>
                </c:pt>
                <c:pt idx="25">
                  <c:v>1.0648493999999999</c:v>
                </c:pt>
                <c:pt idx="26">
                  <c:v>1.0614775000000001</c:v>
                </c:pt>
                <c:pt idx="27">
                  <c:v>1.0575437999999999</c:v>
                </c:pt>
                <c:pt idx="28">
                  <c:v>1.0540456</c:v>
                </c:pt>
                <c:pt idx="29">
                  <c:v>1.0503513</c:v>
                </c:pt>
                <c:pt idx="30">
                  <c:v>1.0474490000000001</c:v>
                </c:pt>
                <c:pt idx="31">
                  <c:v>1.0447061</c:v>
                </c:pt>
                <c:pt idx="32">
                  <c:v>1.0425732000000001</c:v>
                </c:pt>
                <c:pt idx="33">
                  <c:v>1.0401376</c:v>
                </c:pt>
                <c:pt idx="34">
                  <c:v>1.0378569</c:v>
                </c:pt>
                <c:pt idx="35">
                  <c:v>1.0353406999999999</c:v>
                </c:pt>
                <c:pt idx="36">
                  <c:v>1.0330321</c:v>
                </c:pt>
                <c:pt idx="37">
                  <c:v>1.0311634999999999</c:v>
                </c:pt>
                <c:pt idx="38">
                  <c:v>1.0291526</c:v>
                </c:pt>
                <c:pt idx="39">
                  <c:v>1.0268739</c:v>
                </c:pt>
                <c:pt idx="40">
                  <c:v>1.0250367</c:v>
                </c:pt>
                <c:pt idx="41">
                  <c:v>1.0250587</c:v>
                </c:pt>
                <c:pt idx="42">
                  <c:v>1.0225519000000001</c:v>
                </c:pt>
                <c:pt idx="43">
                  <c:v>1.020472</c:v>
                </c:pt>
                <c:pt idx="44">
                  <c:v>1.0181636000000001</c:v>
                </c:pt>
                <c:pt idx="45">
                  <c:v>1.0158895999999999</c:v>
                </c:pt>
                <c:pt idx="46">
                  <c:v>1.0137388000000001</c:v>
                </c:pt>
                <c:pt idx="47">
                  <c:v>1.0113713</c:v>
                </c:pt>
                <c:pt idx="48">
                  <c:v>1.0090014</c:v>
                </c:pt>
                <c:pt idx="49">
                  <c:v>1.0065010000000001</c:v>
                </c:pt>
                <c:pt idx="50">
                  <c:v>1.0039393000000001</c:v>
                </c:pt>
                <c:pt idx="51">
                  <c:v>1.0015129</c:v>
                </c:pt>
                <c:pt idx="52">
                  <c:v>0.99908710000000001</c:v>
                </c:pt>
                <c:pt idx="53">
                  <c:v>0.99624159999999995</c:v>
                </c:pt>
                <c:pt idx="54">
                  <c:v>0.9936526</c:v>
                </c:pt>
                <c:pt idx="55">
                  <c:v>0.99117449999999996</c:v>
                </c:pt>
                <c:pt idx="56">
                  <c:v>0.9884406</c:v>
                </c:pt>
                <c:pt idx="57">
                  <c:v>0.98535010000000001</c:v>
                </c:pt>
                <c:pt idx="58">
                  <c:v>0.98233159999999997</c:v>
                </c:pt>
                <c:pt idx="59">
                  <c:v>0.97935530000000004</c:v>
                </c:pt>
                <c:pt idx="60">
                  <c:v>0.97600469999999995</c:v>
                </c:pt>
                <c:pt idx="61">
                  <c:v>0.97261629999999999</c:v>
                </c:pt>
                <c:pt idx="62">
                  <c:v>0.96926179999999995</c:v>
                </c:pt>
                <c:pt idx="63">
                  <c:v>0.96584119999999996</c:v>
                </c:pt>
                <c:pt idx="64">
                  <c:v>0.96243809999999996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Hasil!$I$9:$I$10</c:f>
              <c:strCache>
                <c:ptCount val="2"/>
                <c:pt idx="0">
                  <c:v>K-Efektif</c:v>
                </c:pt>
                <c:pt idx="1">
                  <c:v>varrefl1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Hasil!$G$11:$G$75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Hasil!$I$11:$I$75</c:f>
              <c:numCache>
                <c:formatCode>0.0000000</c:formatCode>
                <c:ptCount val="65"/>
                <c:pt idx="0">
                  <c:v>1.0745932</c:v>
                </c:pt>
                <c:pt idx="1">
                  <c:v>1.0656914</c:v>
                </c:pt>
                <c:pt idx="2">
                  <c:v>1.0656106000000001</c:v>
                </c:pt>
                <c:pt idx="3">
                  <c:v>1.0648196000000001</c:v>
                </c:pt>
                <c:pt idx="4">
                  <c:v>1.0638406</c:v>
                </c:pt>
                <c:pt idx="5">
                  <c:v>1.0618764999999999</c:v>
                </c:pt>
                <c:pt idx="6">
                  <c:v>1.0602205</c:v>
                </c:pt>
                <c:pt idx="7">
                  <c:v>1.0562358000000001</c:v>
                </c:pt>
                <c:pt idx="8">
                  <c:v>1.0532428</c:v>
                </c:pt>
                <c:pt idx="9">
                  <c:v>1.0508776</c:v>
                </c:pt>
                <c:pt idx="10">
                  <c:v>1.0489609</c:v>
                </c:pt>
                <c:pt idx="11">
                  <c:v>1.0474032</c:v>
                </c:pt>
                <c:pt idx="12">
                  <c:v>1.0461530999999999</c:v>
                </c:pt>
                <c:pt idx="13">
                  <c:v>1.0451379000000001</c:v>
                </c:pt>
                <c:pt idx="14">
                  <c:v>1.0442697000000001</c:v>
                </c:pt>
                <c:pt idx="15">
                  <c:v>1.0436566</c:v>
                </c:pt>
                <c:pt idx="16">
                  <c:v>1.0430387000000001</c:v>
                </c:pt>
                <c:pt idx="17">
                  <c:v>1.0430428</c:v>
                </c:pt>
                <c:pt idx="18">
                  <c:v>1.0426381</c:v>
                </c:pt>
                <c:pt idx="19">
                  <c:v>1.0421115000000001</c:v>
                </c:pt>
                <c:pt idx="20">
                  <c:v>1.0415988</c:v>
                </c:pt>
                <c:pt idx="21">
                  <c:v>1.0408980999999999</c:v>
                </c:pt>
                <c:pt idx="22">
                  <c:v>1.0400794</c:v>
                </c:pt>
                <c:pt idx="23">
                  <c:v>1.0391518</c:v>
                </c:pt>
                <c:pt idx="24">
                  <c:v>1.0381351000000001</c:v>
                </c:pt>
                <c:pt idx="25">
                  <c:v>1.0369192</c:v>
                </c:pt>
                <c:pt idx="26">
                  <c:v>1.0356278000000001</c:v>
                </c:pt>
                <c:pt idx="27">
                  <c:v>1.0344168</c:v>
                </c:pt>
                <c:pt idx="28">
                  <c:v>1.0332698</c:v>
                </c:pt>
                <c:pt idx="29">
                  <c:v>1.0317752</c:v>
                </c:pt>
                <c:pt idx="30">
                  <c:v>1.0304869000000001</c:v>
                </c:pt>
                <c:pt idx="31">
                  <c:v>1.0292337</c:v>
                </c:pt>
                <c:pt idx="32">
                  <c:v>1.0279588</c:v>
                </c:pt>
                <c:pt idx="33">
                  <c:v>1.0266869999999999</c:v>
                </c:pt>
                <c:pt idx="34">
                  <c:v>1.0253702</c:v>
                </c:pt>
                <c:pt idx="35">
                  <c:v>1.024044</c:v>
                </c:pt>
                <c:pt idx="36">
                  <c:v>1.0227782999999999</c:v>
                </c:pt>
                <c:pt idx="37">
                  <c:v>1.0214380000000001</c:v>
                </c:pt>
                <c:pt idx="38">
                  <c:v>1.0200549000000001</c:v>
                </c:pt>
                <c:pt idx="39">
                  <c:v>1.0187457</c:v>
                </c:pt>
                <c:pt idx="40">
                  <c:v>1.0173752</c:v>
                </c:pt>
                <c:pt idx="41">
                  <c:v>1.0173873</c:v>
                </c:pt>
                <c:pt idx="42">
                  <c:v>1.0160203000000001</c:v>
                </c:pt>
                <c:pt idx="43">
                  <c:v>1.0146637999999999</c:v>
                </c:pt>
                <c:pt idx="44">
                  <c:v>1.0133046999999999</c:v>
                </c:pt>
                <c:pt idx="45">
                  <c:v>1.0120106</c:v>
                </c:pt>
                <c:pt idx="46">
                  <c:v>1.0106820999999999</c:v>
                </c:pt>
                <c:pt idx="47">
                  <c:v>1.0094205000000001</c:v>
                </c:pt>
                <c:pt idx="48">
                  <c:v>1.008127</c:v>
                </c:pt>
                <c:pt idx="49">
                  <c:v>1.0068051</c:v>
                </c:pt>
                <c:pt idx="50">
                  <c:v>1.0055107999999999</c:v>
                </c:pt>
                <c:pt idx="51">
                  <c:v>1.0042127000000001</c:v>
                </c:pt>
                <c:pt idx="52">
                  <c:v>1.0029273000000001</c:v>
                </c:pt>
                <c:pt idx="53">
                  <c:v>1.0014189</c:v>
                </c:pt>
                <c:pt idx="54">
                  <c:v>1.0002622999999999</c:v>
                </c:pt>
                <c:pt idx="55">
                  <c:v>0.99881200000000003</c:v>
                </c:pt>
                <c:pt idx="56">
                  <c:v>0.99764600000000003</c:v>
                </c:pt>
                <c:pt idx="57">
                  <c:v>0.99633769999999999</c:v>
                </c:pt>
                <c:pt idx="58">
                  <c:v>0.99509420000000004</c:v>
                </c:pt>
                <c:pt idx="59">
                  <c:v>0.99395199999999995</c:v>
                </c:pt>
                <c:pt idx="60">
                  <c:v>0.99254730000000002</c:v>
                </c:pt>
                <c:pt idx="61">
                  <c:v>0.99136219999999997</c:v>
                </c:pt>
                <c:pt idx="62">
                  <c:v>0.99005889999999996</c:v>
                </c:pt>
                <c:pt idx="63">
                  <c:v>0.98900189999999999</c:v>
                </c:pt>
                <c:pt idx="64">
                  <c:v>0.98756820000000001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Hasil!$J$9:$J$10</c:f>
              <c:strCache>
                <c:ptCount val="2"/>
                <c:pt idx="0">
                  <c:v>K-Efektif</c:v>
                </c:pt>
                <c:pt idx="1">
                  <c:v>varrefl2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Hasil!$G$11:$G$75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Hasil!$J$11:$J$75</c:f>
              <c:numCache>
                <c:formatCode>0.0000000</c:formatCode>
                <c:ptCount val="65"/>
                <c:pt idx="0">
                  <c:v>1.0745597</c:v>
                </c:pt>
                <c:pt idx="1">
                  <c:v>1.0656767</c:v>
                </c:pt>
                <c:pt idx="2">
                  <c:v>1.0655922</c:v>
                </c:pt>
                <c:pt idx="3">
                  <c:v>1.0647941000000001</c:v>
                </c:pt>
                <c:pt idx="4">
                  <c:v>1.0638181</c:v>
                </c:pt>
                <c:pt idx="5">
                  <c:v>1.0618544000000001</c:v>
                </c:pt>
                <c:pt idx="6">
                  <c:v>1.0601986999999999</c:v>
                </c:pt>
                <c:pt idx="7">
                  <c:v>1.0562085999999999</c:v>
                </c:pt>
                <c:pt idx="8">
                  <c:v>1.0532238</c:v>
                </c:pt>
                <c:pt idx="9">
                  <c:v>1.0508580999999999</c:v>
                </c:pt>
                <c:pt idx="10">
                  <c:v>1.0489425999999999</c:v>
                </c:pt>
                <c:pt idx="11">
                  <c:v>1.0473676000000001</c:v>
                </c:pt>
                <c:pt idx="12">
                  <c:v>1.0461228</c:v>
                </c:pt>
                <c:pt idx="13">
                  <c:v>1.0451082</c:v>
                </c:pt>
                <c:pt idx="14">
                  <c:v>1.0442426</c:v>
                </c:pt>
                <c:pt idx="15">
                  <c:v>1.0436437999999999</c:v>
                </c:pt>
                <c:pt idx="16">
                  <c:v>1.0430187</c:v>
                </c:pt>
                <c:pt idx="17">
                  <c:v>1.043023</c:v>
                </c:pt>
                <c:pt idx="18">
                  <c:v>1.0426207999999999</c:v>
                </c:pt>
                <c:pt idx="19">
                  <c:v>1.0420834999999999</c:v>
                </c:pt>
                <c:pt idx="20">
                  <c:v>1.0415748</c:v>
                </c:pt>
                <c:pt idx="21">
                  <c:v>1.0408621</c:v>
                </c:pt>
                <c:pt idx="22">
                  <c:v>1.0400457000000001</c:v>
                </c:pt>
                <c:pt idx="23">
                  <c:v>1.0391104</c:v>
                </c:pt>
                <c:pt idx="24">
                  <c:v>1.038097</c:v>
                </c:pt>
                <c:pt idx="25">
                  <c:v>1.036877</c:v>
                </c:pt>
                <c:pt idx="26">
                  <c:v>1.0355827</c:v>
                </c:pt>
                <c:pt idx="27">
                  <c:v>1.0343705000000001</c:v>
                </c:pt>
                <c:pt idx="28">
                  <c:v>1.0332387999999999</c:v>
                </c:pt>
                <c:pt idx="29">
                  <c:v>1.0317314</c:v>
                </c:pt>
                <c:pt idx="30">
                  <c:v>1.0304389</c:v>
                </c:pt>
                <c:pt idx="31">
                  <c:v>1.0291920000000001</c:v>
                </c:pt>
                <c:pt idx="32">
                  <c:v>1.0279247</c:v>
                </c:pt>
                <c:pt idx="33">
                  <c:v>1.0266713000000001</c:v>
                </c:pt>
                <c:pt idx="34">
                  <c:v>1.0253471999999999</c:v>
                </c:pt>
                <c:pt idx="35">
                  <c:v>1.0240349</c:v>
                </c:pt>
                <c:pt idx="36">
                  <c:v>1.022745</c:v>
                </c:pt>
                <c:pt idx="37">
                  <c:v>1.0214331000000001</c:v>
                </c:pt>
                <c:pt idx="38">
                  <c:v>1.0200564000000001</c:v>
                </c:pt>
                <c:pt idx="39">
                  <c:v>1.0187109999999999</c:v>
                </c:pt>
                <c:pt idx="40">
                  <c:v>1.017385</c:v>
                </c:pt>
                <c:pt idx="41">
                  <c:v>1.0174004000000001</c:v>
                </c:pt>
                <c:pt idx="42">
                  <c:v>1.0160593</c:v>
                </c:pt>
                <c:pt idx="43">
                  <c:v>1.0146888000000001</c:v>
                </c:pt>
                <c:pt idx="44">
                  <c:v>1.0133668</c:v>
                </c:pt>
                <c:pt idx="45">
                  <c:v>1.0120547</c:v>
                </c:pt>
                <c:pt idx="46">
                  <c:v>1.0107645000000001</c:v>
                </c:pt>
                <c:pt idx="47">
                  <c:v>1.0094836</c:v>
                </c:pt>
                <c:pt idx="48">
                  <c:v>1.0081471</c:v>
                </c:pt>
                <c:pt idx="49">
                  <c:v>1.0068178000000001</c:v>
                </c:pt>
                <c:pt idx="50">
                  <c:v>1.0055320000000001</c:v>
                </c:pt>
                <c:pt idx="51">
                  <c:v>1.0042576000000001</c:v>
                </c:pt>
                <c:pt idx="52">
                  <c:v>1.0029600999999999</c:v>
                </c:pt>
                <c:pt idx="53">
                  <c:v>1.0014293000000001</c:v>
                </c:pt>
                <c:pt idx="54">
                  <c:v>1.0001842999999999</c:v>
                </c:pt>
                <c:pt idx="55" formatCode="General">
                  <c:v>0.99890239999999997</c:v>
                </c:pt>
                <c:pt idx="56" formatCode="General">
                  <c:v>0.99767019999999995</c:v>
                </c:pt>
                <c:pt idx="57" formatCode="General">
                  <c:v>0.99638199999999999</c:v>
                </c:pt>
                <c:pt idx="58" formatCode="General">
                  <c:v>0.99510639999999995</c:v>
                </c:pt>
                <c:pt idx="59" formatCode="General">
                  <c:v>0.99387000000000003</c:v>
                </c:pt>
                <c:pt idx="60" formatCode="General">
                  <c:v>0.99263699999999999</c:v>
                </c:pt>
                <c:pt idx="61" formatCode="General">
                  <c:v>0.99135949999999995</c:v>
                </c:pt>
                <c:pt idx="62" formatCode="General">
                  <c:v>0.99012940000000005</c:v>
                </c:pt>
                <c:pt idx="63" formatCode="General">
                  <c:v>0.98892080000000004</c:v>
                </c:pt>
                <c:pt idx="64" formatCode="General">
                  <c:v>0.98766770000000004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Hasil!$K$9:$K$10</c:f>
              <c:strCache>
                <c:ptCount val="2"/>
                <c:pt idx="0">
                  <c:v>K-Efektif</c:v>
                </c:pt>
                <c:pt idx="1">
                  <c:v>varrefl3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Hasil!$G$11:$G$75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Hasil!$K$11:$K$75</c:f>
              <c:numCache>
                <c:formatCode>General</c:formatCode>
                <c:ptCount val="65"/>
                <c:pt idx="0">
                  <c:v>1.0745594999999999</c:v>
                </c:pt>
                <c:pt idx="1">
                  <c:v>1.0656475000000001</c:v>
                </c:pt>
                <c:pt idx="2">
                  <c:v>1.0655701</c:v>
                </c:pt>
                <c:pt idx="3">
                  <c:v>1.0647770999999999</c:v>
                </c:pt>
                <c:pt idx="4">
                  <c:v>1.0637968</c:v>
                </c:pt>
                <c:pt idx="5">
                  <c:v>1.0618308999999999</c:v>
                </c:pt>
                <c:pt idx="6">
                  <c:v>1.0601798</c:v>
                </c:pt>
                <c:pt idx="7">
                  <c:v>1.0561908</c:v>
                </c:pt>
                <c:pt idx="8">
                  <c:v>1.0531955</c:v>
                </c:pt>
                <c:pt idx="9">
                  <c:v>1.0508466999999999</c:v>
                </c:pt>
                <c:pt idx="10">
                  <c:v>1.0489265999999999</c:v>
                </c:pt>
                <c:pt idx="11">
                  <c:v>1.0473504</c:v>
                </c:pt>
                <c:pt idx="12">
                  <c:v>1.0461038</c:v>
                </c:pt>
                <c:pt idx="13">
                  <c:v>1.0450888</c:v>
                </c:pt>
                <c:pt idx="14">
                  <c:v>1.0442228</c:v>
                </c:pt>
                <c:pt idx="15">
                  <c:v>1.0436192</c:v>
                </c:pt>
                <c:pt idx="16">
                  <c:v>1.0429989</c:v>
                </c:pt>
                <c:pt idx="17">
                  <c:v>1.0430029999999999</c:v>
                </c:pt>
                <c:pt idx="18">
                  <c:v>1.0426009999999999</c:v>
                </c:pt>
                <c:pt idx="19">
                  <c:v>1.0420611</c:v>
                </c:pt>
                <c:pt idx="20">
                  <c:v>1.0415521999999999</c:v>
                </c:pt>
                <c:pt idx="21">
                  <c:v>1.0408427</c:v>
                </c:pt>
                <c:pt idx="22">
                  <c:v>1.0400267000000001</c:v>
                </c:pt>
                <c:pt idx="23">
                  <c:v>1.0390877999999999</c:v>
                </c:pt>
                <c:pt idx="24">
                  <c:v>1.0380731000000001</c:v>
                </c:pt>
                <c:pt idx="25">
                  <c:v>1.0368459999999999</c:v>
                </c:pt>
                <c:pt idx="26">
                  <c:v>1.0355585</c:v>
                </c:pt>
                <c:pt idx="27">
                  <c:v>1.0343405000000001</c:v>
                </c:pt>
                <c:pt idx="28">
                  <c:v>1.0332029</c:v>
                </c:pt>
                <c:pt idx="29">
                  <c:v>1.0316997000000001</c:v>
                </c:pt>
                <c:pt idx="30">
                  <c:v>1.0303998000000001</c:v>
                </c:pt>
                <c:pt idx="31">
                  <c:v>1.0291595</c:v>
                </c:pt>
                <c:pt idx="32">
                  <c:v>1.0278727000000001</c:v>
                </c:pt>
                <c:pt idx="33">
                  <c:v>1.0265964999999999</c:v>
                </c:pt>
                <c:pt idx="34">
                  <c:v>1.0252726999999999</c:v>
                </c:pt>
                <c:pt idx="35">
                  <c:v>1.0239493</c:v>
                </c:pt>
                <c:pt idx="36">
                  <c:v>1.0226521</c:v>
                </c:pt>
                <c:pt idx="37">
                  <c:v>1.0213428</c:v>
                </c:pt>
                <c:pt idx="38">
                  <c:v>1.0198961</c:v>
                </c:pt>
                <c:pt idx="39">
                  <c:v>1.0186191</c:v>
                </c:pt>
                <c:pt idx="40">
                  <c:v>1.0172759</c:v>
                </c:pt>
                <c:pt idx="41">
                  <c:v>1.0172950000000001</c:v>
                </c:pt>
                <c:pt idx="42">
                  <c:v>1.0159265</c:v>
                </c:pt>
                <c:pt idx="43">
                  <c:v>1.0146016</c:v>
                </c:pt>
                <c:pt idx="44">
                  <c:v>1.0132095000000001</c:v>
                </c:pt>
                <c:pt idx="45">
                  <c:v>1.0119022</c:v>
                </c:pt>
                <c:pt idx="46">
                  <c:v>1.0105983999999999</c:v>
                </c:pt>
                <c:pt idx="47">
                  <c:v>1.0093479999999999</c:v>
                </c:pt>
                <c:pt idx="48">
                  <c:v>1.0079902000000001</c:v>
                </c:pt>
                <c:pt idx="49">
                  <c:v>1.0066841</c:v>
                </c:pt>
                <c:pt idx="50">
                  <c:v>1.0053871000000001</c:v>
                </c:pt>
                <c:pt idx="51">
                  <c:v>1.0040876999999999</c:v>
                </c:pt>
                <c:pt idx="52">
                  <c:v>1.0028245</c:v>
                </c:pt>
                <c:pt idx="53">
                  <c:v>1.0012802999999999</c:v>
                </c:pt>
                <c:pt idx="54">
                  <c:v>1.0000180000000001</c:v>
                </c:pt>
                <c:pt idx="55">
                  <c:v>0.99875159999999996</c:v>
                </c:pt>
                <c:pt idx="56">
                  <c:v>0.99748829999999999</c:v>
                </c:pt>
                <c:pt idx="57">
                  <c:v>0.99621020000000005</c:v>
                </c:pt>
                <c:pt idx="58">
                  <c:v>0.99494950000000004</c:v>
                </c:pt>
                <c:pt idx="59">
                  <c:v>0.99370579999999997</c:v>
                </c:pt>
                <c:pt idx="60">
                  <c:v>0.99244790000000005</c:v>
                </c:pt>
                <c:pt idx="61">
                  <c:v>0.99120370000000002</c:v>
                </c:pt>
                <c:pt idx="62">
                  <c:v>0.99007080000000003</c:v>
                </c:pt>
                <c:pt idx="63">
                  <c:v>0.98865210000000003</c:v>
                </c:pt>
                <c:pt idx="64">
                  <c:v>0.98754529999999996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Hasil!$L$9:$L$10</c:f>
              <c:strCache>
                <c:ptCount val="2"/>
                <c:pt idx="0">
                  <c:v>K-Efektif</c:v>
                </c:pt>
                <c:pt idx="1">
                  <c:v>varrefl4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Hasil!$G$11:$G$75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Hasil!$L$11:$L$75</c:f>
              <c:numCache>
                <c:formatCode>General</c:formatCode>
                <c:ptCount val="65"/>
                <c:pt idx="0">
                  <c:v>1.0745906000000001</c:v>
                </c:pt>
                <c:pt idx="1">
                  <c:v>1.0656888</c:v>
                </c:pt>
                <c:pt idx="2">
                  <c:v>1.0656080000000001</c:v>
                </c:pt>
                <c:pt idx="3">
                  <c:v>1.0648169999999999</c:v>
                </c:pt>
                <c:pt idx="4">
                  <c:v>1.0638375</c:v>
                </c:pt>
                <c:pt idx="5">
                  <c:v>1.0618737</c:v>
                </c:pt>
                <c:pt idx="6">
                  <c:v>1.0602175</c:v>
                </c:pt>
                <c:pt idx="7">
                  <c:v>1.0562323</c:v>
                </c:pt>
                <c:pt idx="8">
                  <c:v>1.0532391999999999</c:v>
                </c:pt>
                <c:pt idx="9">
                  <c:v>1.0508738</c:v>
                </c:pt>
                <c:pt idx="10">
                  <c:v>1.0489568</c:v>
                </c:pt>
                <c:pt idx="11">
                  <c:v>1.0473806000000001</c:v>
                </c:pt>
                <c:pt idx="12">
                  <c:v>1.0461501</c:v>
                </c:pt>
                <c:pt idx="13">
                  <c:v>1.0451347</c:v>
                </c:pt>
                <c:pt idx="14">
                  <c:v>1.0442628</c:v>
                </c:pt>
                <c:pt idx="15">
                  <c:v>1.0436562</c:v>
                </c:pt>
                <c:pt idx="16">
                  <c:v>1.0430360000000001</c:v>
                </c:pt>
                <c:pt idx="17">
                  <c:v>1.0430398999999999</c:v>
                </c:pt>
                <c:pt idx="18">
                  <c:v>1.042635</c:v>
                </c:pt>
                <c:pt idx="19">
                  <c:v>1.0421007</c:v>
                </c:pt>
                <c:pt idx="20">
                  <c:v>1.0415881</c:v>
                </c:pt>
                <c:pt idx="21">
                  <c:v>1.0408947</c:v>
                </c:pt>
                <c:pt idx="22">
                  <c:v>1.0400695</c:v>
                </c:pt>
                <c:pt idx="23">
                  <c:v>1.0391489</c:v>
                </c:pt>
                <c:pt idx="24">
                  <c:v>1.0381301999999999</c:v>
                </c:pt>
                <c:pt idx="25">
                  <c:v>1.0369140999999999</c:v>
                </c:pt>
                <c:pt idx="26">
                  <c:v>1.0356126000000001</c:v>
                </c:pt>
                <c:pt idx="27">
                  <c:v>1.0344144</c:v>
                </c:pt>
                <c:pt idx="28">
                  <c:v>1.0332608999999999</c:v>
                </c:pt>
                <c:pt idx="29">
                  <c:v>1.0317677000000001</c:v>
                </c:pt>
                <c:pt idx="30">
                  <c:v>1.0304652000000001</c:v>
                </c:pt>
                <c:pt idx="31">
                  <c:v>1.0292101</c:v>
                </c:pt>
                <c:pt idx="32">
                  <c:v>1.0279678999999999</c:v>
                </c:pt>
                <c:pt idx="33">
                  <c:v>1.0266529</c:v>
                </c:pt>
                <c:pt idx="34">
                  <c:v>1.0253576</c:v>
                </c:pt>
                <c:pt idx="35">
                  <c:v>1.0240117</c:v>
                </c:pt>
                <c:pt idx="36">
                  <c:v>1.0227189000000001</c:v>
                </c:pt>
                <c:pt idx="37">
                  <c:v>1.0214809</c:v>
                </c:pt>
                <c:pt idx="38">
                  <c:v>1.0200693999999999</c:v>
                </c:pt>
                <c:pt idx="39">
                  <c:v>1.0186930999999999</c:v>
                </c:pt>
                <c:pt idx="40">
                  <c:v>1.0173810999999999</c:v>
                </c:pt>
                <c:pt idx="41">
                  <c:v>1.0173942</c:v>
                </c:pt>
                <c:pt idx="42">
                  <c:v>1.0160537000000001</c:v>
                </c:pt>
                <c:pt idx="43">
                  <c:v>1.0146413999999999</c:v>
                </c:pt>
                <c:pt idx="44">
                  <c:v>1.0132987</c:v>
                </c:pt>
                <c:pt idx="45">
                  <c:v>1.0119764</c:v>
                </c:pt>
                <c:pt idx="46">
                  <c:v>1.0106701</c:v>
                </c:pt>
                <c:pt idx="47">
                  <c:v>1.0094126000000001</c:v>
                </c:pt>
                <c:pt idx="48">
                  <c:v>1.0082129</c:v>
                </c:pt>
                <c:pt idx="49">
                  <c:v>1.0068461</c:v>
                </c:pt>
                <c:pt idx="50">
                  <c:v>1.0054544000000001</c:v>
                </c:pt>
                <c:pt idx="51">
                  <c:v>1.0041833</c:v>
                </c:pt>
                <c:pt idx="52">
                  <c:v>1.0028878000000001</c:v>
                </c:pt>
                <c:pt idx="53">
                  <c:v>1.0014476000000001</c:v>
                </c:pt>
                <c:pt idx="54">
                  <c:v>1.0000948000000001</c:v>
                </c:pt>
                <c:pt idx="55">
                  <c:v>0.99885800000000002</c:v>
                </c:pt>
                <c:pt idx="56">
                  <c:v>0.99758539999999996</c:v>
                </c:pt>
                <c:pt idx="57">
                  <c:v>0.99631809999999998</c:v>
                </c:pt>
                <c:pt idx="58">
                  <c:v>0.99505759999999999</c:v>
                </c:pt>
                <c:pt idx="59">
                  <c:v>0.99382000000000004</c:v>
                </c:pt>
                <c:pt idx="60">
                  <c:v>0.99259169999999997</c:v>
                </c:pt>
                <c:pt idx="61">
                  <c:v>0.99130510000000005</c:v>
                </c:pt>
                <c:pt idx="62">
                  <c:v>0.99007579999999995</c:v>
                </c:pt>
                <c:pt idx="63">
                  <c:v>0.98884740000000004</c:v>
                </c:pt>
                <c:pt idx="64">
                  <c:v>0.98762399999999995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Hasil!$M$9:$M$10</c:f>
              <c:strCache>
                <c:ptCount val="2"/>
                <c:pt idx="0">
                  <c:v>K-Efektif</c:v>
                </c:pt>
                <c:pt idx="1">
                  <c:v>varrefl5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Hasil!$G$11:$G$75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Hasil!$M$11:$M$75</c:f>
              <c:numCache>
                <c:formatCode>General</c:formatCode>
                <c:ptCount val="65"/>
                <c:pt idx="0">
                  <c:v>1.0745506</c:v>
                </c:pt>
                <c:pt idx="1">
                  <c:v>1.0656383</c:v>
                </c:pt>
                <c:pt idx="2">
                  <c:v>1.0655589999999999</c:v>
                </c:pt>
                <c:pt idx="3">
                  <c:v>1.0647671000000001</c:v>
                </c:pt>
                <c:pt idx="4">
                  <c:v>1.063787</c:v>
                </c:pt>
                <c:pt idx="5">
                  <c:v>1.0618219</c:v>
                </c:pt>
                <c:pt idx="6">
                  <c:v>1.0601661</c:v>
                </c:pt>
                <c:pt idx="7">
                  <c:v>1.0561882</c:v>
                </c:pt>
                <c:pt idx="8">
                  <c:v>1.0531961999999999</c:v>
                </c:pt>
                <c:pt idx="9">
                  <c:v>1.0508299999999999</c:v>
                </c:pt>
                <c:pt idx="10">
                  <c:v>1.0489142</c:v>
                </c:pt>
                <c:pt idx="11">
                  <c:v>1.0473391000000001</c:v>
                </c:pt>
                <c:pt idx="12">
                  <c:v>1.0460940999999999</c:v>
                </c:pt>
                <c:pt idx="13">
                  <c:v>1.0450794000000001</c:v>
                </c:pt>
                <c:pt idx="14">
                  <c:v>1.0442144</c:v>
                </c:pt>
                <c:pt idx="15">
                  <c:v>1.0436155</c:v>
                </c:pt>
                <c:pt idx="16">
                  <c:v>1.0429907</c:v>
                </c:pt>
                <c:pt idx="17">
                  <c:v>1.0429952</c:v>
                </c:pt>
                <c:pt idx="18">
                  <c:v>1.0426004</c:v>
                </c:pt>
                <c:pt idx="19">
                  <c:v>1.0420592</c:v>
                </c:pt>
                <c:pt idx="20">
                  <c:v>1.0415521999999999</c:v>
                </c:pt>
                <c:pt idx="21">
                  <c:v>1.0408310999999999</c:v>
                </c:pt>
                <c:pt idx="22">
                  <c:v>1.0400159</c:v>
                </c:pt>
                <c:pt idx="23">
                  <c:v>1.0390743</c:v>
                </c:pt>
                <c:pt idx="24">
                  <c:v>1.0380611</c:v>
                </c:pt>
                <c:pt idx="25">
                  <c:v>1.0368341999999999</c:v>
                </c:pt>
                <c:pt idx="26">
                  <c:v>1.0355356</c:v>
                </c:pt>
                <c:pt idx="27">
                  <c:v>1.0343241999999999</c:v>
                </c:pt>
                <c:pt idx="28">
                  <c:v>1.0331904000000001</c:v>
                </c:pt>
                <c:pt idx="29">
                  <c:v>1.0316927</c:v>
                </c:pt>
                <c:pt idx="30">
                  <c:v>1.0303825</c:v>
                </c:pt>
                <c:pt idx="31">
                  <c:v>1.029137</c:v>
                </c:pt>
                <c:pt idx="32">
                  <c:v>1.0278841000000001</c:v>
                </c:pt>
                <c:pt idx="33">
                  <c:v>1.026583</c:v>
                </c:pt>
                <c:pt idx="34">
                  <c:v>1.0252836000000001</c:v>
                </c:pt>
                <c:pt idx="35">
                  <c:v>1.0239639</c:v>
                </c:pt>
                <c:pt idx="36">
                  <c:v>1.0226729999999999</c:v>
                </c:pt>
                <c:pt idx="37">
                  <c:v>1.0213561</c:v>
                </c:pt>
                <c:pt idx="38">
                  <c:v>1.0199781999999999</c:v>
                </c:pt>
                <c:pt idx="39">
                  <c:v>1.0186318000000001</c:v>
                </c:pt>
                <c:pt idx="40">
                  <c:v>1.0173368</c:v>
                </c:pt>
                <c:pt idx="41">
                  <c:v>1.0173433999999999</c:v>
                </c:pt>
                <c:pt idx="42">
                  <c:v>1.0159596</c:v>
                </c:pt>
                <c:pt idx="43">
                  <c:v>1.0146004</c:v>
                </c:pt>
                <c:pt idx="44">
                  <c:v>1.0132725</c:v>
                </c:pt>
                <c:pt idx="45">
                  <c:v>1.0119583999999999</c:v>
                </c:pt>
                <c:pt idx="46">
                  <c:v>1.0107191</c:v>
                </c:pt>
                <c:pt idx="47">
                  <c:v>1.0094373000000001</c:v>
                </c:pt>
                <c:pt idx="48">
                  <c:v>1.0080259</c:v>
                </c:pt>
                <c:pt idx="49">
                  <c:v>1.0067478000000001</c:v>
                </c:pt>
                <c:pt idx="50">
                  <c:v>1.0054365000000001</c:v>
                </c:pt>
                <c:pt idx="51">
                  <c:v>1.0041472</c:v>
                </c:pt>
                <c:pt idx="52">
                  <c:v>1.0028518</c:v>
                </c:pt>
                <c:pt idx="53">
                  <c:v>1.0013402</c:v>
                </c:pt>
                <c:pt idx="54">
                  <c:v>1.0001462999999999</c:v>
                </c:pt>
                <c:pt idx="55" formatCode="0.0000000">
                  <c:v>0.99877950000000004</c:v>
                </c:pt>
                <c:pt idx="56" formatCode="0.0000000">
                  <c:v>0.99756080000000003</c:v>
                </c:pt>
                <c:pt idx="57" formatCode="0.0000000">
                  <c:v>0.99625920000000001</c:v>
                </c:pt>
                <c:pt idx="58" formatCode="0.0000000">
                  <c:v>0.99502210000000002</c:v>
                </c:pt>
                <c:pt idx="59" formatCode="0.0000000">
                  <c:v>0.99375480000000005</c:v>
                </c:pt>
                <c:pt idx="60" formatCode="0.0000000">
                  <c:v>0.99250830000000001</c:v>
                </c:pt>
                <c:pt idx="61" formatCode="0.0000000">
                  <c:v>0.99125719999999995</c:v>
                </c:pt>
                <c:pt idx="62" formatCode="0.0000000">
                  <c:v>0.99001410000000001</c:v>
                </c:pt>
                <c:pt idx="63" formatCode="0.0000000">
                  <c:v>0.98887409999999998</c:v>
                </c:pt>
                <c:pt idx="64" formatCode="0.0000000">
                  <c:v>0.98752329999999999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Hasil!$N$9:$N$10</c:f>
              <c:strCache>
                <c:ptCount val="2"/>
                <c:pt idx="0">
                  <c:v>K-Efektif</c:v>
                </c:pt>
                <c:pt idx="1">
                  <c:v>varrefl6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Hasil!$G$11:$G$75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Hasil!$N$11:$N$75</c:f>
              <c:numCache>
                <c:formatCode>0.0000000</c:formatCode>
                <c:ptCount val="65"/>
                <c:pt idx="0">
                  <c:v>1.0744640000000001</c:v>
                </c:pt>
                <c:pt idx="1">
                  <c:v>1.0655467999999999</c:v>
                </c:pt>
                <c:pt idx="2">
                  <c:v>1.0654675</c:v>
                </c:pt>
                <c:pt idx="3">
                  <c:v>1.0646605</c:v>
                </c:pt>
                <c:pt idx="4">
                  <c:v>1.0636786</c:v>
                </c:pt>
                <c:pt idx="5">
                  <c:v>1.0617179000000001</c:v>
                </c:pt>
                <c:pt idx="6">
                  <c:v>1.0600533000000001</c:v>
                </c:pt>
                <c:pt idx="7">
                  <c:v>1.0560560000000001</c:v>
                </c:pt>
                <c:pt idx="8">
                  <c:v>1.0530744000000001</c:v>
                </c:pt>
                <c:pt idx="9">
                  <c:v>1.0506896999999999</c:v>
                </c:pt>
                <c:pt idx="10">
                  <c:v>1.0487918000000001</c:v>
                </c:pt>
                <c:pt idx="11">
                  <c:v>1.0472094000000001</c:v>
                </c:pt>
                <c:pt idx="12">
                  <c:v>1.0459875000000001</c:v>
                </c:pt>
                <c:pt idx="13">
                  <c:v>1.0449657000000001</c:v>
                </c:pt>
                <c:pt idx="14">
                  <c:v>1.0440921999999999</c:v>
                </c:pt>
                <c:pt idx="15">
                  <c:v>1.0435055</c:v>
                </c:pt>
                <c:pt idx="16">
                  <c:v>1.0428816000000001</c:v>
                </c:pt>
                <c:pt idx="17">
                  <c:v>1.042886</c:v>
                </c:pt>
                <c:pt idx="18">
                  <c:v>1.0424906</c:v>
                </c:pt>
                <c:pt idx="19">
                  <c:v>1.0419358000000001</c:v>
                </c:pt>
                <c:pt idx="20">
                  <c:v>1.041434</c:v>
                </c:pt>
                <c:pt idx="21">
                  <c:v>1.0406995999999999</c:v>
                </c:pt>
                <c:pt idx="22">
                  <c:v>1.0398858</c:v>
                </c:pt>
                <c:pt idx="23">
                  <c:v>1.038923</c:v>
                </c:pt>
                <c:pt idx="24">
                  <c:v>1.0378925999999999</c:v>
                </c:pt>
                <c:pt idx="25">
                  <c:v>1.0366417000000001</c:v>
                </c:pt>
                <c:pt idx="26">
                  <c:v>1.0353425000000001</c:v>
                </c:pt>
                <c:pt idx="27">
                  <c:v>1.0341245999999999</c:v>
                </c:pt>
                <c:pt idx="28">
                  <c:v>1.0329832000000001</c:v>
                </c:pt>
                <c:pt idx="29">
                  <c:v>1.0314568</c:v>
                </c:pt>
                <c:pt idx="30">
                  <c:v>1.0301530000000001</c:v>
                </c:pt>
                <c:pt idx="31">
                  <c:v>1.0288987999999999</c:v>
                </c:pt>
                <c:pt idx="32">
                  <c:v>1.0276215</c:v>
                </c:pt>
                <c:pt idx="33">
                  <c:v>1.0263279999999999</c:v>
                </c:pt>
                <c:pt idx="34">
                  <c:v>1.0249965000000001</c:v>
                </c:pt>
                <c:pt idx="35">
                  <c:v>1.0236717</c:v>
                </c:pt>
                <c:pt idx="36">
                  <c:v>1.0224302999999999</c:v>
                </c:pt>
                <c:pt idx="37">
                  <c:v>1.0210859999999999</c:v>
                </c:pt>
                <c:pt idx="38">
                  <c:v>1.0197109</c:v>
                </c:pt>
                <c:pt idx="39">
                  <c:v>1.0183572999999999</c:v>
                </c:pt>
                <c:pt idx="40">
                  <c:v>1.0170192</c:v>
                </c:pt>
                <c:pt idx="41">
                  <c:v>1.0170325</c:v>
                </c:pt>
                <c:pt idx="42">
                  <c:v>1.0156429</c:v>
                </c:pt>
                <c:pt idx="43">
                  <c:v>1.0142701000000001</c:v>
                </c:pt>
                <c:pt idx="44">
                  <c:v>1.0129375</c:v>
                </c:pt>
                <c:pt idx="45">
                  <c:v>1.0116153000000001</c:v>
                </c:pt>
                <c:pt idx="46">
                  <c:v>1.0103153</c:v>
                </c:pt>
                <c:pt idx="47">
                  <c:v>1.0090215</c:v>
                </c:pt>
                <c:pt idx="48">
                  <c:v>1.0076852999999999</c:v>
                </c:pt>
                <c:pt idx="49">
                  <c:v>1.0063671000000001</c:v>
                </c:pt>
                <c:pt idx="50">
                  <c:v>1.0050669999999999</c:v>
                </c:pt>
                <c:pt idx="51">
                  <c:v>1.0037657</c:v>
                </c:pt>
                <c:pt idx="52">
                  <c:v>1.0024678</c:v>
                </c:pt>
                <c:pt idx="53">
                  <c:v>1.0009454</c:v>
                </c:pt>
                <c:pt idx="54">
                  <c:v>0.99966480000000002</c:v>
                </c:pt>
                <c:pt idx="55">
                  <c:v>0.99840309999999999</c:v>
                </c:pt>
                <c:pt idx="56">
                  <c:v>0.99713350000000001</c:v>
                </c:pt>
                <c:pt idx="57">
                  <c:v>0.99584379999999995</c:v>
                </c:pt>
                <c:pt idx="58">
                  <c:v>0.99457810000000002</c:v>
                </c:pt>
                <c:pt idx="59">
                  <c:v>0.99332589999999998</c:v>
                </c:pt>
                <c:pt idx="60">
                  <c:v>0.99206510000000003</c:v>
                </c:pt>
                <c:pt idx="61">
                  <c:v>0.99081730000000001</c:v>
                </c:pt>
                <c:pt idx="62">
                  <c:v>0.98957019999999996</c:v>
                </c:pt>
                <c:pt idx="63">
                  <c:v>0.98833459999999995</c:v>
                </c:pt>
                <c:pt idx="64">
                  <c:v>0.98709939999999996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Hasil!$O$9:$O$10</c:f>
              <c:strCache>
                <c:ptCount val="2"/>
                <c:pt idx="0">
                  <c:v>K-Efektif</c:v>
                </c:pt>
                <c:pt idx="1">
                  <c:v>varrefl7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Hasil!$G$11:$G$75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Hasil!$O$11:$O$75</c:f>
              <c:numCache>
                <c:formatCode>0.0000000</c:formatCode>
                <c:ptCount val="65"/>
                <c:pt idx="0">
                  <c:v>1.0746794</c:v>
                </c:pt>
                <c:pt idx="1">
                  <c:v>1.0657973999999999</c:v>
                </c:pt>
                <c:pt idx="2">
                  <c:v>1.0657177</c:v>
                </c:pt>
                <c:pt idx="3">
                  <c:v>1.0649301</c:v>
                </c:pt>
                <c:pt idx="4">
                  <c:v>1.0639525999999999</c:v>
                </c:pt>
                <c:pt idx="5">
                  <c:v>1.0619954</c:v>
                </c:pt>
                <c:pt idx="6">
                  <c:v>1.0603340000000001</c:v>
                </c:pt>
                <c:pt idx="7">
                  <c:v>1.0563560999999999</c:v>
                </c:pt>
                <c:pt idx="8">
                  <c:v>1.0533781</c:v>
                </c:pt>
                <c:pt idx="9">
                  <c:v>1.0510138</c:v>
                </c:pt>
                <c:pt idx="10">
                  <c:v>1.0490984999999999</c:v>
                </c:pt>
                <c:pt idx="11">
                  <c:v>1.0475227</c:v>
                </c:pt>
                <c:pt idx="12">
                  <c:v>1.0462825</c:v>
                </c:pt>
                <c:pt idx="13">
                  <c:v>1.0452679</c:v>
                </c:pt>
                <c:pt idx="14">
                  <c:v>1.0443966</c:v>
                </c:pt>
                <c:pt idx="15">
                  <c:v>1.0437947999999999</c:v>
                </c:pt>
                <c:pt idx="16">
                  <c:v>1.0431629</c:v>
                </c:pt>
                <c:pt idx="17">
                  <c:v>1.0431675</c:v>
                </c:pt>
                <c:pt idx="18">
                  <c:v>1.0427569000000001</c:v>
                </c:pt>
                <c:pt idx="19">
                  <c:v>1.0422442999999999</c:v>
                </c:pt>
                <c:pt idx="20">
                  <c:v>1.0417273</c:v>
                </c:pt>
                <c:pt idx="21">
                  <c:v>1.0410413000000001</c:v>
                </c:pt>
                <c:pt idx="22">
                  <c:v>1.040222</c:v>
                </c:pt>
                <c:pt idx="23">
                  <c:v>1.0393152000000001</c:v>
                </c:pt>
                <c:pt idx="24">
                  <c:v>1.0383019</c:v>
                </c:pt>
                <c:pt idx="25">
                  <c:v>1.037112</c:v>
                </c:pt>
                <c:pt idx="26">
                  <c:v>1.0358261</c:v>
                </c:pt>
                <c:pt idx="27">
                  <c:v>1.0346202</c:v>
                </c:pt>
                <c:pt idx="28">
                  <c:v>1.0334951999999999</c:v>
                </c:pt>
                <c:pt idx="29">
                  <c:v>1.0320137</c:v>
                </c:pt>
                <c:pt idx="30">
                  <c:v>1.0307204999999999</c:v>
                </c:pt>
                <c:pt idx="31">
                  <c:v>1.0294809</c:v>
                </c:pt>
                <c:pt idx="32">
                  <c:v>1.0282210000000001</c:v>
                </c:pt>
                <c:pt idx="33">
                  <c:v>1.0269782999999999</c:v>
                </c:pt>
                <c:pt idx="34">
                  <c:v>1.0256609999999999</c:v>
                </c:pt>
                <c:pt idx="35">
                  <c:v>1.0243537</c:v>
                </c:pt>
                <c:pt idx="36">
                  <c:v>1.0230745999999999</c:v>
                </c:pt>
                <c:pt idx="37">
                  <c:v>1.0217687</c:v>
                </c:pt>
                <c:pt idx="38">
                  <c:v>1.0203971999999999</c:v>
                </c:pt>
                <c:pt idx="39">
                  <c:v>1.0190615999999999</c:v>
                </c:pt>
                <c:pt idx="40">
                  <c:v>1.0177783</c:v>
                </c:pt>
                <c:pt idx="41">
                  <c:v>1.0177835</c:v>
                </c:pt>
                <c:pt idx="42">
                  <c:v>1.0164074999999999</c:v>
                </c:pt>
                <c:pt idx="43">
                  <c:v>1.0150547999999999</c:v>
                </c:pt>
                <c:pt idx="44">
                  <c:v>1.0137370000000001</c:v>
                </c:pt>
                <c:pt idx="45">
                  <c:v>1.0124295999999999</c:v>
                </c:pt>
                <c:pt idx="46">
                  <c:v>1.0111483000000001</c:v>
                </c:pt>
                <c:pt idx="47">
                  <c:v>1.0098807000000001</c:v>
                </c:pt>
                <c:pt idx="48">
                  <c:v>1.0085492</c:v>
                </c:pt>
                <c:pt idx="49">
                  <c:v>1.0072650999999999</c:v>
                </c:pt>
                <c:pt idx="50">
                  <c:v>1.0059761</c:v>
                </c:pt>
                <c:pt idx="51">
                  <c:v>1.0046862000000001</c:v>
                </c:pt>
                <c:pt idx="52">
                  <c:v>1.0033851</c:v>
                </c:pt>
                <c:pt idx="53">
                  <c:v>1.0018898000000001</c:v>
                </c:pt>
                <c:pt idx="54">
                  <c:v>1.0006193999999999</c:v>
                </c:pt>
                <c:pt idx="55">
                  <c:v>0.99937419999999999</c:v>
                </c:pt>
                <c:pt idx="56">
                  <c:v>0.99811729999999999</c:v>
                </c:pt>
                <c:pt idx="57">
                  <c:v>0.99685290000000004</c:v>
                </c:pt>
                <c:pt idx="58">
                  <c:v>0.99560300000000002</c:v>
                </c:pt>
                <c:pt idx="59">
                  <c:v>0.99446029999999996</c:v>
                </c:pt>
                <c:pt idx="60">
                  <c:v>0.99317180000000005</c:v>
                </c:pt>
                <c:pt idx="61">
                  <c:v>0.99192840000000004</c:v>
                </c:pt>
                <c:pt idx="62">
                  <c:v>0.99068990000000001</c:v>
                </c:pt>
                <c:pt idx="63">
                  <c:v>0.98946429999999996</c:v>
                </c:pt>
                <c:pt idx="64">
                  <c:v>0.98824520000000005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6855696"/>
        <c:axId val="-1376863312"/>
      </c:scatterChart>
      <c:valAx>
        <c:axId val="-13768556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Tahun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376863312"/>
        <c:crosses val="autoZero"/>
        <c:crossBetween val="midCat"/>
        <c:majorUnit val="0.5"/>
      </c:valAx>
      <c:valAx>
        <c:axId val="-1376863312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K-Efektif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37685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Hasil!$Z$9:$Z$10</c:f>
              <c:strCache>
                <c:ptCount val="2"/>
                <c:pt idx="0">
                  <c:v>Conversion Ratio</c:v>
                </c:pt>
                <c:pt idx="1">
                  <c:v>Benchmark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Hasil!$Y$11:$Y$75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Hasil!$Z$11:$Z$75</c:f>
              <c:numCache>
                <c:formatCode>0.00E+00</c:formatCode>
                <c:ptCount val="65"/>
                <c:pt idx="0">
                  <c:v>0.45779999999999998</c:v>
                </c:pt>
                <c:pt idx="1">
                  <c:v>0.46750000000000003</c:v>
                </c:pt>
                <c:pt idx="2">
                  <c:v>0.46768999999999999</c:v>
                </c:pt>
                <c:pt idx="3">
                  <c:v>0.46812199999999998</c:v>
                </c:pt>
                <c:pt idx="4">
                  <c:v>0.46866799999999997</c:v>
                </c:pt>
                <c:pt idx="5">
                  <c:v>0.46968700000000002</c:v>
                </c:pt>
                <c:pt idx="6">
                  <c:v>0.47053800000000001</c:v>
                </c:pt>
                <c:pt idx="7">
                  <c:v>0.47313899999999998</c:v>
                </c:pt>
                <c:pt idx="8">
                  <c:v>0.476165</c:v>
                </c:pt>
                <c:pt idx="9">
                  <c:v>0.47926999999999997</c:v>
                </c:pt>
                <c:pt idx="10">
                  <c:v>0.481964</c:v>
                </c:pt>
                <c:pt idx="11">
                  <c:v>0.48386400000000002</c:v>
                </c:pt>
                <c:pt idx="12">
                  <c:v>0.48480299999999998</c:v>
                </c:pt>
                <c:pt idx="13">
                  <c:v>0.48515399999999997</c:v>
                </c:pt>
                <c:pt idx="14">
                  <c:v>0.48647699999999999</c:v>
                </c:pt>
                <c:pt idx="15">
                  <c:v>0.49041499999999999</c:v>
                </c:pt>
                <c:pt idx="16">
                  <c:v>0.494755</c:v>
                </c:pt>
                <c:pt idx="17">
                  <c:v>0.49478699999999998</c:v>
                </c:pt>
                <c:pt idx="18">
                  <c:v>0.49871199999999999</c:v>
                </c:pt>
                <c:pt idx="19">
                  <c:v>0.50217500000000004</c:v>
                </c:pt>
                <c:pt idx="20">
                  <c:v>0.50441499999999995</c:v>
                </c:pt>
                <c:pt idx="21">
                  <c:v>0.50558099999999995</c:v>
                </c:pt>
                <c:pt idx="22">
                  <c:v>0.50606300000000004</c:v>
                </c:pt>
                <c:pt idx="23">
                  <c:v>0.50723499999999999</c:v>
                </c:pt>
                <c:pt idx="24">
                  <c:v>0.50968100000000005</c:v>
                </c:pt>
                <c:pt idx="25">
                  <c:v>0.51217699999999999</c:v>
                </c:pt>
                <c:pt idx="26">
                  <c:v>0.51513799999999998</c:v>
                </c:pt>
                <c:pt idx="27">
                  <c:v>0.51829999999999998</c:v>
                </c:pt>
                <c:pt idx="28">
                  <c:v>0.52097400000000005</c:v>
                </c:pt>
                <c:pt idx="29">
                  <c:v>0.52371900000000005</c:v>
                </c:pt>
                <c:pt idx="30">
                  <c:v>0.52587200000000001</c:v>
                </c:pt>
                <c:pt idx="31">
                  <c:v>0.52785099999999996</c:v>
                </c:pt>
                <c:pt idx="32">
                  <c:v>0.52928600000000003</c:v>
                </c:pt>
                <c:pt idx="33">
                  <c:v>0.53100599999999998</c:v>
                </c:pt>
                <c:pt idx="34">
                  <c:v>0.53264400000000001</c:v>
                </c:pt>
                <c:pt idx="35">
                  <c:v>0.53441000000000005</c:v>
                </c:pt>
                <c:pt idx="36">
                  <c:v>0.53593999999999997</c:v>
                </c:pt>
                <c:pt idx="37">
                  <c:v>0.53699799999999998</c:v>
                </c:pt>
                <c:pt idx="38">
                  <c:v>0.53817300000000001</c:v>
                </c:pt>
                <c:pt idx="39">
                  <c:v>0.53965399999999997</c:v>
                </c:pt>
                <c:pt idx="40">
                  <c:v>0.54067100000000001</c:v>
                </c:pt>
                <c:pt idx="41">
                  <c:v>0.54073499999999997</c:v>
                </c:pt>
                <c:pt idx="42">
                  <c:v>0.54238299999999995</c:v>
                </c:pt>
                <c:pt idx="43">
                  <c:v>0.54359900000000005</c:v>
                </c:pt>
                <c:pt idx="44">
                  <c:v>0.54525100000000004</c:v>
                </c:pt>
                <c:pt idx="45">
                  <c:v>0.54680399999999996</c:v>
                </c:pt>
                <c:pt idx="46">
                  <c:v>0.54811500000000002</c:v>
                </c:pt>
                <c:pt idx="47">
                  <c:v>0.54981800000000003</c:v>
                </c:pt>
                <c:pt idx="48">
                  <c:v>0.55155299999999996</c:v>
                </c:pt>
                <c:pt idx="49">
                  <c:v>0.55346099999999998</c:v>
                </c:pt>
                <c:pt idx="50">
                  <c:v>0.55540800000000001</c:v>
                </c:pt>
                <c:pt idx="51">
                  <c:v>0.55720800000000004</c:v>
                </c:pt>
                <c:pt idx="52">
                  <c:v>0.55902200000000002</c:v>
                </c:pt>
                <c:pt idx="53">
                  <c:v>0.56111</c:v>
                </c:pt>
                <c:pt idx="54">
                  <c:v>0.56318699999999999</c:v>
                </c:pt>
                <c:pt idx="55">
                  <c:v>0.56511199999999995</c:v>
                </c:pt>
                <c:pt idx="56">
                  <c:v>0.56748900000000002</c:v>
                </c:pt>
                <c:pt idx="57">
                  <c:v>0.57041500000000001</c:v>
                </c:pt>
                <c:pt idx="58">
                  <c:v>0.573237</c:v>
                </c:pt>
                <c:pt idx="59">
                  <c:v>0.57601400000000003</c:v>
                </c:pt>
                <c:pt idx="60">
                  <c:v>0.57943999999999996</c:v>
                </c:pt>
                <c:pt idx="61">
                  <c:v>0.58291999999999999</c:v>
                </c:pt>
                <c:pt idx="62">
                  <c:v>0.58638599999999996</c:v>
                </c:pt>
                <c:pt idx="63">
                  <c:v>0.58995399999999998</c:v>
                </c:pt>
                <c:pt idx="64">
                  <c:v>0.59353400000000001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Hasil!$AA$9:$AA$10</c:f>
              <c:strCache>
                <c:ptCount val="2"/>
                <c:pt idx="0">
                  <c:v>Conversion Ratio</c:v>
                </c:pt>
                <c:pt idx="1">
                  <c:v>varrefl1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Hasil!$Y$11:$Y$75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Hasil!$AA$11:$AA$75</c:f>
              <c:numCache>
                <c:formatCode>0.000000</c:formatCode>
                <c:ptCount val="65"/>
                <c:pt idx="0">
                  <c:v>0.622004</c:v>
                </c:pt>
                <c:pt idx="1">
                  <c:v>0.62578400000000001</c:v>
                </c:pt>
                <c:pt idx="2">
                  <c:v>0.62583999999999995</c:v>
                </c:pt>
                <c:pt idx="3">
                  <c:v>0.62611899999999998</c:v>
                </c:pt>
                <c:pt idx="4">
                  <c:v>0.62646999999999997</c:v>
                </c:pt>
                <c:pt idx="5">
                  <c:v>0.62717800000000001</c:v>
                </c:pt>
                <c:pt idx="6">
                  <c:v>0.62783299999999997</c:v>
                </c:pt>
                <c:pt idx="7">
                  <c:v>0.62948499999999996</c:v>
                </c:pt>
                <c:pt idx="8">
                  <c:v>0.63078100000000004</c:v>
                </c:pt>
                <c:pt idx="9">
                  <c:v>0.63183</c:v>
                </c:pt>
                <c:pt idx="10">
                  <c:v>0.63271200000000005</c:v>
                </c:pt>
                <c:pt idx="11">
                  <c:v>0.63344900000000004</c:v>
                </c:pt>
                <c:pt idx="12">
                  <c:v>0.63407599999999997</c:v>
                </c:pt>
                <c:pt idx="13">
                  <c:v>0.63461999999999996</c:v>
                </c:pt>
                <c:pt idx="14">
                  <c:v>0.6351</c:v>
                </c:pt>
                <c:pt idx="15">
                  <c:v>0.63549299999999997</c:v>
                </c:pt>
                <c:pt idx="16">
                  <c:v>0.63588199999999995</c:v>
                </c:pt>
                <c:pt idx="17">
                  <c:v>0.63588</c:v>
                </c:pt>
                <c:pt idx="18">
                  <c:v>0.63619199999999998</c:v>
                </c:pt>
                <c:pt idx="19">
                  <c:v>0.63653000000000004</c:v>
                </c:pt>
                <c:pt idx="20">
                  <c:v>0.63685599999999998</c:v>
                </c:pt>
                <c:pt idx="21">
                  <c:v>0.63722699999999999</c:v>
                </c:pt>
                <c:pt idx="22">
                  <c:v>0.63762600000000003</c:v>
                </c:pt>
                <c:pt idx="23">
                  <c:v>0.63803900000000002</c:v>
                </c:pt>
                <c:pt idx="24">
                  <c:v>0.63846000000000003</c:v>
                </c:pt>
                <c:pt idx="25">
                  <c:v>0.63893</c:v>
                </c:pt>
                <c:pt idx="26">
                  <c:v>0.63940799999999998</c:v>
                </c:pt>
                <c:pt idx="27">
                  <c:v>0.63985300000000001</c:v>
                </c:pt>
                <c:pt idx="28">
                  <c:v>0.640262</c:v>
                </c:pt>
                <c:pt idx="29">
                  <c:v>0.64077700000000004</c:v>
                </c:pt>
                <c:pt idx="30">
                  <c:v>0.64120999999999995</c:v>
                </c:pt>
                <c:pt idx="31">
                  <c:v>0.64162399999999997</c:v>
                </c:pt>
                <c:pt idx="32">
                  <c:v>0.64205800000000002</c:v>
                </c:pt>
                <c:pt idx="33">
                  <c:v>0.64246599999999998</c:v>
                </c:pt>
                <c:pt idx="34">
                  <c:v>0.64288400000000001</c:v>
                </c:pt>
                <c:pt idx="35">
                  <c:v>0.64332199999999995</c:v>
                </c:pt>
                <c:pt idx="36">
                  <c:v>0.643733</c:v>
                </c:pt>
                <c:pt idx="37">
                  <c:v>0.64415699999999998</c:v>
                </c:pt>
                <c:pt idx="38">
                  <c:v>0.64461599999999997</c:v>
                </c:pt>
                <c:pt idx="39">
                  <c:v>0.64503200000000005</c:v>
                </c:pt>
                <c:pt idx="40">
                  <c:v>0.64545399999999997</c:v>
                </c:pt>
                <c:pt idx="41">
                  <c:v>0.645459</c:v>
                </c:pt>
                <c:pt idx="42">
                  <c:v>0.64589099999999999</c:v>
                </c:pt>
                <c:pt idx="43">
                  <c:v>0.64632900000000004</c:v>
                </c:pt>
                <c:pt idx="44">
                  <c:v>0.64676100000000003</c:v>
                </c:pt>
                <c:pt idx="45">
                  <c:v>0.64717000000000002</c:v>
                </c:pt>
                <c:pt idx="46">
                  <c:v>0.64757399999999998</c:v>
                </c:pt>
                <c:pt idx="47">
                  <c:v>0.64796500000000001</c:v>
                </c:pt>
                <c:pt idx="48">
                  <c:v>0.64838399999999996</c:v>
                </c:pt>
                <c:pt idx="49">
                  <c:v>0.64881299999999997</c:v>
                </c:pt>
                <c:pt idx="50">
                  <c:v>0.64922500000000005</c:v>
                </c:pt>
                <c:pt idx="51">
                  <c:v>0.64964900000000003</c:v>
                </c:pt>
                <c:pt idx="52">
                  <c:v>0.65006699999999995</c:v>
                </c:pt>
                <c:pt idx="53">
                  <c:v>0.65056899999999995</c:v>
                </c:pt>
                <c:pt idx="54">
                  <c:v>0.65094399999999997</c:v>
                </c:pt>
                <c:pt idx="55">
                  <c:v>0.65140799999999999</c:v>
                </c:pt>
                <c:pt idx="56">
                  <c:v>0.65181699999999998</c:v>
                </c:pt>
                <c:pt idx="57">
                  <c:v>0.65226300000000004</c:v>
                </c:pt>
                <c:pt idx="58">
                  <c:v>0.65268300000000001</c:v>
                </c:pt>
                <c:pt idx="59">
                  <c:v>0.65306699999999995</c:v>
                </c:pt>
                <c:pt idx="60">
                  <c:v>0.65353700000000003</c:v>
                </c:pt>
                <c:pt idx="61">
                  <c:v>0.65395599999999998</c:v>
                </c:pt>
                <c:pt idx="62">
                  <c:v>0.65441099999999996</c:v>
                </c:pt>
                <c:pt idx="63">
                  <c:v>0.65478099999999995</c:v>
                </c:pt>
                <c:pt idx="64">
                  <c:v>0.65527599999999997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Hasil!$AB$9:$AB$10</c:f>
              <c:strCache>
                <c:ptCount val="2"/>
                <c:pt idx="0">
                  <c:v>Conversion Ratio</c:v>
                </c:pt>
                <c:pt idx="1">
                  <c:v>varrefl2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Hasil!$Y$11:$Y$75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Hasil!$AB$11:$AB$75</c:f>
              <c:numCache>
                <c:formatCode>0.000000</c:formatCode>
                <c:ptCount val="65"/>
                <c:pt idx="0">
                  <c:v>0.62196899999999999</c:v>
                </c:pt>
                <c:pt idx="1">
                  <c:v>0.62574099999999999</c:v>
                </c:pt>
                <c:pt idx="2">
                  <c:v>0.62579799999999997</c:v>
                </c:pt>
                <c:pt idx="3">
                  <c:v>0.626081</c:v>
                </c:pt>
                <c:pt idx="4">
                  <c:v>0.62643199999999999</c:v>
                </c:pt>
                <c:pt idx="5">
                  <c:v>0.62713799999999997</c:v>
                </c:pt>
                <c:pt idx="6">
                  <c:v>0.62779300000000005</c:v>
                </c:pt>
                <c:pt idx="7">
                  <c:v>0.62944199999999995</c:v>
                </c:pt>
                <c:pt idx="8">
                  <c:v>0.63073800000000002</c:v>
                </c:pt>
                <c:pt idx="9">
                  <c:v>0.63178599999999996</c:v>
                </c:pt>
                <c:pt idx="10">
                  <c:v>0.63266500000000003</c:v>
                </c:pt>
                <c:pt idx="11">
                  <c:v>0.63340300000000005</c:v>
                </c:pt>
                <c:pt idx="12">
                  <c:v>0.63402899999999995</c:v>
                </c:pt>
                <c:pt idx="13">
                  <c:v>0.63457300000000005</c:v>
                </c:pt>
                <c:pt idx="14">
                  <c:v>0.63504799999999995</c:v>
                </c:pt>
                <c:pt idx="15">
                  <c:v>0.63543799999999995</c:v>
                </c:pt>
                <c:pt idx="16">
                  <c:v>0.635826</c:v>
                </c:pt>
                <c:pt idx="17">
                  <c:v>0.63582399999999994</c:v>
                </c:pt>
                <c:pt idx="18">
                  <c:v>0.63613399999999998</c:v>
                </c:pt>
                <c:pt idx="19">
                  <c:v>0.63647600000000004</c:v>
                </c:pt>
                <c:pt idx="20">
                  <c:v>0.63679799999999998</c:v>
                </c:pt>
                <c:pt idx="21">
                  <c:v>0.63717299999999999</c:v>
                </c:pt>
                <c:pt idx="22">
                  <c:v>0.637571</c:v>
                </c:pt>
                <c:pt idx="23">
                  <c:v>0.637984</c:v>
                </c:pt>
                <c:pt idx="24">
                  <c:v>0.63840200000000003</c:v>
                </c:pt>
                <c:pt idx="25">
                  <c:v>0.638872</c:v>
                </c:pt>
                <c:pt idx="26">
                  <c:v>0.639351</c:v>
                </c:pt>
                <c:pt idx="27">
                  <c:v>0.63979399999999997</c:v>
                </c:pt>
                <c:pt idx="28">
                  <c:v>0.64019300000000001</c:v>
                </c:pt>
                <c:pt idx="29">
                  <c:v>0.64071</c:v>
                </c:pt>
                <c:pt idx="30">
                  <c:v>0.64114499999999996</c:v>
                </c:pt>
                <c:pt idx="31">
                  <c:v>0.64155300000000004</c:v>
                </c:pt>
                <c:pt idx="32">
                  <c:v>0.64198</c:v>
                </c:pt>
                <c:pt idx="33">
                  <c:v>0.64238099999999998</c:v>
                </c:pt>
                <c:pt idx="34">
                  <c:v>0.64280099999999996</c:v>
                </c:pt>
                <c:pt idx="35">
                  <c:v>0.64322599999999996</c:v>
                </c:pt>
                <c:pt idx="36">
                  <c:v>0.64363899999999996</c:v>
                </c:pt>
                <c:pt idx="37">
                  <c:v>0.64405800000000002</c:v>
                </c:pt>
                <c:pt idx="38">
                  <c:v>0.64450300000000005</c:v>
                </c:pt>
                <c:pt idx="39">
                  <c:v>0.64492300000000002</c:v>
                </c:pt>
                <c:pt idx="40">
                  <c:v>0.64533200000000002</c:v>
                </c:pt>
                <c:pt idx="41">
                  <c:v>0.64533600000000002</c:v>
                </c:pt>
                <c:pt idx="42">
                  <c:v>0.64575700000000003</c:v>
                </c:pt>
                <c:pt idx="43">
                  <c:v>0.64619800000000005</c:v>
                </c:pt>
                <c:pt idx="44">
                  <c:v>0.64661400000000002</c:v>
                </c:pt>
                <c:pt idx="45">
                  <c:v>0.64701799999999998</c:v>
                </c:pt>
                <c:pt idx="46">
                  <c:v>0.64740399999999998</c:v>
                </c:pt>
                <c:pt idx="47">
                  <c:v>0.64779699999999996</c:v>
                </c:pt>
                <c:pt idx="48">
                  <c:v>0.648227</c:v>
                </c:pt>
                <c:pt idx="49">
                  <c:v>0.64865300000000004</c:v>
                </c:pt>
                <c:pt idx="50">
                  <c:v>0.64905999999999997</c:v>
                </c:pt>
                <c:pt idx="51">
                  <c:v>0.64947100000000002</c:v>
                </c:pt>
                <c:pt idx="52">
                  <c:v>0.64989399999999997</c:v>
                </c:pt>
                <c:pt idx="53">
                  <c:v>0.65039599999999997</c:v>
                </c:pt>
                <c:pt idx="54">
                  <c:v>0.65079600000000004</c:v>
                </c:pt>
                <c:pt idx="55">
                  <c:v>0.65120500000000003</c:v>
                </c:pt>
                <c:pt idx="56">
                  <c:v>0.65162600000000004</c:v>
                </c:pt>
                <c:pt idx="57">
                  <c:v>0.65207000000000004</c:v>
                </c:pt>
                <c:pt idx="58">
                  <c:v>0.65249800000000002</c:v>
                </c:pt>
                <c:pt idx="59">
                  <c:v>0.65290599999999999</c:v>
                </c:pt>
                <c:pt idx="60">
                  <c:v>0.65331899999999998</c:v>
                </c:pt>
                <c:pt idx="61">
                  <c:v>0.653756</c:v>
                </c:pt>
                <c:pt idx="62">
                  <c:v>0.65419000000000005</c:v>
                </c:pt>
                <c:pt idx="63">
                  <c:v>0.65461100000000005</c:v>
                </c:pt>
                <c:pt idx="64">
                  <c:v>0.65505100000000005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Hasil!$AC$9:$AC$10</c:f>
              <c:strCache>
                <c:ptCount val="2"/>
                <c:pt idx="0">
                  <c:v>Conversion Ratio</c:v>
                </c:pt>
                <c:pt idx="1">
                  <c:v>varrefl3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Hasil!$Y$11:$Y$75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Hasil!$AC$11:$AC$75</c:f>
              <c:numCache>
                <c:formatCode>0.00E+00</c:formatCode>
                <c:ptCount val="65"/>
                <c:pt idx="0">
                  <c:v>0.62208699999999995</c:v>
                </c:pt>
                <c:pt idx="1">
                  <c:v>0.62587199999999998</c:v>
                </c:pt>
                <c:pt idx="2">
                  <c:v>0.62592800000000004</c:v>
                </c:pt>
                <c:pt idx="3">
                  <c:v>0.62620900000000002</c:v>
                </c:pt>
                <c:pt idx="4">
                  <c:v>0.62656000000000001</c:v>
                </c:pt>
                <c:pt idx="5">
                  <c:v>0.62726899999999997</c:v>
                </c:pt>
                <c:pt idx="6">
                  <c:v>0.62792400000000004</c:v>
                </c:pt>
                <c:pt idx="7">
                  <c:v>0.62957700000000005</c:v>
                </c:pt>
                <c:pt idx="8">
                  <c:v>0.63087599999999999</c:v>
                </c:pt>
                <c:pt idx="9">
                  <c:v>0.63192400000000004</c:v>
                </c:pt>
                <c:pt idx="10">
                  <c:v>0.63280499999999995</c:v>
                </c:pt>
                <c:pt idx="11">
                  <c:v>0.63354699999999997</c:v>
                </c:pt>
                <c:pt idx="12">
                  <c:v>0.63417500000000004</c:v>
                </c:pt>
                <c:pt idx="13">
                  <c:v>0.63471900000000003</c:v>
                </c:pt>
                <c:pt idx="14">
                  <c:v>0.63519800000000004</c:v>
                </c:pt>
                <c:pt idx="15">
                  <c:v>0.63558800000000004</c:v>
                </c:pt>
                <c:pt idx="16">
                  <c:v>0.63597599999999999</c:v>
                </c:pt>
                <c:pt idx="17">
                  <c:v>0.63597400000000004</c:v>
                </c:pt>
                <c:pt idx="18">
                  <c:v>0.63628700000000005</c:v>
                </c:pt>
                <c:pt idx="19">
                  <c:v>0.636629</c:v>
                </c:pt>
                <c:pt idx="20">
                  <c:v>0.63695400000000002</c:v>
                </c:pt>
                <c:pt idx="21">
                  <c:v>0.63733099999999998</c:v>
                </c:pt>
                <c:pt idx="22">
                  <c:v>0.63772899999999999</c:v>
                </c:pt>
                <c:pt idx="23">
                  <c:v>0.63814599999999999</c:v>
                </c:pt>
                <c:pt idx="24">
                  <c:v>0.638567</c:v>
                </c:pt>
                <c:pt idx="25">
                  <c:v>0.639042</c:v>
                </c:pt>
                <c:pt idx="26">
                  <c:v>0.63952200000000003</c:v>
                </c:pt>
                <c:pt idx="27">
                  <c:v>0.63996900000000001</c:v>
                </c:pt>
                <c:pt idx="28">
                  <c:v>0.64037699999999997</c:v>
                </c:pt>
                <c:pt idx="29">
                  <c:v>0.64089499999999999</c:v>
                </c:pt>
                <c:pt idx="30">
                  <c:v>0.64133399999999996</c:v>
                </c:pt>
                <c:pt idx="31">
                  <c:v>0.64174500000000001</c:v>
                </c:pt>
                <c:pt idx="32">
                  <c:v>0.64218299999999995</c:v>
                </c:pt>
                <c:pt idx="33">
                  <c:v>0.64259500000000003</c:v>
                </c:pt>
                <c:pt idx="34">
                  <c:v>0.64301900000000001</c:v>
                </c:pt>
                <c:pt idx="35">
                  <c:v>0.64345699999999995</c:v>
                </c:pt>
                <c:pt idx="36">
                  <c:v>0.64387700000000003</c:v>
                </c:pt>
                <c:pt idx="37">
                  <c:v>0.64429700000000001</c:v>
                </c:pt>
                <c:pt idx="38">
                  <c:v>0.64476999999999995</c:v>
                </c:pt>
                <c:pt idx="39">
                  <c:v>0.64518200000000003</c:v>
                </c:pt>
                <c:pt idx="40">
                  <c:v>0.64559999999999995</c:v>
                </c:pt>
                <c:pt idx="41">
                  <c:v>0.64560300000000004</c:v>
                </c:pt>
                <c:pt idx="42">
                  <c:v>0.64603500000000003</c:v>
                </c:pt>
                <c:pt idx="43">
                  <c:v>0.64646599999999999</c:v>
                </c:pt>
                <c:pt idx="44">
                  <c:v>0.64690800000000004</c:v>
                </c:pt>
                <c:pt idx="45">
                  <c:v>0.64732400000000001</c:v>
                </c:pt>
                <c:pt idx="46">
                  <c:v>0.64772399999999997</c:v>
                </c:pt>
                <c:pt idx="47">
                  <c:v>0.64811099999999999</c:v>
                </c:pt>
                <c:pt idx="48">
                  <c:v>0.64854900000000004</c:v>
                </c:pt>
                <c:pt idx="49">
                  <c:v>0.64897700000000003</c:v>
                </c:pt>
                <c:pt idx="50">
                  <c:v>0.64939100000000005</c:v>
                </c:pt>
                <c:pt idx="51">
                  <c:v>0.64981699999999998</c:v>
                </c:pt>
                <c:pt idx="52">
                  <c:v>0.65022999999999997</c:v>
                </c:pt>
                <c:pt idx="53">
                  <c:v>0.65074500000000002</c:v>
                </c:pt>
                <c:pt idx="54">
                  <c:v>0.65115599999999996</c:v>
                </c:pt>
                <c:pt idx="55">
                  <c:v>0.65157399999999999</c:v>
                </c:pt>
                <c:pt idx="56">
                  <c:v>0.65200400000000003</c:v>
                </c:pt>
                <c:pt idx="57">
                  <c:v>0.65244899999999995</c:v>
                </c:pt>
                <c:pt idx="58">
                  <c:v>0.65287499999999998</c:v>
                </c:pt>
                <c:pt idx="59">
                  <c:v>0.65329099999999996</c:v>
                </c:pt>
                <c:pt idx="60">
                  <c:v>0.65372300000000005</c:v>
                </c:pt>
                <c:pt idx="61">
                  <c:v>0.65415400000000001</c:v>
                </c:pt>
                <c:pt idx="62">
                  <c:v>0.65455700000000006</c:v>
                </c:pt>
                <c:pt idx="63">
                  <c:v>0.65503800000000001</c:v>
                </c:pt>
                <c:pt idx="64">
                  <c:v>0.65544999999999998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Hasil!$AD$9:$AD$10</c:f>
              <c:strCache>
                <c:ptCount val="2"/>
                <c:pt idx="0">
                  <c:v>Conversion Ratio</c:v>
                </c:pt>
                <c:pt idx="1">
                  <c:v>varrefl4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Hasil!$Y$11:$Y$75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Hasil!$AD$11:$AD$75</c:f>
              <c:numCache>
                <c:formatCode>0.00E+00</c:formatCode>
                <c:ptCount val="65"/>
                <c:pt idx="0">
                  <c:v>0.62200900000000003</c:v>
                </c:pt>
                <c:pt idx="1">
                  <c:v>0.62578999999999996</c:v>
                </c:pt>
                <c:pt idx="2">
                  <c:v>0.62584600000000001</c:v>
                </c:pt>
                <c:pt idx="3">
                  <c:v>0.62612500000000004</c:v>
                </c:pt>
                <c:pt idx="4">
                  <c:v>0.62647600000000003</c:v>
                </c:pt>
                <c:pt idx="5">
                  <c:v>0.62718399999999996</c:v>
                </c:pt>
                <c:pt idx="6">
                  <c:v>0.62783999999999995</c:v>
                </c:pt>
                <c:pt idx="7">
                  <c:v>0.62949100000000002</c:v>
                </c:pt>
                <c:pt idx="8">
                  <c:v>0.63078800000000002</c:v>
                </c:pt>
                <c:pt idx="9">
                  <c:v>0.63183800000000001</c:v>
                </c:pt>
                <c:pt idx="10">
                  <c:v>0.63271900000000003</c:v>
                </c:pt>
                <c:pt idx="11">
                  <c:v>0.63346100000000005</c:v>
                </c:pt>
                <c:pt idx="12">
                  <c:v>0.63408299999999995</c:v>
                </c:pt>
                <c:pt idx="13">
                  <c:v>0.63462600000000002</c:v>
                </c:pt>
                <c:pt idx="14">
                  <c:v>0.63510800000000001</c:v>
                </c:pt>
                <c:pt idx="15">
                  <c:v>0.63549999999999995</c:v>
                </c:pt>
                <c:pt idx="16">
                  <c:v>0.63588900000000004</c:v>
                </c:pt>
                <c:pt idx="17">
                  <c:v>0.63588699999999998</c:v>
                </c:pt>
                <c:pt idx="18">
                  <c:v>0.63619899999999996</c:v>
                </c:pt>
                <c:pt idx="19">
                  <c:v>0.63653999999999999</c:v>
                </c:pt>
                <c:pt idx="20">
                  <c:v>0.63686600000000004</c:v>
                </c:pt>
                <c:pt idx="21">
                  <c:v>0.63723600000000002</c:v>
                </c:pt>
                <c:pt idx="22">
                  <c:v>0.63763700000000001</c:v>
                </c:pt>
                <c:pt idx="23">
                  <c:v>0.63804700000000003</c:v>
                </c:pt>
                <c:pt idx="24">
                  <c:v>0.63846899999999995</c:v>
                </c:pt>
                <c:pt idx="25">
                  <c:v>0.63893800000000001</c:v>
                </c:pt>
                <c:pt idx="26">
                  <c:v>0.63941999999999999</c:v>
                </c:pt>
                <c:pt idx="27">
                  <c:v>0.63986100000000001</c:v>
                </c:pt>
                <c:pt idx="28">
                  <c:v>0.64027299999999998</c:v>
                </c:pt>
                <c:pt idx="29">
                  <c:v>0.640787</c:v>
                </c:pt>
                <c:pt idx="30">
                  <c:v>0.64122299999999999</c:v>
                </c:pt>
                <c:pt idx="31">
                  <c:v>0.64164100000000002</c:v>
                </c:pt>
                <c:pt idx="32">
                  <c:v>0.64206600000000003</c:v>
                </c:pt>
                <c:pt idx="33">
                  <c:v>0.64248300000000003</c:v>
                </c:pt>
                <c:pt idx="34">
                  <c:v>0.64289799999999997</c:v>
                </c:pt>
                <c:pt idx="35">
                  <c:v>0.64334100000000005</c:v>
                </c:pt>
                <c:pt idx="36">
                  <c:v>0.64376</c:v>
                </c:pt>
                <c:pt idx="37">
                  <c:v>0.64415699999999998</c:v>
                </c:pt>
                <c:pt idx="38">
                  <c:v>0.64462200000000003</c:v>
                </c:pt>
                <c:pt idx="39">
                  <c:v>0.64505699999999999</c:v>
                </c:pt>
                <c:pt idx="40">
                  <c:v>0.64546599999999998</c:v>
                </c:pt>
                <c:pt idx="41">
                  <c:v>0.64547100000000002</c:v>
                </c:pt>
                <c:pt idx="42">
                  <c:v>0.64589200000000002</c:v>
                </c:pt>
                <c:pt idx="43">
                  <c:v>0.64634499999999995</c:v>
                </c:pt>
                <c:pt idx="44">
                  <c:v>0.64677499999999999</c:v>
                </c:pt>
                <c:pt idx="45">
                  <c:v>0.64719199999999999</c:v>
                </c:pt>
                <c:pt idx="46">
                  <c:v>0.64759100000000003</c:v>
                </c:pt>
                <c:pt idx="47">
                  <c:v>0.64798</c:v>
                </c:pt>
                <c:pt idx="48">
                  <c:v>0.64836899999999997</c:v>
                </c:pt>
                <c:pt idx="49">
                  <c:v>0.64881</c:v>
                </c:pt>
                <c:pt idx="50">
                  <c:v>0.64924999999999999</c:v>
                </c:pt>
                <c:pt idx="51">
                  <c:v>0.649671</c:v>
                </c:pt>
                <c:pt idx="52">
                  <c:v>0.65009099999999997</c:v>
                </c:pt>
                <c:pt idx="53">
                  <c:v>0.65057299999999996</c:v>
                </c:pt>
                <c:pt idx="54">
                  <c:v>0.65100599999999997</c:v>
                </c:pt>
                <c:pt idx="55">
                  <c:v>0.65141899999999997</c:v>
                </c:pt>
                <c:pt idx="56">
                  <c:v>0.65184900000000001</c:v>
                </c:pt>
                <c:pt idx="57">
                  <c:v>0.65228699999999995</c:v>
                </c:pt>
                <c:pt idx="58">
                  <c:v>0.65271100000000004</c:v>
                </c:pt>
                <c:pt idx="59">
                  <c:v>0.65312300000000001</c:v>
                </c:pt>
                <c:pt idx="60">
                  <c:v>0.65354900000000005</c:v>
                </c:pt>
                <c:pt idx="61">
                  <c:v>0.65398900000000004</c:v>
                </c:pt>
                <c:pt idx="62">
                  <c:v>0.65442800000000001</c:v>
                </c:pt>
                <c:pt idx="63">
                  <c:v>0.65485300000000002</c:v>
                </c:pt>
                <c:pt idx="64">
                  <c:v>0.65528699999999995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Hasil!$AE$9:$AE$10</c:f>
              <c:strCache>
                <c:ptCount val="2"/>
                <c:pt idx="0">
                  <c:v>Conversion Ratio</c:v>
                </c:pt>
                <c:pt idx="1">
                  <c:v>varrefl5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Hasil!$Y$11:$Y$75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Hasil!$AE$11:$AE$75</c:f>
              <c:numCache>
                <c:formatCode>0.00E+00</c:formatCode>
                <c:ptCount val="65"/>
                <c:pt idx="0">
                  <c:v>0.62204099999999996</c:v>
                </c:pt>
                <c:pt idx="1">
                  <c:v>0.62582899999999997</c:v>
                </c:pt>
                <c:pt idx="2">
                  <c:v>0.625884</c:v>
                </c:pt>
                <c:pt idx="3">
                  <c:v>0.62616300000000003</c:v>
                </c:pt>
                <c:pt idx="4">
                  <c:v>0.62651400000000002</c:v>
                </c:pt>
                <c:pt idx="5">
                  <c:v>0.627224</c:v>
                </c:pt>
                <c:pt idx="6">
                  <c:v>0.62787800000000005</c:v>
                </c:pt>
                <c:pt idx="7">
                  <c:v>0.62952900000000001</c:v>
                </c:pt>
                <c:pt idx="8">
                  <c:v>0.630826</c:v>
                </c:pt>
                <c:pt idx="9">
                  <c:v>0.63187400000000005</c:v>
                </c:pt>
                <c:pt idx="10">
                  <c:v>0.63275599999999999</c:v>
                </c:pt>
                <c:pt idx="11">
                  <c:v>0.63349599999999995</c:v>
                </c:pt>
                <c:pt idx="12">
                  <c:v>0.63412199999999996</c:v>
                </c:pt>
                <c:pt idx="13">
                  <c:v>0.63466400000000001</c:v>
                </c:pt>
                <c:pt idx="14">
                  <c:v>0.63514199999999998</c:v>
                </c:pt>
                <c:pt idx="15">
                  <c:v>0.63553099999999996</c:v>
                </c:pt>
                <c:pt idx="16">
                  <c:v>0.63592000000000004</c:v>
                </c:pt>
                <c:pt idx="17">
                  <c:v>0.63591900000000001</c:v>
                </c:pt>
                <c:pt idx="18">
                  <c:v>0.63622599999999996</c:v>
                </c:pt>
                <c:pt idx="19">
                  <c:v>0.63656999999999997</c:v>
                </c:pt>
                <c:pt idx="20">
                  <c:v>0.63689200000000001</c:v>
                </c:pt>
                <c:pt idx="21">
                  <c:v>0.63727100000000003</c:v>
                </c:pt>
                <c:pt idx="22">
                  <c:v>0.63766800000000001</c:v>
                </c:pt>
                <c:pt idx="23">
                  <c:v>0.63808600000000004</c:v>
                </c:pt>
                <c:pt idx="24">
                  <c:v>0.63850499999999999</c:v>
                </c:pt>
                <c:pt idx="25">
                  <c:v>0.63897800000000005</c:v>
                </c:pt>
                <c:pt idx="26">
                  <c:v>0.63946000000000003</c:v>
                </c:pt>
                <c:pt idx="27">
                  <c:v>0.63990599999999997</c:v>
                </c:pt>
                <c:pt idx="28">
                  <c:v>0.64030699999999996</c:v>
                </c:pt>
                <c:pt idx="29">
                  <c:v>0.64082399999999995</c:v>
                </c:pt>
                <c:pt idx="30">
                  <c:v>0.641266</c:v>
                </c:pt>
                <c:pt idx="31">
                  <c:v>0.64167600000000002</c:v>
                </c:pt>
                <c:pt idx="32">
                  <c:v>0.64210199999999995</c:v>
                </c:pt>
                <c:pt idx="33">
                  <c:v>0.64251599999999998</c:v>
                </c:pt>
                <c:pt idx="34">
                  <c:v>0.64293400000000001</c:v>
                </c:pt>
                <c:pt idx="35">
                  <c:v>0.64336300000000002</c:v>
                </c:pt>
                <c:pt idx="36">
                  <c:v>0.64377899999999999</c:v>
                </c:pt>
                <c:pt idx="37">
                  <c:v>0.64420200000000005</c:v>
                </c:pt>
                <c:pt idx="38">
                  <c:v>0.64464999999999995</c:v>
                </c:pt>
                <c:pt idx="39">
                  <c:v>0.64507199999999998</c:v>
                </c:pt>
                <c:pt idx="40">
                  <c:v>0.64547500000000002</c:v>
                </c:pt>
                <c:pt idx="41">
                  <c:v>0.64548099999999997</c:v>
                </c:pt>
                <c:pt idx="42">
                  <c:v>0.64591500000000002</c:v>
                </c:pt>
                <c:pt idx="43">
                  <c:v>0.64635600000000004</c:v>
                </c:pt>
                <c:pt idx="44">
                  <c:v>0.64677600000000002</c:v>
                </c:pt>
                <c:pt idx="45">
                  <c:v>0.64718500000000001</c:v>
                </c:pt>
                <c:pt idx="46">
                  <c:v>0.64756199999999997</c:v>
                </c:pt>
                <c:pt idx="47">
                  <c:v>0.64795499999999995</c:v>
                </c:pt>
                <c:pt idx="48">
                  <c:v>0.64840600000000004</c:v>
                </c:pt>
                <c:pt idx="49">
                  <c:v>0.64882499999999999</c:v>
                </c:pt>
                <c:pt idx="50">
                  <c:v>0.64923900000000001</c:v>
                </c:pt>
                <c:pt idx="51">
                  <c:v>0.64965600000000001</c:v>
                </c:pt>
                <c:pt idx="52">
                  <c:v>0.65008100000000002</c:v>
                </c:pt>
                <c:pt idx="53">
                  <c:v>0.65058300000000002</c:v>
                </c:pt>
                <c:pt idx="54">
                  <c:v>0.65097000000000005</c:v>
                </c:pt>
                <c:pt idx="55">
                  <c:v>0.65139999999999998</c:v>
                </c:pt>
                <c:pt idx="56">
                  <c:v>0.65182600000000002</c:v>
                </c:pt>
                <c:pt idx="57">
                  <c:v>0.65227599999999997</c:v>
                </c:pt>
                <c:pt idx="58">
                  <c:v>0.65269500000000003</c:v>
                </c:pt>
                <c:pt idx="59">
                  <c:v>0.65311399999999997</c:v>
                </c:pt>
                <c:pt idx="60">
                  <c:v>0.65353499999999998</c:v>
                </c:pt>
                <c:pt idx="61">
                  <c:v>0.65396399999999999</c:v>
                </c:pt>
                <c:pt idx="62">
                  <c:v>0.65440299999999996</c:v>
                </c:pt>
                <c:pt idx="63">
                  <c:v>0.654806</c:v>
                </c:pt>
                <c:pt idx="64">
                  <c:v>0.65527299999999999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Hasil!$AF$9:$AF$10</c:f>
              <c:strCache>
                <c:ptCount val="2"/>
                <c:pt idx="0">
                  <c:v>Conversion Ratio</c:v>
                </c:pt>
                <c:pt idx="1">
                  <c:v>varrefl6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Hasil!$Y$11:$Y$75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Hasil!$AF$11:$AF$75</c:f>
              <c:numCache>
                <c:formatCode>0.00E+00</c:formatCode>
                <c:ptCount val="65"/>
                <c:pt idx="0">
                  <c:v>0.62229299999999999</c:v>
                </c:pt>
                <c:pt idx="1">
                  <c:v>0.62609199999999998</c:v>
                </c:pt>
                <c:pt idx="2">
                  <c:v>0.62614599999999998</c:v>
                </c:pt>
                <c:pt idx="3">
                  <c:v>0.62643099999999996</c:v>
                </c:pt>
                <c:pt idx="4">
                  <c:v>0.62678500000000004</c:v>
                </c:pt>
                <c:pt idx="5">
                  <c:v>0.62749600000000005</c:v>
                </c:pt>
                <c:pt idx="6">
                  <c:v>0.62815600000000005</c:v>
                </c:pt>
                <c:pt idx="7">
                  <c:v>0.62981500000000001</c:v>
                </c:pt>
                <c:pt idx="8">
                  <c:v>0.63111399999999995</c:v>
                </c:pt>
                <c:pt idx="9">
                  <c:v>0.63217100000000004</c:v>
                </c:pt>
                <c:pt idx="10">
                  <c:v>0.63305</c:v>
                </c:pt>
                <c:pt idx="11">
                  <c:v>0.633795</c:v>
                </c:pt>
                <c:pt idx="12">
                  <c:v>0.63441099999999995</c:v>
                </c:pt>
                <c:pt idx="13">
                  <c:v>0.63495999999999997</c:v>
                </c:pt>
                <c:pt idx="14">
                  <c:v>0.63544400000000001</c:v>
                </c:pt>
                <c:pt idx="15">
                  <c:v>0.63582799999999995</c:v>
                </c:pt>
                <c:pt idx="16">
                  <c:v>0.63621899999999998</c:v>
                </c:pt>
                <c:pt idx="17">
                  <c:v>0.63621799999999995</c:v>
                </c:pt>
                <c:pt idx="18">
                  <c:v>0.63652799999999998</c:v>
                </c:pt>
                <c:pt idx="19">
                  <c:v>0.636876</c:v>
                </c:pt>
                <c:pt idx="20">
                  <c:v>0.63719999999999999</c:v>
                </c:pt>
                <c:pt idx="21">
                  <c:v>0.63758700000000001</c:v>
                </c:pt>
                <c:pt idx="22">
                  <c:v>0.637988</c:v>
                </c:pt>
                <c:pt idx="23">
                  <c:v>0.63841599999999998</c:v>
                </c:pt>
                <c:pt idx="24">
                  <c:v>0.63884799999999997</c:v>
                </c:pt>
                <c:pt idx="25">
                  <c:v>0.63933300000000004</c:v>
                </c:pt>
                <c:pt idx="26">
                  <c:v>0.63982300000000003</c:v>
                </c:pt>
                <c:pt idx="27">
                  <c:v>0.64027699999999999</c:v>
                </c:pt>
                <c:pt idx="28">
                  <c:v>0.64068499999999995</c:v>
                </c:pt>
                <c:pt idx="29">
                  <c:v>0.64121799999999995</c:v>
                </c:pt>
                <c:pt idx="30">
                  <c:v>0.64166800000000002</c:v>
                </c:pt>
                <c:pt idx="31">
                  <c:v>0.64208699999999996</c:v>
                </c:pt>
                <c:pt idx="32">
                  <c:v>0.64252399999999998</c:v>
                </c:pt>
                <c:pt idx="33">
                  <c:v>0.64294499999999999</c:v>
                </c:pt>
                <c:pt idx="34">
                  <c:v>0.64337900000000003</c:v>
                </c:pt>
                <c:pt idx="35">
                  <c:v>0.64382099999999998</c:v>
                </c:pt>
                <c:pt idx="36">
                  <c:v>0.64422999999999997</c:v>
                </c:pt>
                <c:pt idx="37">
                  <c:v>0.64466299999999999</c:v>
                </c:pt>
                <c:pt idx="38">
                  <c:v>0.64512199999999997</c:v>
                </c:pt>
                <c:pt idx="39">
                  <c:v>0.64555600000000002</c:v>
                </c:pt>
                <c:pt idx="40">
                  <c:v>0.64598100000000003</c:v>
                </c:pt>
                <c:pt idx="41">
                  <c:v>0.64598599999999995</c:v>
                </c:pt>
                <c:pt idx="42">
                  <c:v>0.646428</c:v>
                </c:pt>
                <c:pt idx="43">
                  <c:v>0.64687899999999998</c:v>
                </c:pt>
                <c:pt idx="44">
                  <c:v>0.64731000000000005</c:v>
                </c:pt>
                <c:pt idx="45">
                  <c:v>0.64773000000000003</c:v>
                </c:pt>
                <c:pt idx="46">
                  <c:v>0.64813500000000002</c:v>
                </c:pt>
                <c:pt idx="47">
                  <c:v>0.64854199999999995</c:v>
                </c:pt>
                <c:pt idx="48">
                  <c:v>0.64898</c:v>
                </c:pt>
                <c:pt idx="49">
                  <c:v>0.64941599999999999</c:v>
                </c:pt>
                <c:pt idx="50">
                  <c:v>0.64983599999999997</c:v>
                </c:pt>
                <c:pt idx="51">
                  <c:v>0.65026399999999995</c:v>
                </c:pt>
                <c:pt idx="52">
                  <c:v>0.65069900000000003</c:v>
                </c:pt>
                <c:pt idx="53">
                  <c:v>0.65121300000000004</c:v>
                </c:pt>
                <c:pt idx="54">
                  <c:v>0.65163300000000002</c:v>
                </c:pt>
                <c:pt idx="55">
                  <c:v>0.65204799999999996</c:v>
                </c:pt>
                <c:pt idx="56">
                  <c:v>0.65248899999999999</c:v>
                </c:pt>
                <c:pt idx="57">
                  <c:v>0.65294700000000006</c:v>
                </c:pt>
                <c:pt idx="58">
                  <c:v>0.65338399999999996</c:v>
                </c:pt>
                <c:pt idx="59">
                  <c:v>0.653806</c:v>
                </c:pt>
                <c:pt idx="60">
                  <c:v>0.65423799999999999</c:v>
                </c:pt>
                <c:pt idx="61">
                  <c:v>0.654671</c:v>
                </c:pt>
                <c:pt idx="62">
                  <c:v>0.655115</c:v>
                </c:pt>
                <c:pt idx="63">
                  <c:v>0.65555600000000003</c:v>
                </c:pt>
                <c:pt idx="64">
                  <c:v>0.65600400000000003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Hasil!$AG$9:$AG$10</c:f>
              <c:strCache>
                <c:ptCount val="2"/>
                <c:pt idx="0">
                  <c:v>Conversion Ratio</c:v>
                </c:pt>
                <c:pt idx="1">
                  <c:v>varrefl7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Hasil!$Y$11:$Y$75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Hasil!$AG$11:$AG$75</c:f>
              <c:numCache>
                <c:formatCode>0.00E+00</c:formatCode>
                <c:ptCount val="65"/>
                <c:pt idx="0">
                  <c:v>0.62161500000000003</c:v>
                </c:pt>
                <c:pt idx="1">
                  <c:v>0.62537299999999996</c:v>
                </c:pt>
                <c:pt idx="2">
                  <c:v>0.62542799999999998</c:v>
                </c:pt>
                <c:pt idx="3">
                  <c:v>0.62570599999999998</c:v>
                </c:pt>
                <c:pt idx="4">
                  <c:v>0.62605299999999997</c:v>
                </c:pt>
                <c:pt idx="5">
                  <c:v>0.62675400000000003</c:v>
                </c:pt>
                <c:pt idx="6">
                  <c:v>0.62740799999999997</c:v>
                </c:pt>
                <c:pt idx="7">
                  <c:v>0.62905</c:v>
                </c:pt>
                <c:pt idx="8">
                  <c:v>0.63033700000000004</c:v>
                </c:pt>
                <c:pt idx="9">
                  <c:v>0.63138099999999997</c:v>
                </c:pt>
                <c:pt idx="10">
                  <c:v>0.63225900000000002</c:v>
                </c:pt>
                <c:pt idx="11">
                  <c:v>0.63299700000000003</c:v>
                </c:pt>
                <c:pt idx="12">
                  <c:v>0.63361999999999996</c:v>
                </c:pt>
                <c:pt idx="13">
                  <c:v>0.63416099999999997</c:v>
                </c:pt>
                <c:pt idx="14">
                  <c:v>0.63463800000000004</c:v>
                </c:pt>
                <c:pt idx="15">
                  <c:v>0.63502599999999998</c:v>
                </c:pt>
                <c:pt idx="16">
                  <c:v>0.63541499999999995</c:v>
                </c:pt>
                <c:pt idx="17">
                  <c:v>0.63541199999999998</c:v>
                </c:pt>
                <c:pt idx="18">
                  <c:v>0.63572499999999998</c:v>
                </c:pt>
                <c:pt idx="19">
                  <c:v>0.63605800000000001</c:v>
                </c:pt>
                <c:pt idx="20">
                  <c:v>0.63638300000000003</c:v>
                </c:pt>
                <c:pt idx="21">
                  <c:v>0.63674600000000003</c:v>
                </c:pt>
                <c:pt idx="22">
                  <c:v>0.63713799999999998</c:v>
                </c:pt>
                <c:pt idx="23">
                  <c:v>0.63753899999999997</c:v>
                </c:pt>
                <c:pt idx="24">
                  <c:v>0.63795100000000005</c:v>
                </c:pt>
                <c:pt idx="25">
                  <c:v>0.63840699999999995</c:v>
                </c:pt>
                <c:pt idx="26">
                  <c:v>0.638876</c:v>
                </c:pt>
                <c:pt idx="27">
                  <c:v>0.63931099999999996</c:v>
                </c:pt>
                <c:pt idx="28">
                  <c:v>0.63970199999999999</c:v>
                </c:pt>
                <c:pt idx="29">
                  <c:v>0.64020100000000002</c:v>
                </c:pt>
                <c:pt idx="30">
                  <c:v>0.64062600000000003</c:v>
                </c:pt>
                <c:pt idx="31">
                  <c:v>0.64102499999999996</c:v>
                </c:pt>
                <c:pt idx="32">
                  <c:v>0.64144299999999999</c:v>
                </c:pt>
                <c:pt idx="33">
                  <c:v>0.64183400000000002</c:v>
                </c:pt>
                <c:pt idx="34">
                  <c:v>0.64224099999999995</c:v>
                </c:pt>
                <c:pt idx="35">
                  <c:v>0.64265700000000003</c:v>
                </c:pt>
                <c:pt idx="36">
                  <c:v>0.64305999999999996</c:v>
                </c:pt>
                <c:pt idx="37">
                  <c:v>0.64346800000000004</c:v>
                </c:pt>
                <c:pt idx="38">
                  <c:v>0.64390400000000003</c:v>
                </c:pt>
                <c:pt idx="39">
                  <c:v>0.64431300000000002</c:v>
                </c:pt>
                <c:pt idx="40">
                  <c:v>0.64469799999999999</c:v>
                </c:pt>
                <c:pt idx="41">
                  <c:v>0.64470499999999997</c:v>
                </c:pt>
                <c:pt idx="42">
                  <c:v>0.64512599999999998</c:v>
                </c:pt>
                <c:pt idx="43">
                  <c:v>0.64555799999999997</c:v>
                </c:pt>
                <c:pt idx="44">
                  <c:v>0.64596299999999995</c:v>
                </c:pt>
                <c:pt idx="45">
                  <c:v>0.64635600000000004</c:v>
                </c:pt>
                <c:pt idx="46">
                  <c:v>0.64673099999999994</c:v>
                </c:pt>
                <c:pt idx="47">
                  <c:v>0.64710800000000002</c:v>
                </c:pt>
                <c:pt idx="48">
                  <c:v>0.64753099999999997</c:v>
                </c:pt>
                <c:pt idx="49">
                  <c:v>0.64793599999999996</c:v>
                </c:pt>
                <c:pt idx="50">
                  <c:v>0.64833099999999999</c:v>
                </c:pt>
                <c:pt idx="51">
                  <c:v>0.64873999999999998</c:v>
                </c:pt>
                <c:pt idx="52">
                  <c:v>0.64915400000000001</c:v>
                </c:pt>
                <c:pt idx="53">
                  <c:v>0.64963499999999996</c:v>
                </c:pt>
                <c:pt idx="54">
                  <c:v>0.65003500000000003</c:v>
                </c:pt>
                <c:pt idx="55">
                  <c:v>0.65042699999999998</c:v>
                </c:pt>
                <c:pt idx="56">
                  <c:v>0.65084500000000001</c:v>
                </c:pt>
                <c:pt idx="57">
                  <c:v>0.65126899999999999</c:v>
                </c:pt>
                <c:pt idx="58">
                  <c:v>0.65167900000000001</c:v>
                </c:pt>
                <c:pt idx="59">
                  <c:v>0.65205000000000002</c:v>
                </c:pt>
                <c:pt idx="60">
                  <c:v>0.65247100000000002</c:v>
                </c:pt>
                <c:pt idx="61">
                  <c:v>0.652895</c:v>
                </c:pt>
                <c:pt idx="62">
                  <c:v>0.65332000000000001</c:v>
                </c:pt>
                <c:pt idx="63">
                  <c:v>0.65373700000000001</c:v>
                </c:pt>
                <c:pt idx="64">
                  <c:v>0.65415900000000005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6859504"/>
        <c:axId val="-1376854064"/>
      </c:scatterChart>
      <c:valAx>
        <c:axId val="-13768595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Tahun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376854064"/>
        <c:crosses val="autoZero"/>
        <c:crossBetween val="midCat"/>
        <c:majorUnit val="0.5"/>
      </c:valAx>
      <c:valAx>
        <c:axId val="-1376854064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Conversion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37685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Hasil!$BO$10</c:f>
              <c:strCache>
                <c:ptCount val="1"/>
                <c:pt idx="0">
                  <c:v>BOC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Hasil!$BN$11:$BN$49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Hasil!$BO$11:$BO$49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33.781850423400002</c:v>
                </c:pt>
                <c:pt idx="5">
                  <c:v>44.795215001479995</c:v>
                </c:pt>
                <c:pt idx="6">
                  <c:v>60.695433295480001</c:v>
                </c:pt>
                <c:pt idx="7">
                  <c:v>76.247909298319996</c:v>
                </c:pt>
                <c:pt idx="8">
                  <c:v>91.271999537079992</c:v>
                </c:pt>
                <c:pt idx="9">
                  <c:v>105.65397087072</c:v>
                </c:pt>
                <c:pt idx="10">
                  <c:v>119.28083753992</c:v>
                </c:pt>
                <c:pt idx="11">
                  <c:v>132.04333758199999</c:v>
                </c:pt>
                <c:pt idx="12">
                  <c:v>143.83610328639998</c:v>
                </c:pt>
                <c:pt idx="13">
                  <c:v>154.55814633719999</c:v>
                </c:pt>
                <c:pt idx="14">
                  <c:v>164.1130938284</c:v>
                </c:pt>
                <c:pt idx="15">
                  <c:v>172.41034211639999</c:v>
                </c:pt>
                <c:pt idx="16">
                  <c:v>179.36558129839997</c:v>
                </c:pt>
                <c:pt idx="17">
                  <c:v>184.90236864759999</c:v>
                </c:pt>
                <c:pt idx="18">
                  <c:v>188.95370204839998</c:v>
                </c:pt>
                <c:pt idx="19">
                  <c:v>191.4624133552</c:v>
                </c:pt>
                <c:pt idx="20">
                  <c:v>192.38365966480001</c:v>
                </c:pt>
                <c:pt idx="21">
                  <c:v>191.68557891439997</c:v>
                </c:pt>
                <c:pt idx="22">
                  <c:v>189.35086331679997</c:v>
                </c:pt>
                <c:pt idx="23">
                  <c:v>185.37754607799999</c:v>
                </c:pt>
                <c:pt idx="24">
                  <c:v>179.77991923439998</c:v>
                </c:pt>
                <c:pt idx="25">
                  <c:v>172.58945148999999</c:v>
                </c:pt>
                <c:pt idx="26">
                  <c:v>163.85426373799999</c:v>
                </c:pt>
                <c:pt idx="27">
                  <c:v>153.63978465879998</c:v>
                </c:pt>
                <c:pt idx="28">
                  <c:v>142.02770176319999</c:v>
                </c:pt>
                <c:pt idx="29">
                  <c:v>129.11572537711999</c:v>
                </c:pt>
                <c:pt idx="30">
                  <c:v>115.01705105123999</c:v>
                </c:pt>
                <c:pt idx="31">
                  <c:v>99.858969693239985</c:v>
                </c:pt>
                <c:pt idx="32">
                  <c:v>83.78218574588</c:v>
                </c:pt>
                <c:pt idx="33">
                  <c:v>66.936214889039988</c:v>
                </c:pt>
                <c:pt idx="34">
                  <c:v>49.551617827359998</c:v>
                </c:pt>
                <c:pt idx="35">
                  <c:v>37.504899681680001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Hasil!$BP$10</c:f>
              <c:strCache>
                <c:ptCount val="1"/>
                <c:pt idx="0">
                  <c:v>EO1C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Hasil!$BN$11:$BN$49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Hasil!$BP$11:$BP$49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31.260237945790003</c:v>
                </c:pt>
                <c:pt idx="5">
                  <c:v>41.144107881170001</c:v>
                </c:pt>
                <c:pt idx="6">
                  <c:v>55.35078300304</c:v>
                </c:pt>
                <c:pt idx="7">
                  <c:v>68.878934597620002</c:v>
                </c:pt>
                <c:pt idx="8">
                  <c:v>81.444573681380007</c:v>
                </c:pt>
                <c:pt idx="9">
                  <c:v>92.804319632359991</c:v>
                </c:pt>
                <c:pt idx="10">
                  <c:v>102.67151909406</c:v>
                </c:pt>
                <c:pt idx="11">
                  <c:v>110.7091548038</c:v>
                </c:pt>
                <c:pt idx="12">
                  <c:v>113.2467367955</c:v>
                </c:pt>
                <c:pt idx="13">
                  <c:v>118.84347511399999</c:v>
                </c:pt>
                <c:pt idx="14">
                  <c:v>124.12235477390001</c:v>
                </c:pt>
                <c:pt idx="15">
                  <c:v>128.8817335407</c:v>
                </c:pt>
                <c:pt idx="16">
                  <c:v>132.96931709949999</c:v>
                </c:pt>
                <c:pt idx="17">
                  <c:v>136.27739013839999</c:v>
                </c:pt>
                <c:pt idx="18">
                  <c:v>138.7216672401</c:v>
                </c:pt>
                <c:pt idx="19">
                  <c:v>140.23082199980001</c:v>
                </c:pt>
                <c:pt idx="20">
                  <c:v>140.43764783929998</c:v>
                </c:pt>
                <c:pt idx="21">
                  <c:v>140.11543495250001</c:v>
                </c:pt>
                <c:pt idx="22">
                  <c:v>138.92351681880001</c:v>
                </c:pt>
                <c:pt idx="23">
                  <c:v>136.84509855799999</c:v>
                </c:pt>
                <c:pt idx="24">
                  <c:v>133.8913767569</c:v>
                </c:pt>
                <c:pt idx="25">
                  <c:v>130.11429113759999</c:v>
                </c:pt>
                <c:pt idx="26">
                  <c:v>125.62445983080001</c:v>
                </c:pt>
                <c:pt idx="27">
                  <c:v>120.59574094820002</c:v>
                </c:pt>
                <c:pt idx="28">
                  <c:v>118.47139594710001</c:v>
                </c:pt>
                <c:pt idx="29">
                  <c:v>110.49372418000002</c:v>
                </c:pt>
                <c:pt idx="30">
                  <c:v>100.39487977806</c:v>
                </c:pt>
                <c:pt idx="31">
                  <c:v>88.519147418170007</c:v>
                </c:pt>
                <c:pt idx="32">
                  <c:v>75.172079880660007</c:v>
                </c:pt>
                <c:pt idx="33">
                  <c:v>60.626003037809994</c:v>
                </c:pt>
                <c:pt idx="34">
                  <c:v>45.209671485930002</c:v>
                </c:pt>
                <c:pt idx="35">
                  <c:v>34.516661544469997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Hasil!$BQ$10</c:f>
              <c:strCache>
                <c:ptCount val="1"/>
                <c:pt idx="0">
                  <c:v>EO2C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Hasil!$BN$11:$BN$49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Hasil!$BQ$11:$BQ$49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30.408395746876</c:v>
                </c:pt>
                <c:pt idx="5">
                  <c:v>41.137761867496003</c:v>
                </c:pt>
                <c:pt idx="6">
                  <c:v>54.546948749622004</c:v>
                </c:pt>
                <c:pt idx="7">
                  <c:v>66.329804411332006</c:v>
                </c:pt>
                <c:pt idx="8">
                  <c:v>76.118656168982</c:v>
                </c:pt>
                <c:pt idx="9">
                  <c:v>83.589407479060014</c:v>
                </c:pt>
                <c:pt idx="10">
                  <c:v>88.463958834859994</c:v>
                </c:pt>
                <c:pt idx="11">
                  <c:v>90.607291315940003</c:v>
                </c:pt>
                <c:pt idx="12">
                  <c:v>89.25518456959999</c:v>
                </c:pt>
                <c:pt idx="13">
                  <c:v>88.852740459139994</c:v>
                </c:pt>
                <c:pt idx="14">
                  <c:v>88.681599842780017</c:v>
                </c:pt>
                <c:pt idx="15">
                  <c:v>88.738886407639995</c:v>
                </c:pt>
                <c:pt idx="16">
                  <c:v>88.943344314859999</c:v>
                </c:pt>
                <c:pt idx="17">
                  <c:v>89.216913628780006</c:v>
                </c:pt>
                <c:pt idx="18">
                  <c:v>89.492160791879996</c:v>
                </c:pt>
                <c:pt idx="19">
                  <c:v>89.717152377160005</c:v>
                </c:pt>
                <c:pt idx="20">
                  <c:v>89.635976435879996</c:v>
                </c:pt>
                <c:pt idx="21">
                  <c:v>89.928641271420005</c:v>
                </c:pt>
                <c:pt idx="22">
                  <c:v>90.361606257440002</c:v>
                </c:pt>
                <c:pt idx="23">
                  <c:v>90.928958973020002</c:v>
                </c:pt>
                <c:pt idx="24">
                  <c:v>91.635493272960005</c:v>
                </c:pt>
                <c:pt idx="25">
                  <c:v>92.503580479660016</c:v>
                </c:pt>
                <c:pt idx="26">
                  <c:v>93.567736347679997</c:v>
                </c:pt>
                <c:pt idx="27">
                  <c:v>94.795762152280005</c:v>
                </c:pt>
                <c:pt idx="28">
                  <c:v>97.371580233900005</c:v>
                </c:pt>
                <c:pt idx="29">
                  <c:v>95.656978167099993</c:v>
                </c:pt>
                <c:pt idx="30">
                  <c:v>90.873510052500009</c:v>
                </c:pt>
                <c:pt idx="31">
                  <c:v>83.147414066500005</c:v>
                </c:pt>
                <c:pt idx="32">
                  <c:v>72.763628948654002</c:v>
                </c:pt>
                <c:pt idx="33">
                  <c:v>60.069717161720007</c:v>
                </c:pt>
                <c:pt idx="34">
                  <c:v>45.476360256656001</c:v>
                </c:pt>
                <c:pt idx="35">
                  <c:v>33.905984219198004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Hasil!$BR$10</c:f>
              <c:strCache>
                <c:ptCount val="1"/>
                <c:pt idx="0">
                  <c:v>EO3C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Hasil!$BN$11:$BN$49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Hasil!$BR$11:$BR$49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28.671662728800001</c:v>
                </c:pt>
                <c:pt idx="5">
                  <c:v>38.908274605199999</c:v>
                </c:pt>
                <c:pt idx="6">
                  <c:v>51.332169552300002</c:v>
                </c:pt>
                <c:pt idx="7">
                  <c:v>61.908198288299999</c:v>
                </c:pt>
                <c:pt idx="8">
                  <c:v>70.282057481999999</c:v>
                </c:pt>
                <c:pt idx="9">
                  <c:v>76.124931245999989</c:v>
                </c:pt>
                <c:pt idx="10">
                  <c:v>79.143289407000012</c:v>
                </c:pt>
                <c:pt idx="11">
                  <c:v>79.138645677</c:v>
                </c:pt>
                <c:pt idx="12">
                  <c:v>72.750199976999994</c:v>
                </c:pt>
                <c:pt idx="13">
                  <c:v>70.515637100999996</c:v>
                </c:pt>
                <c:pt idx="14">
                  <c:v>68.915606760000003</c:v>
                </c:pt>
                <c:pt idx="15">
                  <c:v>67.831494821999996</c:v>
                </c:pt>
                <c:pt idx="16">
                  <c:v>67.142365290000001</c:v>
                </c:pt>
                <c:pt idx="17">
                  <c:v>66.757665428999999</c:v>
                </c:pt>
                <c:pt idx="18">
                  <c:v>66.608270000999994</c:v>
                </c:pt>
                <c:pt idx="19">
                  <c:v>66.643296992999993</c:v>
                </c:pt>
                <c:pt idx="20">
                  <c:v>66.632749092000012</c:v>
                </c:pt>
                <c:pt idx="21">
                  <c:v>67.139181018000002</c:v>
                </c:pt>
                <c:pt idx="22">
                  <c:v>67.958799362999997</c:v>
                </c:pt>
                <c:pt idx="23">
                  <c:v>69.09439036500001</c:v>
                </c:pt>
                <c:pt idx="24">
                  <c:v>70.565524029000002</c:v>
                </c:pt>
                <c:pt idx="25">
                  <c:v>72.417708908999998</c:v>
                </c:pt>
                <c:pt idx="26">
                  <c:v>74.731281534000004</c:v>
                </c:pt>
                <c:pt idx="27">
                  <c:v>77.587838873999999</c:v>
                </c:pt>
                <c:pt idx="28">
                  <c:v>84.558674655000004</c:v>
                </c:pt>
                <c:pt idx="29">
                  <c:v>84.872723480999994</c:v>
                </c:pt>
                <c:pt idx="30">
                  <c:v>81.925016354999997</c:v>
                </c:pt>
                <c:pt idx="31">
                  <c:v>75.893341797000005</c:v>
                </c:pt>
                <c:pt idx="32">
                  <c:v>67.066606152000006</c:v>
                </c:pt>
                <c:pt idx="33">
                  <c:v>55.784697286499998</c:v>
                </c:pt>
                <c:pt idx="34">
                  <c:v>42.4291838607</c:v>
                </c:pt>
                <c:pt idx="35">
                  <c:v>31.517420079599997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Hasil!$BS$10</c:f>
              <c:strCache>
                <c:ptCount val="1"/>
                <c:pt idx="0">
                  <c:v>EO4C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Hasil!$BN$11:$BN$49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Hasil!$BS$11:$BS$49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28.114765046635</c:v>
                </c:pt>
                <c:pt idx="5">
                  <c:v>38.239681514485</c:v>
                </c:pt>
                <c:pt idx="6">
                  <c:v>50.296107134535006</c:v>
                </c:pt>
                <c:pt idx="7">
                  <c:v>60.351672767450012</c:v>
                </c:pt>
                <c:pt idx="8">
                  <c:v>68.076534635250013</c:v>
                </c:pt>
                <c:pt idx="9">
                  <c:v>73.1660412807</c:v>
                </c:pt>
                <c:pt idx="10">
                  <c:v>75.354407552550001</c:v>
                </c:pt>
                <c:pt idx="11">
                  <c:v>74.463425241099998</c:v>
                </c:pt>
                <c:pt idx="12">
                  <c:v>67.144436388800003</c:v>
                </c:pt>
                <c:pt idx="13">
                  <c:v>64.101093617150013</c:v>
                </c:pt>
                <c:pt idx="14">
                  <c:v>61.726824582050007</c:v>
                </c:pt>
                <c:pt idx="15">
                  <c:v>59.894933466650009</c:v>
                </c:pt>
                <c:pt idx="16">
                  <c:v>58.496715612515004</c:v>
                </c:pt>
                <c:pt idx="17">
                  <c:v>57.460200512280004</c:v>
                </c:pt>
                <c:pt idx="18">
                  <c:v>56.73344699263</c:v>
                </c:pt>
                <c:pt idx="19">
                  <c:v>56.277612242400004</c:v>
                </c:pt>
                <c:pt idx="20">
                  <c:v>55.901630511645003</c:v>
                </c:pt>
                <c:pt idx="21">
                  <c:v>56.087879823490006</c:v>
                </c:pt>
                <c:pt idx="22">
                  <c:v>56.660677661385009</c:v>
                </c:pt>
                <c:pt idx="23">
                  <c:v>57.616517423445003</c:v>
                </c:pt>
                <c:pt idx="24">
                  <c:v>58.964891016949998</c:v>
                </c:pt>
                <c:pt idx="25">
                  <c:v>60.736870341349999</c:v>
                </c:pt>
                <c:pt idx="26">
                  <c:v>62.99906908505001</c:v>
                </c:pt>
                <c:pt idx="27">
                  <c:v>65.834541436750001</c:v>
                </c:pt>
                <c:pt idx="28">
                  <c:v>72.515176029649993</c:v>
                </c:pt>
                <c:pt idx="29">
                  <c:v>73.220079366700006</c:v>
                </c:pt>
                <c:pt idx="30">
                  <c:v>71.013210924099994</c:v>
                </c:pt>
                <c:pt idx="31">
                  <c:v>66.046699661350004</c:v>
                </c:pt>
                <c:pt idx="32">
                  <c:v>58.560504048815005</c:v>
                </c:pt>
                <c:pt idx="33">
                  <c:v>48.836550179085002</c:v>
                </c:pt>
                <c:pt idx="34">
                  <c:v>37.186303007195001</c:v>
                </c:pt>
                <c:pt idx="35">
                  <c:v>27.507423949635001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6866032"/>
        <c:axId val="-1376857872"/>
      </c:scatterChart>
      <c:valAx>
        <c:axId val="-1376866032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  <a:r>
                  <a:rPr lang="id-ID"/>
                  <a:t>ksial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376857872"/>
        <c:crosses val="autoZero"/>
        <c:crossBetween val="midCat"/>
      </c:valAx>
      <c:valAx>
        <c:axId val="-13768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Densitas Daya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37686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Laju Penurunan Densitas Daya Maksimum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Hasil!$BW$11</c:f>
              <c:strCache>
                <c:ptCount val="1"/>
                <c:pt idx="0">
                  <c:v>Maksimum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2972222222222222E-2"/>
                  <c:y val="0.12655001458151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Hasil!$BV$12:$BV$16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Hasil!$BW$12:$BW$16</c:f>
              <c:numCache>
                <c:formatCode>0.000000E+00</c:formatCode>
                <c:ptCount val="5"/>
                <c:pt idx="0">
                  <c:v>192.38365966480001</c:v>
                </c:pt>
                <c:pt idx="1">
                  <c:v>140.43764783929998</c:v>
                </c:pt>
                <c:pt idx="2">
                  <c:v>97.371580233900005</c:v>
                </c:pt>
                <c:pt idx="3">
                  <c:v>84.872723480999994</c:v>
                </c:pt>
                <c:pt idx="4">
                  <c:v>75.354407552550001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6860592"/>
        <c:axId val="-1376856784"/>
      </c:scatterChart>
      <c:valAx>
        <c:axId val="-1376860592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Tahun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376856784"/>
        <c:crosses val="autoZero"/>
        <c:crossBetween val="midCat"/>
      </c:valAx>
      <c:valAx>
        <c:axId val="-13768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Densitas Daya Aksial</a:t>
                </a:r>
                <a:r>
                  <a:rPr lang="id-ID" baseline="0"/>
                  <a:t> Maksimum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3768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Hasil!$CC$7</c:f>
              <c:strCache>
                <c:ptCount val="1"/>
                <c:pt idx="0">
                  <c:v>365.25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Hasil!$CD$6:$CL$6</c:f>
              <c:strCache>
                <c:ptCount val="9"/>
                <c:pt idx="0">
                  <c:v>Benchmark</c:v>
                </c:pt>
                <c:pt idx="1">
                  <c:v>SS304L</c:v>
                </c:pt>
                <c:pt idx="2">
                  <c:v>PbO</c:v>
                </c:pt>
                <c:pt idx="3">
                  <c:v>HT9</c:v>
                </c:pt>
                <c:pt idx="4">
                  <c:v>D9</c:v>
                </c:pt>
                <c:pt idx="5">
                  <c:v>Zr-2.5%Nb Alloy</c:v>
                </c:pt>
                <c:pt idx="6">
                  <c:v>WC</c:v>
                </c:pt>
                <c:pt idx="7">
                  <c:v>Grafit</c:v>
                </c:pt>
                <c:pt idx="8">
                  <c:v>Berilium Oksida</c:v>
                </c:pt>
              </c:strCache>
            </c:strRef>
          </c:cat>
          <c:val>
            <c:numRef>
              <c:f>Hasil!$CD$7:$CL$7</c:f>
              <c:numCache>
                <c:formatCode>General</c:formatCode>
                <c:ptCount val="9"/>
                <c:pt idx="0">
                  <c:v>1.0850519000000001</c:v>
                </c:pt>
                <c:pt idx="1">
                  <c:v>1.0430387000000001</c:v>
                </c:pt>
                <c:pt idx="2">
                  <c:v>1.0430187</c:v>
                </c:pt>
                <c:pt idx="3">
                  <c:v>1.0429989</c:v>
                </c:pt>
                <c:pt idx="4">
                  <c:v>1.0430360000000001</c:v>
                </c:pt>
                <c:pt idx="5">
                  <c:v>1.0429907</c:v>
                </c:pt>
                <c:pt idx="6">
                  <c:v>1.0428816000000001</c:v>
                </c:pt>
                <c:pt idx="7">
                  <c:v>1.0431629</c:v>
                </c:pt>
                <c:pt idx="8">
                  <c:v>1.0434608000000001</c:v>
                </c:pt>
              </c:numCache>
            </c:numRef>
          </c:val>
        </c:ser>
        <c:ser>
          <c:idx val="1"/>
          <c:order val="1"/>
          <c:tx>
            <c:strRef>
              <c:f>Hasil!$CC$8</c:f>
              <c:strCache>
                <c:ptCount val="1"/>
                <c:pt idx="0">
                  <c:v>730.5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Hasil!$CD$6:$CL$6</c:f>
              <c:strCache>
                <c:ptCount val="9"/>
                <c:pt idx="0">
                  <c:v>Benchmark</c:v>
                </c:pt>
                <c:pt idx="1">
                  <c:v>SS304L</c:v>
                </c:pt>
                <c:pt idx="2">
                  <c:v>PbO</c:v>
                </c:pt>
                <c:pt idx="3">
                  <c:v>HT9</c:v>
                </c:pt>
                <c:pt idx="4">
                  <c:v>D9</c:v>
                </c:pt>
                <c:pt idx="5">
                  <c:v>Zr-2.5%Nb Alloy</c:v>
                </c:pt>
                <c:pt idx="6">
                  <c:v>WC</c:v>
                </c:pt>
                <c:pt idx="7">
                  <c:v>Grafit</c:v>
                </c:pt>
                <c:pt idx="8">
                  <c:v>Berilium Oksida</c:v>
                </c:pt>
              </c:strCache>
            </c:strRef>
          </c:cat>
          <c:val>
            <c:numRef>
              <c:f>Hasil!$CD$8:$CL$8</c:f>
              <c:numCache>
                <c:formatCode>General</c:formatCode>
                <c:ptCount val="9"/>
                <c:pt idx="0" formatCode="0.0000000">
                  <c:v>1.0540456</c:v>
                </c:pt>
                <c:pt idx="1">
                  <c:v>1.0332698</c:v>
                </c:pt>
                <c:pt idx="2">
                  <c:v>1.0332387999999999</c:v>
                </c:pt>
                <c:pt idx="3">
                  <c:v>1.0332029</c:v>
                </c:pt>
                <c:pt idx="4">
                  <c:v>1.0332608999999999</c:v>
                </c:pt>
                <c:pt idx="5">
                  <c:v>1.0331904000000001</c:v>
                </c:pt>
                <c:pt idx="6">
                  <c:v>1.0329832000000001</c:v>
                </c:pt>
                <c:pt idx="7">
                  <c:v>1.0334951999999999</c:v>
                </c:pt>
                <c:pt idx="8">
                  <c:v>1.0339887000000001</c:v>
                </c:pt>
              </c:numCache>
            </c:numRef>
          </c:val>
        </c:ser>
        <c:ser>
          <c:idx val="2"/>
          <c:order val="2"/>
          <c:tx>
            <c:strRef>
              <c:f>Hasil!$CC$9</c:f>
              <c:strCache>
                <c:ptCount val="1"/>
                <c:pt idx="0">
                  <c:v>1095.75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Hasil!$CD$6:$CL$6</c:f>
              <c:strCache>
                <c:ptCount val="9"/>
                <c:pt idx="0">
                  <c:v>Benchmark</c:v>
                </c:pt>
                <c:pt idx="1">
                  <c:v>SS304L</c:v>
                </c:pt>
                <c:pt idx="2">
                  <c:v>PbO</c:v>
                </c:pt>
                <c:pt idx="3">
                  <c:v>HT9</c:v>
                </c:pt>
                <c:pt idx="4">
                  <c:v>D9</c:v>
                </c:pt>
                <c:pt idx="5">
                  <c:v>Zr-2.5%Nb Alloy</c:v>
                </c:pt>
                <c:pt idx="6">
                  <c:v>WC</c:v>
                </c:pt>
                <c:pt idx="7">
                  <c:v>Grafit</c:v>
                </c:pt>
                <c:pt idx="8">
                  <c:v>Berilium Oksida</c:v>
                </c:pt>
              </c:strCache>
            </c:strRef>
          </c:cat>
          <c:val>
            <c:numRef>
              <c:f>Hasil!$CD$9:$CL$9</c:f>
              <c:numCache>
                <c:formatCode>General</c:formatCode>
                <c:ptCount val="9"/>
                <c:pt idx="0" formatCode="0.0000000">
                  <c:v>1.0250367</c:v>
                </c:pt>
                <c:pt idx="1">
                  <c:v>1.0173752</c:v>
                </c:pt>
                <c:pt idx="2">
                  <c:v>1.017385</c:v>
                </c:pt>
                <c:pt idx="3">
                  <c:v>1.0172759</c:v>
                </c:pt>
                <c:pt idx="4">
                  <c:v>1.0173810999999999</c:v>
                </c:pt>
                <c:pt idx="5">
                  <c:v>1.0173368</c:v>
                </c:pt>
                <c:pt idx="6">
                  <c:v>1.0170192</c:v>
                </c:pt>
                <c:pt idx="7">
                  <c:v>1.0177783</c:v>
                </c:pt>
                <c:pt idx="8">
                  <c:v>1.0184728999999999</c:v>
                </c:pt>
              </c:numCache>
            </c:numRef>
          </c:val>
        </c:ser>
        <c:ser>
          <c:idx val="3"/>
          <c:order val="3"/>
          <c:tx>
            <c:strRef>
              <c:f>Hasil!$CC$10</c:f>
              <c:strCache>
                <c:ptCount val="1"/>
                <c:pt idx="0">
                  <c:v>1521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Hasil!$CD$6:$CL$6</c:f>
              <c:strCache>
                <c:ptCount val="9"/>
                <c:pt idx="0">
                  <c:v>Benchmark</c:v>
                </c:pt>
                <c:pt idx="1">
                  <c:v>SS304L</c:v>
                </c:pt>
                <c:pt idx="2">
                  <c:v>PbO</c:v>
                </c:pt>
                <c:pt idx="3">
                  <c:v>HT9</c:v>
                </c:pt>
                <c:pt idx="4">
                  <c:v>D9</c:v>
                </c:pt>
                <c:pt idx="5">
                  <c:v>Zr-2.5%Nb Alloy</c:v>
                </c:pt>
                <c:pt idx="6">
                  <c:v>WC</c:v>
                </c:pt>
                <c:pt idx="7">
                  <c:v>Grafit</c:v>
                </c:pt>
                <c:pt idx="8">
                  <c:v>Berilium Oksida</c:v>
                </c:pt>
              </c:strCache>
            </c:strRef>
          </c:cat>
          <c:val>
            <c:numRef>
              <c:f>Hasil!$CD$10:$CL$10</c:f>
              <c:numCache>
                <c:formatCode>0.0000000</c:formatCode>
                <c:ptCount val="9"/>
                <c:pt idx="0" formatCode="General">
                  <c:v>0.9936526</c:v>
                </c:pt>
                <c:pt idx="1">
                  <c:v>1.0002622999999999</c:v>
                </c:pt>
                <c:pt idx="2">
                  <c:v>1.0001842999999999</c:v>
                </c:pt>
                <c:pt idx="3" formatCode="General">
                  <c:v>1.0000180000000001</c:v>
                </c:pt>
                <c:pt idx="4" formatCode="General">
                  <c:v>1.0000948000000001</c:v>
                </c:pt>
                <c:pt idx="5" formatCode="General">
                  <c:v>1.0001462999999999</c:v>
                </c:pt>
                <c:pt idx="6">
                  <c:v>0.99966480000000002</c:v>
                </c:pt>
                <c:pt idx="7">
                  <c:v>1.0006193999999999</c:v>
                </c:pt>
                <c:pt idx="8" formatCode="General">
                  <c:v>1.0014927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6857328"/>
        <c:axId val="-1376855152"/>
      </c:barChart>
      <c:catAx>
        <c:axId val="-137685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376855152"/>
        <c:crosses val="autoZero"/>
        <c:auto val="1"/>
        <c:lblAlgn val="ctr"/>
        <c:lblOffset val="100"/>
        <c:noMultiLvlLbl val="0"/>
      </c:catAx>
      <c:valAx>
        <c:axId val="-13768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3768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71803</xdr:colOff>
      <xdr:row>76</xdr:row>
      <xdr:rowOff>45794</xdr:rowOff>
    </xdr:from>
    <xdr:to>
      <xdr:col>13</xdr:col>
      <xdr:colOff>47625</xdr:colOff>
      <xdr:row>103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496035</xdr:colOff>
      <xdr:row>76</xdr:row>
      <xdr:rowOff>59714</xdr:rowOff>
    </xdr:from>
    <xdr:to>
      <xdr:col>30</xdr:col>
      <xdr:colOff>990600</xdr:colOff>
      <xdr:row>101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590550</xdr:colOff>
      <xdr:row>54</xdr:row>
      <xdr:rowOff>33337</xdr:rowOff>
    </xdr:from>
    <xdr:to>
      <xdr:col>66</xdr:col>
      <xdr:colOff>19050</xdr:colOff>
      <xdr:row>71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72</xdr:col>
      <xdr:colOff>133350</xdr:colOff>
      <xdr:row>17</xdr:row>
      <xdr:rowOff>90487</xdr:rowOff>
    </xdr:from>
    <xdr:to>
      <xdr:col>79</xdr:col>
      <xdr:colOff>209550</xdr:colOff>
      <xdr:row>31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81</xdr:col>
      <xdr:colOff>661987</xdr:colOff>
      <xdr:row>10</xdr:row>
      <xdr:rowOff>109537</xdr:rowOff>
    </xdr:from>
    <xdr:to>
      <xdr:col>89</xdr:col>
      <xdr:colOff>76200</xdr:colOff>
      <xdr:row>24</xdr:row>
      <xdr:rowOff>185737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A51" sqref="A51"/>
    </sheetView>
  </sheetViews>
  <sheetFormatPr defaultRowHeight="15" x14ac:dyDescent="0.25"/>
  <cols>
    <col min="1" max="1" width="41.85546875" bestFit="1" customWidth="1"/>
    <col min="2" max="2" width="7" bestFit="1" customWidth="1"/>
    <col min="3" max="3" width="9.5703125" bestFit="1" customWidth="1"/>
    <col min="4" max="4" width="11" bestFit="1" customWidth="1"/>
    <col min="5" max="5" width="7" bestFit="1" customWidth="1"/>
    <col min="6" max="6" width="12" bestFit="1" customWidth="1"/>
    <col min="7" max="7" width="9.5703125" bestFit="1" customWidth="1"/>
    <col min="10" max="10" width="2" bestFit="1" customWidth="1"/>
    <col min="11" max="11" width="36.42578125" bestFit="1" customWidth="1"/>
  </cols>
  <sheetData>
    <row r="1" spans="1:7" ht="15" customHeight="1" x14ac:dyDescent="0.25">
      <c r="A1" s="194" t="s">
        <v>35</v>
      </c>
      <c r="B1" s="195" t="s">
        <v>146</v>
      </c>
      <c r="C1" s="195"/>
      <c r="D1" s="195" t="s">
        <v>147</v>
      </c>
      <c r="E1" s="195"/>
      <c r="F1" s="195" t="s">
        <v>148</v>
      </c>
      <c r="G1" s="195"/>
    </row>
    <row r="2" spans="1:7" x14ac:dyDescent="0.25">
      <c r="A2" s="194"/>
      <c r="B2" s="29" t="s">
        <v>36</v>
      </c>
      <c r="C2" s="29" t="s">
        <v>37</v>
      </c>
      <c r="D2" s="29" t="s">
        <v>36</v>
      </c>
      <c r="E2" s="29" t="s">
        <v>37</v>
      </c>
      <c r="F2" s="30" t="s">
        <v>36</v>
      </c>
      <c r="G2" s="30" t="s">
        <v>37</v>
      </c>
    </row>
    <row r="3" spans="1:7" x14ac:dyDescent="0.25">
      <c r="A3" s="191" t="s">
        <v>149</v>
      </c>
      <c r="B3" s="192"/>
      <c r="C3" s="192"/>
      <c r="D3" s="192"/>
      <c r="E3" s="192"/>
      <c r="F3" s="192"/>
      <c r="G3" s="193"/>
    </row>
    <row r="4" spans="1:7" x14ac:dyDescent="0.25">
      <c r="A4" s="3" t="s">
        <v>150</v>
      </c>
      <c r="B4" s="3">
        <v>59.25</v>
      </c>
      <c r="C4" s="3" t="s">
        <v>151</v>
      </c>
      <c r="D4" s="3">
        <f>B4*2.54</f>
        <v>150.495</v>
      </c>
      <c r="E4" s="3" t="s">
        <v>152</v>
      </c>
      <c r="F4" s="3">
        <v>165</v>
      </c>
      <c r="G4" s="3" t="s">
        <v>152</v>
      </c>
    </row>
    <row r="5" spans="1:7" x14ac:dyDescent="0.25">
      <c r="A5" s="3" t="s">
        <v>153</v>
      </c>
      <c r="B5" s="3">
        <v>78.739999999999995</v>
      </c>
      <c r="C5" s="3" t="s">
        <v>151</v>
      </c>
      <c r="D5" s="3">
        <f>B5*2.54</f>
        <v>199.99959999999999</v>
      </c>
      <c r="E5" s="3" t="s">
        <v>152</v>
      </c>
      <c r="F5" s="3">
        <v>200</v>
      </c>
      <c r="G5" s="3" t="s">
        <v>152</v>
      </c>
    </row>
    <row r="6" spans="1:7" x14ac:dyDescent="0.25">
      <c r="A6" s="3" t="s">
        <v>239</v>
      </c>
      <c r="B6" s="3"/>
      <c r="C6" s="3"/>
      <c r="D6" s="3"/>
      <c r="E6" s="3"/>
      <c r="F6" s="3">
        <f>PI()*(F4/2)^2*F5</f>
        <v>4276492.9996991055</v>
      </c>
      <c r="G6" s="3" t="s">
        <v>240</v>
      </c>
    </row>
    <row r="7" spans="1:7" x14ac:dyDescent="0.25">
      <c r="A7" s="3" t="s">
        <v>43</v>
      </c>
      <c r="B7" s="3"/>
      <c r="C7" s="3"/>
      <c r="D7" s="3"/>
      <c r="E7" s="3"/>
      <c r="F7" s="3">
        <f>0.96*10.96</f>
        <v>10.521600000000001</v>
      </c>
      <c r="G7" s="3" t="s">
        <v>42</v>
      </c>
    </row>
    <row r="8" spans="1:7" x14ac:dyDescent="0.25">
      <c r="A8" s="12" t="s">
        <v>241</v>
      </c>
      <c r="B8" s="3"/>
      <c r="C8" s="3"/>
      <c r="D8" s="3"/>
      <c r="E8" s="3"/>
      <c r="F8" s="3">
        <f>F7*F6</f>
        <v>44995548.745634116</v>
      </c>
      <c r="G8" s="12" t="s">
        <v>242</v>
      </c>
    </row>
    <row r="9" spans="1:7" x14ac:dyDescent="0.25">
      <c r="A9" s="3"/>
      <c r="B9" s="3"/>
      <c r="C9" s="3"/>
      <c r="D9" s="3"/>
      <c r="E9" s="3"/>
      <c r="F9" s="3">
        <f>F8/1000000</f>
        <v>44.995548745634117</v>
      </c>
      <c r="G9" s="12" t="s">
        <v>243</v>
      </c>
    </row>
    <row r="10" spans="1:7" x14ac:dyDescent="0.25">
      <c r="A10" s="191" t="s">
        <v>12</v>
      </c>
      <c r="B10" s="192"/>
      <c r="C10" s="192"/>
      <c r="D10" s="192"/>
      <c r="E10" s="192"/>
      <c r="F10" s="192"/>
      <c r="G10" s="193"/>
    </row>
    <row r="11" spans="1:7" x14ac:dyDescent="0.25">
      <c r="A11" s="3" t="s">
        <v>61</v>
      </c>
      <c r="B11" s="3">
        <v>37</v>
      </c>
      <c r="C11" s="3"/>
      <c r="D11" s="3">
        <v>37</v>
      </c>
      <c r="E11" s="3"/>
      <c r="F11" s="3">
        <v>37</v>
      </c>
      <c r="G11" s="3"/>
    </row>
    <row r="12" spans="1:7" x14ac:dyDescent="0.25">
      <c r="A12" s="3" t="s">
        <v>154</v>
      </c>
      <c r="B12" s="196" t="s">
        <v>155</v>
      </c>
      <c r="C12" s="196"/>
      <c r="D12" s="196" t="s">
        <v>155</v>
      </c>
      <c r="E12" s="196"/>
      <c r="F12" s="196" t="s">
        <v>155</v>
      </c>
      <c r="G12" s="196"/>
    </row>
    <row r="13" spans="1:7" x14ac:dyDescent="0.25">
      <c r="A13" s="3" t="s">
        <v>156</v>
      </c>
      <c r="B13" s="3">
        <v>94</v>
      </c>
      <c r="C13" s="3" t="s">
        <v>151</v>
      </c>
      <c r="D13" s="3">
        <f>B13*2.54</f>
        <v>238.76</v>
      </c>
      <c r="E13" s="3" t="s">
        <v>152</v>
      </c>
      <c r="F13" s="3">
        <v>238.76</v>
      </c>
      <c r="G13" s="3" t="s">
        <v>152</v>
      </c>
    </row>
    <row r="14" spans="1:7" x14ac:dyDescent="0.25">
      <c r="A14" s="3" t="s">
        <v>157</v>
      </c>
      <c r="B14" s="3">
        <v>8.4659999999999993</v>
      </c>
      <c r="C14" s="3" t="s">
        <v>151</v>
      </c>
      <c r="D14" s="3">
        <f>B14*2.54</f>
        <v>21.503639999999997</v>
      </c>
      <c r="E14" s="3" t="s">
        <v>152</v>
      </c>
      <c r="F14" s="3">
        <v>21.503639999999997</v>
      </c>
      <c r="G14" s="3" t="s">
        <v>152</v>
      </c>
    </row>
    <row r="15" spans="1:7" x14ac:dyDescent="0.25">
      <c r="A15" s="3" t="s">
        <v>158</v>
      </c>
      <c r="B15" s="3">
        <v>0.496</v>
      </c>
      <c r="C15" s="3" t="s">
        <v>151</v>
      </c>
      <c r="D15" s="3">
        <f>B15*2.54</f>
        <v>1.2598400000000001</v>
      </c>
      <c r="E15" s="3" t="s">
        <v>152</v>
      </c>
      <c r="F15" s="3">
        <v>1.2598400000000001</v>
      </c>
      <c r="G15" s="3" t="s">
        <v>152</v>
      </c>
    </row>
    <row r="16" spans="1:7" x14ac:dyDescent="0.25">
      <c r="A16" s="3" t="s">
        <v>159</v>
      </c>
      <c r="B16" s="3">
        <v>5</v>
      </c>
      <c r="C16" s="3"/>
      <c r="D16" s="3">
        <v>5</v>
      </c>
      <c r="E16" s="3"/>
      <c r="F16" s="3">
        <v>5</v>
      </c>
      <c r="G16" s="3"/>
    </row>
    <row r="17" spans="1:7" x14ac:dyDescent="0.25">
      <c r="A17" s="3" t="s">
        <v>160</v>
      </c>
      <c r="B17" s="3">
        <v>1.75</v>
      </c>
      <c r="C17" s="3" t="s">
        <v>151</v>
      </c>
      <c r="D17" s="3">
        <f>B17*2.54</f>
        <v>4.4450000000000003</v>
      </c>
      <c r="E17" s="3" t="s">
        <v>152</v>
      </c>
      <c r="F17" s="3">
        <v>4.4450000000000003</v>
      </c>
      <c r="G17" s="3" t="s">
        <v>152</v>
      </c>
    </row>
    <row r="18" spans="1:7" x14ac:dyDescent="0.25">
      <c r="A18" s="3" t="s">
        <v>161</v>
      </c>
      <c r="B18" s="3">
        <v>264</v>
      </c>
      <c r="C18" s="3"/>
      <c r="D18" s="3">
        <v>264</v>
      </c>
      <c r="E18" s="3"/>
      <c r="F18" s="3">
        <v>264</v>
      </c>
      <c r="G18" s="3"/>
    </row>
    <row r="19" spans="1:7" x14ac:dyDescent="0.25">
      <c r="A19" s="3" t="s">
        <v>162</v>
      </c>
      <c r="B19" s="3">
        <v>24</v>
      </c>
      <c r="C19" s="3"/>
      <c r="D19" s="3">
        <v>24</v>
      </c>
      <c r="E19" s="3"/>
      <c r="F19" s="3">
        <v>24</v>
      </c>
      <c r="G19" s="3"/>
    </row>
    <row r="20" spans="1:7" x14ac:dyDescent="0.25">
      <c r="A20" s="3" t="s">
        <v>163</v>
      </c>
      <c r="B20" s="3">
        <v>1</v>
      </c>
      <c r="C20" s="3"/>
      <c r="D20" s="3">
        <v>1</v>
      </c>
      <c r="E20" s="3"/>
      <c r="F20" s="3">
        <v>1</v>
      </c>
      <c r="G20" s="3"/>
    </row>
    <row r="21" spans="1:7" x14ac:dyDescent="0.25">
      <c r="A21" s="12" t="s">
        <v>164</v>
      </c>
      <c r="B21" s="3"/>
      <c r="C21" s="3"/>
      <c r="D21" s="3"/>
      <c r="E21" s="3"/>
      <c r="F21" s="12">
        <v>0.04</v>
      </c>
      <c r="G21" s="3" t="s">
        <v>152</v>
      </c>
    </row>
    <row r="22" spans="1:7" x14ac:dyDescent="0.25">
      <c r="A22" s="191" t="s">
        <v>165</v>
      </c>
      <c r="B22" s="192"/>
      <c r="C22" s="192"/>
      <c r="D22" s="192"/>
      <c r="E22" s="192"/>
      <c r="F22" s="192"/>
      <c r="G22" s="193"/>
    </row>
    <row r="23" spans="1:7" x14ac:dyDescent="0.25">
      <c r="A23" s="3" t="s">
        <v>61</v>
      </c>
      <c r="B23" s="3">
        <v>264</v>
      </c>
      <c r="C23" s="3"/>
      <c r="D23" s="3">
        <v>264</v>
      </c>
      <c r="E23" s="3"/>
      <c r="F23" s="3">
        <v>264</v>
      </c>
      <c r="G23" s="3"/>
    </row>
    <row r="24" spans="1:7" x14ac:dyDescent="0.25">
      <c r="A24" s="3" t="s">
        <v>11</v>
      </c>
      <c r="B24" s="3">
        <v>6.4999999999999997E-3</v>
      </c>
      <c r="C24" s="3" t="s">
        <v>151</v>
      </c>
      <c r="D24" s="3">
        <f>B24*2.54</f>
        <v>1.651E-2</v>
      </c>
      <c r="E24" s="3" t="s">
        <v>152</v>
      </c>
      <c r="F24" s="3">
        <v>1.651E-2</v>
      </c>
      <c r="G24" s="3" t="s">
        <v>152</v>
      </c>
    </row>
    <row r="25" spans="1:7" x14ac:dyDescent="0.25">
      <c r="A25" s="3" t="s">
        <v>166</v>
      </c>
      <c r="B25" s="196" t="s">
        <v>167</v>
      </c>
      <c r="C25" s="196"/>
      <c r="D25" s="196" t="s">
        <v>167</v>
      </c>
      <c r="E25" s="196"/>
      <c r="F25" s="196" t="s">
        <v>168</v>
      </c>
      <c r="G25" s="196"/>
    </row>
    <row r="26" spans="1:7" x14ac:dyDescent="0.25">
      <c r="A26" s="3" t="s">
        <v>169</v>
      </c>
      <c r="B26" s="3">
        <v>0.374</v>
      </c>
      <c r="C26" s="3" t="s">
        <v>151</v>
      </c>
      <c r="D26" s="3">
        <f>B26*2.54</f>
        <v>0.94996000000000003</v>
      </c>
      <c r="E26" s="3" t="s">
        <v>152</v>
      </c>
      <c r="F26" s="3">
        <v>0.94996000000000003</v>
      </c>
      <c r="G26" s="3" t="s">
        <v>152</v>
      </c>
    </row>
    <row r="27" spans="1:7" x14ac:dyDescent="0.25">
      <c r="A27" s="3" t="s">
        <v>170</v>
      </c>
      <c r="B27" s="3">
        <v>0.32600000000000001</v>
      </c>
      <c r="C27" s="3" t="s">
        <v>151</v>
      </c>
      <c r="D27" s="3">
        <f>B27*2.54</f>
        <v>0.82804</v>
      </c>
      <c r="E27" s="3" t="s">
        <v>152</v>
      </c>
      <c r="F27" s="3">
        <v>0.82804</v>
      </c>
      <c r="G27" s="3" t="s">
        <v>152</v>
      </c>
    </row>
    <row r="28" spans="1:7" x14ac:dyDescent="0.25">
      <c r="A28" s="3" t="s">
        <v>171</v>
      </c>
      <c r="B28" s="3">
        <v>2.4E-2</v>
      </c>
      <c r="C28" s="3" t="s">
        <v>151</v>
      </c>
      <c r="D28" s="3">
        <f>B28*2.54</f>
        <v>6.096E-2</v>
      </c>
      <c r="E28" s="3" t="s">
        <v>152</v>
      </c>
      <c r="F28" s="3">
        <v>6.096E-2</v>
      </c>
      <c r="G28" s="3" t="s">
        <v>152</v>
      </c>
    </row>
    <row r="29" spans="1:7" x14ac:dyDescent="0.25">
      <c r="A29" s="3" t="s">
        <v>172</v>
      </c>
      <c r="B29" s="3">
        <v>85</v>
      </c>
      <c r="C29" s="3" t="s">
        <v>151</v>
      </c>
      <c r="D29" s="3">
        <f>B29*2.54</f>
        <v>215.9</v>
      </c>
      <c r="E29" s="3" t="s">
        <v>152</v>
      </c>
      <c r="F29" s="3">
        <v>215.9</v>
      </c>
      <c r="G29" s="3" t="s">
        <v>152</v>
      </c>
    </row>
    <row r="30" spans="1:7" x14ac:dyDescent="0.25">
      <c r="A30" s="3" t="s">
        <v>173</v>
      </c>
      <c r="B30" s="196" t="s">
        <v>174</v>
      </c>
      <c r="C30" s="196"/>
      <c r="D30" s="196" t="s">
        <v>174</v>
      </c>
      <c r="E30" s="196"/>
      <c r="F30" s="196" t="s">
        <v>174</v>
      </c>
      <c r="G30" s="196"/>
    </row>
    <row r="31" spans="1:7" x14ac:dyDescent="0.25">
      <c r="A31" s="191" t="s">
        <v>175</v>
      </c>
      <c r="B31" s="192"/>
      <c r="C31" s="192"/>
      <c r="D31" s="192"/>
      <c r="E31" s="192"/>
      <c r="F31" s="192"/>
      <c r="G31" s="193"/>
    </row>
    <row r="32" spans="1:7" x14ac:dyDescent="0.25">
      <c r="A32" s="3" t="s">
        <v>72</v>
      </c>
      <c r="B32" s="196" t="s">
        <v>176</v>
      </c>
      <c r="C32" s="196"/>
      <c r="D32" s="196" t="s">
        <v>176</v>
      </c>
      <c r="E32" s="196"/>
      <c r="F32" s="196" t="s">
        <v>176</v>
      </c>
      <c r="G32" s="196"/>
    </row>
    <row r="33" spans="1:11" x14ac:dyDescent="0.25">
      <c r="A33" s="3" t="s">
        <v>177</v>
      </c>
      <c r="B33" s="196" t="s">
        <v>178</v>
      </c>
      <c r="C33" s="196"/>
      <c r="D33" s="196" t="s">
        <v>178</v>
      </c>
      <c r="E33" s="196"/>
      <c r="F33" s="196" t="s">
        <v>178</v>
      </c>
      <c r="G33" s="196"/>
    </row>
    <row r="34" spans="1:11" x14ac:dyDescent="0.25">
      <c r="A34" s="3" t="s">
        <v>150</v>
      </c>
      <c r="B34" s="3">
        <v>0.31950000000000001</v>
      </c>
      <c r="C34" s="3" t="s">
        <v>151</v>
      </c>
      <c r="D34" s="3">
        <f>B34*2.54</f>
        <v>0.81152999999999997</v>
      </c>
      <c r="E34" s="3" t="s">
        <v>152</v>
      </c>
      <c r="F34" s="3">
        <v>0.81152999999999997</v>
      </c>
      <c r="G34" s="3" t="s">
        <v>152</v>
      </c>
    </row>
    <row r="35" spans="1:11" x14ac:dyDescent="0.25">
      <c r="A35" s="3" t="s">
        <v>156</v>
      </c>
      <c r="B35" s="3">
        <v>0.4</v>
      </c>
      <c r="C35" s="3" t="s">
        <v>151</v>
      </c>
      <c r="D35" s="3">
        <f>B35*2.54</f>
        <v>1.016</v>
      </c>
      <c r="E35" s="3" t="s">
        <v>152</v>
      </c>
      <c r="F35" s="3">
        <v>1.016</v>
      </c>
      <c r="G35" s="3" t="s">
        <v>152</v>
      </c>
    </row>
    <row r="36" spans="1:11" x14ac:dyDescent="0.25">
      <c r="A36" s="191" t="s">
        <v>179</v>
      </c>
      <c r="B36" s="192"/>
      <c r="C36" s="192"/>
      <c r="D36" s="192"/>
      <c r="E36" s="192"/>
      <c r="F36" s="192"/>
      <c r="G36" s="193"/>
    </row>
    <row r="37" spans="1:11" x14ac:dyDescent="0.25">
      <c r="A37" s="3" t="s">
        <v>61</v>
      </c>
      <c r="B37" s="3">
        <v>16</v>
      </c>
      <c r="C37" s="3"/>
      <c r="D37" s="3">
        <v>16</v>
      </c>
      <c r="E37" s="3"/>
      <c r="F37" s="3">
        <v>16</v>
      </c>
      <c r="G37" s="3"/>
    </row>
    <row r="38" spans="1:11" x14ac:dyDescent="0.25">
      <c r="A38" s="3" t="s">
        <v>180</v>
      </c>
      <c r="B38" s="196" t="s">
        <v>181</v>
      </c>
      <c r="C38" s="196"/>
      <c r="D38" s="196" t="s">
        <v>181</v>
      </c>
      <c r="E38" s="196"/>
      <c r="F38" s="196" t="s">
        <v>181</v>
      </c>
      <c r="G38" s="196"/>
    </row>
    <row r="39" spans="1:11" x14ac:dyDescent="0.25">
      <c r="A39" s="3" t="s">
        <v>182</v>
      </c>
      <c r="B39" s="196" t="s">
        <v>183</v>
      </c>
      <c r="C39" s="196"/>
      <c r="D39" s="196" t="s">
        <v>183</v>
      </c>
      <c r="E39" s="196"/>
      <c r="F39" s="196" t="s">
        <v>183</v>
      </c>
      <c r="G39" s="196"/>
    </row>
    <row r="40" spans="1:11" x14ac:dyDescent="0.25">
      <c r="A40" s="3" t="s">
        <v>71</v>
      </c>
      <c r="B40" s="196" t="s">
        <v>184</v>
      </c>
      <c r="C40" s="196"/>
      <c r="D40" s="196" t="s">
        <v>184</v>
      </c>
      <c r="E40" s="196"/>
      <c r="F40" s="196" t="s">
        <v>184</v>
      </c>
      <c r="G40" s="196"/>
    </row>
    <row r="41" spans="1:11" x14ac:dyDescent="0.25">
      <c r="A41" s="3" t="s">
        <v>173</v>
      </c>
      <c r="B41" s="196" t="s">
        <v>174</v>
      </c>
      <c r="C41" s="196"/>
      <c r="D41" s="196" t="s">
        <v>174</v>
      </c>
      <c r="E41" s="196"/>
      <c r="F41" s="196" t="s">
        <v>174</v>
      </c>
      <c r="G41" s="196"/>
    </row>
    <row r="42" spans="1:11" x14ac:dyDescent="0.25">
      <c r="A42" s="198" t="s">
        <v>185</v>
      </c>
      <c r="B42" s="199"/>
      <c r="C42" s="199"/>
      <c r="D42" s="199"/>
      <c r="E42" s="199"/>
      <c r="F42" s="199"/>
      <c r="G42" s="200"/>
    </row>
    <row r="43" spans="1:11" x14ac:dyDescent="0.25">
      <c r="A43" s="3" t="s">
        <v>186</v>
      </c>
      <c r="B43" s="3">
        <v>0.48199999999999998</v>
      </c>
      <c r="C43" s="3" t="s">
        <v>151</v>
      </c>
      <c r="D43" s="3">
        <f>B43*2.54</f>
        <v>1.22428</v>
      </c>
      <c r="E43" s="3" t="s">
        <v>152</v>
      </c>
      <c r="F43" s="3">
        <v>1.22428</v>
      </c>
      <c r="G43" s="3" t="s">
        <v>152</v>
      </c>
    </row>
    <row r="44" spans="1:11" x14ac:dyDescent="0.25">
      <c r="A44" s="3" t="s">
        <v>187</v>
      </c>
      <c r="B44" s="3">
        <v>0.45</v>
      </c>
      <c r="C44" s="3" t="s">
        <v>151</v>
      </c>
      <c r="D44" s="3">
        <f>B44*2.54</f>
        <v>1.143</v>
      </c>
      <c r="E44" s="3" t="s">
        <v>152</v>
      </c>
      <c r="F44" s="3">
        <v>1.143</v>
      </c>
      <c r="G44" s="3" t="s">
        <v>152</v>
      </c>
    </row>
    <row r="45" spans="1:11" x14ac:dyDescent="0.25">
      <c r="A45" s="3" t="s">
        <v>188</v>
      </c>
      <c r="B45" s="3">
        <v>0.39700000000000002</v>
      </c>
      <c r="C45" s="3" t="s">
        <v>151</v>
      </c>
      <c r="D45" s="3">
        <f>B45*2.54</f>
        <v>1.0083800000000001</v>
      </c>
      <c r="E45" s="3" t="s">
        <v>152</v>
      </c>
      <c r="F45" s="3">
        <v>1.0083800000000001</v>
      </c>
      <c r="G45" s="3" t="s">
        <v>152</v>
      </c>
    </row>
    <row r="46" spans="1:11" x14ac:dyDescent="0.25">
      <c r="A46" s="201" t="s">
        <v>189</v>
      </c>
      <c r="B46" s="201"/>
      <c r="C46" s="201"/>
      <c r="D46" s="201"/>
      <c r="E46" s="201"/>
      <c r="F46" s="201"/>
      <c r="G46" s="201"/>
    </row>
    <row r="47" spans="1:11" x14ac:dyDescent="0.25">
      <c r="A47" s="3" t="s">
        <v>190</v>
      </c>
      <c r="B47" s="3">
        <v>160</v>
      </c>
      <c r="C47" s="3" t="s">
        <v>191</v>
      </c>
      <c r="D47" s="3"/>
      <c r="E47" s="3"/>
      <c r="F47" s="3">
        <v>160</v>
      </c>
      <c r="G47" s="3" t="s">
        <v>191</v>
      </c>
      <c r="I47" t="s">
        <v>203</v>
      </c>
    </row>
    <row r="48" spans="1:11" x14ac:dyDescent="0.25">
      <c r="A48" s="3" t="s">
        <v>192</v>
      </c>
      <c r="B48" s="3">
        <v>24</v>
      </c>
      <c r="C48" s="3" t="s">
        <v>193</v>
      </c>
      <c r="D48" s="3"/>
      <c r="E48" s="3"/>
      <c r="F48" s="3">
        <v>24</v>
      </c>
      <c r="G48" s="3" t="s">
        <v>193</v>
      </c>
      <c r="I48" s="197" t="s">
        <v>205</v>
      </c>
      <c r="J48" s="197"/>
      <c r="K48" s="197"/>
    </row>
    <row r="49" spans="1:11" x14ac:dyDescent="0.25">
      <c r="A49" s="3" t="s">
        <v>194</v>
      </c>
      <c r="B49" s="3">
        <f>50*1000</f>
        <v>50000</v>
      </c>
      <c r="C49" s="3" t="s">
        <v>195</v>
      </c>
      <c r="D49" s="3"/>
      <c r="E49" s="3"/>
      <c r="F49" s="3">
        <v>60000</v>
      </c>
      <c r="G49" s="3" t="s">
        <v>195</v>
      </c>
      <c r="I49" s="39"/>
      <c r="J49" t="s">
        <v>207</v>
      </c>
      <c r="K49" t="s">
        <v>208</v>
      </c>
    </row>
    <row r="50" spans="1:11" x14ac:dyDescent="0.25">
      <c r="A50" s="3" t="s">
        <v>196</v>
      </c>
      <c r="B50" s="3">
        <v>5</v>
      </c>
      <c r="C50" s="3" t="s">
        <v>197</v>
      </c>
      <c r="D50" s="3"/>
      <c r="E50" s="3"/>
      <c r="F50" s="3">
        <v>1.6404200000000001E-4</v>
      </c>
      <c r="G50" s="3" t="s">
        <v>198</v>
      </c>
    </row>
    <row r="51" spans="1:11" x14ac:dyDescent="0.25">
      <c r="A51" s="3" t="s">
        <v>199</v>
      </c>
      <c r="B51" s="3"/>
      <c r="C51" s="3"/>
      <c r="D51" s="3"/>
      <c r="E51" s="3"/>
      <c r="F51" s="3">
        <f>F50*72</f>
        <v>1.1811024000000002E-2</v>
      </c>
      <c r="G51" s="3" t="s">
        <v>198</v>
      </c>
    </row>
    <row r="52" spans="1:11" x14ac:dyDescent="0.25">
      <c r="A52" s="3" t="s">
        <v>200</v>
      </c>
      <c r="B52" s="3">
        <v>1850</v>
      </c>
      <c r="C52" s="3" t="s">
        <v>51</v>
      </c>
      <c r="D52" s="3"/>
      <c r="E52" s="3"/>
      <c r="F52" s="3">
        <v>1850</v>
      </c>
      <c r="G52" s="3" t="s">
        <v>51</v>
      </c>
    </row>
    <row r="53" spans="1:11" x14ac:dyDescent="0.25">
      <c r="A53" s="12" t="s">
        <v>201</v>
      </c>
      <c r="B53" s="3">
        <v>930</v>
      </c>
      <c r="C53" s="3" t="s">
        <v>202</v>
      </c>
      <c r="D53" s="3"/>
      <c r="E53" s="3"/>
      <c r="F53" s="38">
        <f>(B53+459.67)*5/9</f>
        <v>772.03888888888889</v>
      </c>
      <c r="G53" s="3" t="s">
        <v>45</v>
      </c>
    </row>
    <row r="54" spans="1:11" x14ac:dyDescent="0.25">
      <c r="A54" s="3" t="s">
        <v>204</v>
      </c>
      <c r="B54" s="3">
        <v>543</v>
      </c>
      <c r="C54" s="3" t="s">
        <v>202</v>
      </c>
      <c r="D54" s="3"/>
      <c r="E54" s="3"/>
      <c r="F54" s="38">
        <f>(B54+459.67)*5/9</f>
        <v>557.03888888888889</v>
      </c>
      <c r="G54" s="3" t="s">
        <v>45</v>
      </c>
    </row>
    <row r="55" spans="1:11" x14ac:dyDescent="0.25">
      <c r="A55" s="12" t="s">
        <v>206</v>
      </c>
      <c r="B55" s="12"/>
      <c r="C55" s="12"/>
      <c r="D55" s="12"/>
      <c r="E55" s="12"/>
      <c r="F55" s="118">
        <v>771.31946716807272</v>
      </c>
      <c r="G55" s="12" t="s">
        <v>45</v>
      </c>
    </row>
    <row r="56" spans="1:11" x14ac:dyDescent="0.25">
      <c r="A56" s="12" t="s">
        <v>209</v>
      </c>
      <c r="B56" s="12"/>
      <c r="C56" s="12"/>
      <c r="D56" s="12"/>
      <c r="E56" s="12"/>
      <c r="F56" s="118">
        <v>711.77061276948893</v>
      </c>
      <c r="G56" s="12" t="s">
        <v>45</v>
      </c>
    </row>
  </sheetData>
  <mergeCells count="39">
    <mergeCell ref="I48:K48"/>
    <mergeCell ref="B39:C39"/>
    <mergeCell ref="D39:E39"/>
    <mergeCell ref="F39:G39"/>
    <mergeCell ref="B40:C40"/>
    <mergeCell ref="D40:E40"/>
    <mergeCell ref="F40:G40"/>
    <mergeCell ref="B41:C41"/>
    <mergeCell ref="D41:E41"/>
    <mergeCell ref="F41:G41"/>
    <mergeCell ref="A42:G42"/>
    <mergeCell ref="A46:G46"/>
    <mergeCell ref="B33:C33"/>
    <mergeCell ref="D33:E33"/>
    <mergeCell ref="F33:G33"/>
    <mergeCell ref="A36:G36"/>
    <mergeCell ref="B38:C38"/>
    <mergeCell ref="D38:E38"/>
    <mergeCell ref="F38:G38"/>
    <mergeCell ref="B30:C30"/>
    <mergeCell ref="D30:E30"/>
    <mergeCell ref="F30:G30"/>
    <mergeCell ref="A31:G31"/>
    <mergeCell ref="B32:C32"/>
    <mergeCell ref="D32:E32"/>
    <mergeCell ref="F32:G32"/>
    <mergeCell ref="B12:C12"/>
    <mergeCell ref="D12:E12"/>
    <mergeCell ref="F12:G12"/>
    <mergeCell ref="A22:G22"/>
    <mergeCell ref="B25:C25"/>
    <mergeCell ref="D25:E25"/>
    <mergeCell ref="F25:G25"/>
    <mergeCell ref="A10:G10"/>
    <mergeCell ref="A1:A2"/>
    <mergeCell ref="B1:C1"/>
    <mergeCell ref="D1:E1"/>
    <mergeCell ref="F1:G1"/>
    <mergeCell ref="A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topLeftCell="A5" workbookViewId="0">
      <selection activeCell="M12" sqref="M12"/>
    </sheetView>
  </sheetViews>
  <sheetFormatPr defaultRowHeight="15" x14ac:dyDescent="0.25"/>
  <cols>
    <col min="2" max="2" width="18.85546875" bestFit="1" customWidth="1"/>
    <col min="3" max="3" width="12" bestFit="1" customWidth="1"/>
    <col min="5" max="5" width="18.42578125" bestFit="1" customWidth="1"/>
    <col min="6" max="6" width="12" bestFit="1" customWidth="1"/>
    <col min="9" max="9" width="9" bestFit="1" customWidth="1"/>
    <col min="10" max="10" width="10.140625" bestFit="1" customWidth="1"/>
    <col min="11" max="11" width="10.28515625" bestFit="1" customWidth="1"/>
    <col min="12" max="12" width="12.140625" bestFit="1" customWidth="1"/>
    <col min="13" max="13" width="8" bestFit="1" customWidth="1"/>
    <col min="14" max="14" width="12" bestFit="1" customWidth="1"/>
  </cols>
  <sheetData>
    <row r="2" spans="1:14" x14ac:dyDescent="0.25">
      <c r="B2" s="196" t="s">
        <v>0</v>
      </c>
      <c r="C2" s="196"/>
      <c r="E2" s="196" t="s">
        <v>1</v>
      </c>
      <c r="F2" s="196"/>
      <c r="I2" s="202" t="s">
        <v>389</v>
      </c>
      <c r="J2" s="202"/>
      <c r="K2" s="202"/>
      <c r="L2" s="202"/>
      <c r="M2" s="202"/>
      <c r="N2" s="202"/>
    </row>
    <row r="3" spans="1:14" x14ac:dyDescent="0.25">
      <c r="B3" s="1" t="s">
        <v>2</v>
      </c>
      <c r="C3" s="1" t="s">
        <v>3</v>
      </c>
      <c r="E3" s="2" t="s">
        <v>2</v>
      </c>
      <c r="F3" s="2" t="s">
        <v>4</v>
      </c>
      <c r="I3" s="117" t="s">
        <v>390</v>
      </c>
      <c r="J3" s="154" t="s">
        <v>177</v>
      </c>
      <c r="K3" s="117" t="s">
        <v>391</v>
      </c>
      <c r="L3" s="117" t="s">
        <v>392</v>
      </c>
      <c r="M3" s="117" t="s">
        <v>393</v>
      </c>
      <c r="N3" s="117" t="s">
        <v>394</v>
      </c>
    </row>
    <row r="4" spans="1:14" x14ac:dyDescent="0.25">
      <c r="B4" s="3" t="s">
        <v>5</v>
      </c>
      <c r="C4" s="3">
        <v>0.94996000000000003</v>
      </c>
      <c r="E4" s="4" t="s">
        <v>6</v>
      </c>
      <c r="F4" s="3">
        <f>165/2</f>
        <v>82.5</v>
      </c>
      <c r="I4" s="4" t="s">
        <v>280</v>
      </c>
      <c r="J4" s="4" t="s">
        <v>388</v>
      </c>
      <c r="K4" s="3">
        <f>L4+(2*M4)</f>
        <v>193</v>
      </c>
      <c r="L4" s="3">
        <v>165</v>
      </c>
      <c r="M4" s="3">
        <v>14</v>
      </c>
      <c r="N4" s="3">
        <f>2*(K4/2)*(1-(((L4/2)/(K4/2))^2))</f>
        <v>51.937823834196891</v>
      </c>
    </row>
    <row r="5" spans="1:14" x14ac:dyDescent="0.25">
      <c r="B5" s="3" t="s">
        <v>7</v>
      </c>
      <c r="C5" s="3">
        <v>0.82804</v>
      </c>
      <c r="E5" s="3" t="s">
        <v>8</v>
      </c>
      <c r="F5" s="3">
        <v>200</v>
      </c>
      <c r="I5" s="3" t="s">
        <v>281</v>
      </c>
      <c r="J5" s="3" t="s">
        <v>210</v>
      </c>
      <c r="K5" s="3">
        <f t="shared" ref="K5:K10" si="0">L5+(2*M5)</f>
        <v>193</v>
      </c>
      <c r="L5" s="3">
        <v>165</v>
      </c>
      <c r="M5" s="3">
        <v>14</v>
      </c>
      <c r="N5" s="3">
        <f>2*(K5/2)*(1-(((L5/2)/(K5/2))^2))</f>
        <v>51.937823834196891</v>
      </c>
    </row>
    <row r="6" spans="1:14" x14ac:dyDescent="0.25">
      <c r="B6" s="3" t="s">
        <v>9</v>
      </c>
      <c r="C6" s="3">
        <f>($C$4-$C$5)/2</f>
        <v>6.0960000000000014E-2</v>
      </c>
      <c r="E6" s="3" t="s">
        <v>10</v>
      </c>
      <c r="F6" s="3">
        <f>(PI()/F5)^2+(2.405/F4)^2</f>
        <v>1.0965509456562514E-3</v>
      </c>
      <c r="I6" s="4" t="s">
        <v>282</v>
      </c>
      <c r="J6" s="4" t="s">
        <v>258</v>
      </c>
      <c r="K6" s="3">
        <f t="shared" si="0"/>
        <v>193</v>
      </c>
      <c r="L6" s="3">
        <v>165</v>
      </c>
      <c r="M6" s="3">
        <v>14</v>
      </c>
      <c r="N6" s="3">
        <f>2*(K6/2)*(1-(((L6/2)/(K6/2))^2))</f>
        <v>51.937823834196891</v>
      </c>
    </row>
    <row r="7" spans="1:14" x14ac:dyDescent="0.25">
      <c r="B7" s="3" t="s">
        <v>11</v>
      </c>
      <c r="C7" s="3">
        <v>1.651E-2</v>
      </c>
      <c r="E7" s="196" t="s">
        <v>12</v>
      </c>
      <c r="F7" s="196"/>
      <c r="I7" s="3" t="s">
        <v>283</v>
      </c>
      <c r="J7" s="3" t="s">
        <v>257</v>
      </c>
      <c r="K7" s="3">
        <f t="shared" si="0"/>
        <v>193</v>
      </c>
      <c r="L7" s="3">
        <v>165</v>
      </c>
      <c r="M7" s="3">
        <v>14</v>
      </c>
      <c r="N7" s="3">
        <f>2*(K7/2)*(1-(((L7/2)/(K7/2))^2))</f>
        <v>51.937823834196891</v>
      </c>
    </row>
    <row r="8" spans="1:14" x14ac:dyDescent="0.25">
      <c r="B8" s="3" t="s">
        <v>13</v>
      </c>
      <c r="C8" s="3">
        <v>0.81152999999999997</v>
      </c>
      <c r="E8" s="2" t="s">
        <v>2</v>
      </c>
      <c r="F8" s="2" t="s">
        <v>4</v>
      </c>
      <c r="I8" s="4" t="s">
        <v>284</v>
      </c>
      <c r="J8" s="4" t="s">
        <v>404</v>
      </c>
      <c r="K8" s="3">
        <f t="shared" si="0"/>
        <v>193</v>
      </c>
      <c r="L8" s="3">
        <v>165</v>
      </c>
      <c r="M8" s="3">
        <v>14</v>
      </c>
      <c r="N8" s="3">
        <f t="shared" ref="N8:N10" si="1">2*(K8/2)*(1-(((L8/2)/(K8/2))^2))</f>
        <v>51.937823834196891</v>
      </c>
    </row>
    <row r="9" spans="1:14" x14ac:dyDescent="0.25">
      <c r="A9">
        <f>C9/C8</f>
        <v>1.5524256651017216</v>
      </c>
      <c r="B9" s="3" t="s">
        <v>14</v>
      </c>
      <c r="C9" s="3">
        <v>1.2598400000000001</v>
      </c>
      <c r="E9" s="4" t="s">
        <v>15</v>
      </c>
      <c r="F9" s="3">
        <v>21.417300000000001</v>
      </c>
      <c r="I9" s="3" t="s">
        <v>285</v>
      </c>
      <c r="J9" s="4" t="s">
        <v>211</v>
      </c>
      <c r="K9" s="3">
        <f t="shared" si="0"/>
        <v>193</v>
      </c>
      <c r="L9" s="3">
        <v>165</v>
      </c>
      <c r="M9" s="3">
        <v>14</v>
      </c>
      <c r="N9" s="3">
        <f t="shared" si="1"/>
        <v>51.937823834196891</v>
      </c>
    </row>
    <row r="10" spans="1:14" x14ac:dyDescent="0.25">
      <c r="B10" s="196" t="s">
        <v>16</v>
      </c>
      <c r="C10" s="196"/>
      <c r="E10" s="3" t="s">
        <v>17</v>
      </c>
      <c r="F10" s="3">
        <v>21.497299999999999</v>
      </c>
      <c r="I10" s="4" t="s">
        <v>403</v>
      </c>
      <c r="J10" s="3" t="s">
        <v>287</v>
      </c>
      <c r="K10" s="3">
        <f t="shared" si="0"/>
        <v>193</v>
      </c>
      <c r="L10" s="3">
        <v>165</v>
      </c>
      <c r="M10" s="3">
        <v>14</v>
      </c>
      <c r="N10" s="3">
        <f t="shared" si="1"/>
        <v>51.937823834196891</v>
      </c>
    </row>
    <row r="11" spans="1:14" x14ac:dyDescent="0.25">
      <c r="B11" s="5" t="s">
        <v>2</v>
      </c>
      <c r="C11" s="5" t="s">
        <v>4</v>
      </c>
      <c r="E11" s="3" t="s">
        <v>18</v>
      </c>
      <c r="F11" s="3">
        <f>(F10-F9)/2</f>
        <v>3.9999999999999147E-2</v>
      </c>
    </row>
    <row r="12" spans="1:14" x14ac:dyDescent="0.25">
      <c r="B12" s="6" t="s">
        <v>19</v>
      </c>
      <c r="C12" s="6">
        <f>$C$9/SQRT(PI())</f>
        <v>0.7107886049368054</v>
      </c>
      <c r="E12" s="3" t="s">
        <v>20</v>
      </c>
      <c r="F12" s="3">
        <v>200</v>
      </c>
    </row>
    <row r="13" spans="1:14" x14ac:dyDescent="0.25">
      <c r="B13" s="6" t="s">
        <v>21</v>
      </c>
      <c r="C13" s="6">
        <f>$C$4/2</f>
        <v>0.47498000000000001</v>
      </c>
      <c r="E13" s="7" t="s">
        <v>22</v>
      </c>
      <c r="F13" s="7">
        <f>2*F11</f>
        <v>7.9999999999998295E-2</v>
      </c>
    </row>
    <row r="14" spans="1:14" x14ac:dyDescent="0.25">
      <c r="B14" s="6" t="s">
        <v>23</v>
      </c>
      <c r="C14" s="6">
        <f>$C$13-$C$6</f>
        <v>0.41402</v>
      </c>
      <c r="E14" s="196" t="s">
        <v>301</v>
      </c>
      <c r="F14" s="196"/>
    </row>
    <row r="15" spans="1:14" x14ac:dyDescent="0.25">
      <c r="B15" s="6" t="s">
        <v>24</v>
      </c>
      <c r="C15" s="6">
        <f>$C$14-($C$7/2)</f>
        <v>0.40576499999999999</v>
      </c>
      <c r="E15" s="2" t="s">
        <v>2</v>
      </c>
      <c r="F15" s="2" t="s">
        <v>4</v>
      </c>
    </row>
    <row r="16" spans="1:14" x14ac:dyDescent="0.25">
      <c r="B16" s="196" t="s">
        <v>22</v>
      </c>
      <c r="C16" s="196"/>
      <c r="E16" s="4" t="s">
        <v>25</v>
      </c>
      <c r="F16" s="3">
        <f>F17+48</f>
        <v>213</v>
      </c>
    </row>
    <row r="17" spans="2:6" x14ac:dyDescent="0.25">
      <c r="B17" s="8" t="s">
        <v>2</v>
      </c>
      <c r="C17" s="8" t="s">
        <v>4</v>
      </c>
      <c r="E17" s="3" t="s">
        <v>26</v>
      </c>
      <c r="F17" s="3">
        <v>165</v>
      </c>
    </row>
    <row r="18" spans="2:6" x14ac:dyDescent="0.25">
      <c r="B18" s="9" t="s">
        <v>27</v>
      </c>
      <c r="C18" s="9">
        <v>0.81152999999999997</v>
      </c>
      <c r="E18" s="3" t="s">
        <v>28</v>
      </c>
      <c r="F18" s="3">
        <v>24</v>
      </c>
    </row>
    <row r="19" spans="2:6" x14ac:dyDescent="0.25">
      <c r="B19" s="9" t="s">
        <v>29</v>
      </c>
      <c r="C19" s="9">
        <v>1.651E-2</v>
      </c>
      <c r="E19" s="7" t="s">
        <v>22</v>
      </c>
      <c r="F19" s="7">
        <f>2*(F16/2)*(1-(((F17/2)/(F16/2))^2))</f>
        <v>85.18309859154931</v>
      </c>
    </row>
    <row r="20" spans="2:6" x14ac:dyDescent="0.25">
      <c r="B20" s="9" t="s">
        <v>30</v>
      </c>
      <c r="C20" s="9">
        <f>($C$4-$C$5)</f>
        <v>0.12192000000000003</v>
      </c>
      <c r="E20" s="196" t="s">
        <v>302</v>
      </c>
      <c r="F20" s="196"/>
    </row>
    <row r="21" spans="2:6" x14ac:dyDescent="0.25">
      <c r="B21" s="9" t="s">
        <v>31</v>
      </c>
      <c r="C21" s="9">
        <f>4*((C9^2)-(PI()/4*C4^2))/((4*C9)+(PI()*C4))</f>
        <v>0.43791741341351054</v>
      </c>
      <c r="E21" s="111" t="s">
        <v>33</v>
      </c>
      <c r="F21" s="111">
        <v>81</v>
      </c>
    </row>
    <row r="22" spans="2:6" x14ac:dyDescent="0.25">
      <c r="B22" s="203" t="s">
        <v>32</v>
      </c>
      <c r="C22" s="204"/>
      <c r="E22" s="3" t="s">
        <v>303</v>
      </c>
      <c r="F22" s="3">
        <f>F21-F23-F24</f>
        <v>72</v>
      </c>
    </row>
    <row r="23" spans="2:6" x14ac:dyDescent="0.25">
      <c r="B23" s="168">
        <v>1</v>
      </c>
      <c r="C23" s="168">
        <v>0</v>
      </c>
      <c r="E23" s="3" t="s">
        <v>304</v>
      </c>
      <c r="F23" s="3">
        <v>8</v>
      </c>
    </row>
    <row r="24" spans="2:6" x14ac:dyDescent="0.25">
      <c r="B24" s="168">
        <v>2</v>
      </c>
      <c r="C24" s="168">
        <f>$C$32/9</f>
        <v>4.5085E-2</v>
      </c>
      <c r="E24" s="3" t="s">
        <v>305</v>
      </c>
      <c r="F24" s="3">
        <v>1</v>
      </c>
    </row>
    <row r="25" spans="2:6" x14ac:dyDescent="0.25">
      <c r="B25" s="168">
        <v>3</v>
      </c>
      <c r="C25" s="168">
        <f>$C$24*(B25-1)</f>
        <v>9.017E-2</v>
      </c>
      <c r="E25">
        <f>C6/3</f>
        <v>2.0320000000000005E-2</v>
      </c>
    </row>
    <row r="26" spans="2:6" x14ac:dyDescent="0.25">
      <c r="B26" s="168">
        <v>4</v>
      </c>
      <c r="C26" s="168">
        <f t="shared" ref="C26:C30" si="2">$C$24*(B26-1)</f>
        <v>0.13525500000000001</v>
      </c>
    </row>
    <row r="27" spans="2:6" x14ac:dyDescent="0.25">
      <c r="B27" s="168">
        <v>5</v>
      </c>
      <c r="C27" s="168">
        <f t="shared" si="2"/>
        <v>0.18034</v>
      </c>
    </row>
    <row r="28" spans="2:6" x14ac:dyDescent="0.25">
      <c r="B28" s="168">
        <v>6</v>
      </c>
      <c r="C28" s="168">
        <f t="shared" si="2"/>
        <v>0.22542499999999999</v>
      </c>
    </row>
    <row r="29" spans="2:6" x14ac:dyDescent="0.25">
      <c r="B29" s="168">
        <v>7</v>
      </c>
      <c r="C29" s="168">
        <f t="shared" si="2"/>
        <v>0.27051000000000003</v>
      </c>
    </row>
    <row r="30" spans="2:6" x14ac:dyDescent="0.25">
      <c r="B30" s="168">
        <v>8</v>
      </c>
      <c r="C30" s="168">
        <f t="shared" si="2"/>
        <v>0.31559500000000001</v>
      </c>
    </row>
    <row r="31" spans="2:6" x14ac:dyDescent="0.25">
      <c r="B31" s="168">
        <v>9</v>
      </c>
      <c r="C31" s="168">
        <f>$C$24*(B31-1)</f>
        <v>0.36068</v>
      </c>
    </row>
    <row r="32" spans="2:6" x14ac:dyDescent="0.25">
      <c r="B32" s="168">
        <v>10</v>
      </c>
      <c r="C32" s="168">
        <f>C15</f>
        <v>0.40576499999999999</v>
      </c>
    </row>
    <row r="33" spans="2:3" x14ac:dyDescent="0.25">
      <c r="B33" s="169">
        <v>11</v>
      </c>
      <c r="C33" s="169">
        <f>C14</f>
        <v>0.41402</v>
      </c>
    </row>
    <row r="34" spans="2:3" x14ac:dyDescent="0.25">
      <c r="B34" s="10">
        <v>12</v>
      </c>
      <c r="C34" s="10">
        <f>C33+$E$25</f>
        <v>0.43434</v>
      </c>
    </row>
    <row r="35" spans="2:3" x14ac:dyDescent="0.25">
      <c r="B35" s="10">
        <v>13</v>
      </c>
      <c r="C35" s="10">
        <f>C34+$E$25</f>
        <v>0.45466000000000001</v>
      </c>
    </row>
    <row r="36" spans="2:3" x14ac:dyDescent="0.25">
      <c r="B36" s="10">
        <v>14</v>
      </c>
      <c r="C36" s="10">
        <f>C13</f>
        <v>0.47498000000000001</v>
      </c>
    </row>
    <row r="37" spans="2:3" x14ac:dyDescent="0.25">
      <c r="B37" s="165" t="s">
        <v>33</v>
      </c>
      <c r="C37" s="165">
        <v>81</v>
      </c>
    </row>
  </sheetData>
  <mergeCells count="9">
    <mergeCell ref="I2:N2"/>
    <mergeCell ref="B22:C22"/>
    <mergeCell ref="B2:C2"/>
    <mergeCell ref="E2:F2"/>
    <mergeCell ref="E7:F7"/>
    <mergeCell ref="B10:C10"/>
    <mergeCell ref="E14:F14"/>
    <mergeCell ref="B16:C16"/>
    <mergeCell ref="E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P1" workbookViewId="0">
      <selection activeCell="S15" sqref="S15"/>
    </sheetView>
  </sheetViews>
  <sheetFormatPr defaultRowHeight="15" x14ac:dyDescent="0.25"/>
  <cols>
    <col min="1" max="1" width="28.85546875" bestFit="1" customWidth="1"/>
    <col min="19" max="19" width="30" bestFit="1" customWidth="1"/>
    <col min="20" max="20" width="12" bestFit="1" customWidth="1"/>
  </cols>
  <sheetData>
    <row r="1" spans="1:21" x14ac:dyDescent="0.25">
      <c r="A1" t="s">
        <v>44</v>
      </c>
      <c r="B1">
        <v>772.03899999999999</v>
      </c>
      <c r="C1" t="s">
        <v>45</v>
      </c>
      <c r="D1" t="s">
        <v>306</v>
      </c>
      <c r="F1" t="s">
        <v>307</v>
      </c>
      <c r="G1">
        <f>2*B6*B7</f>
        <v>5.2027287617569842</v>
      </c>
      <c r="R1" s="37"/>
      <c r="S1" t="s">
        <v>204</v>
      </c>
      <c r="T1">
        <v>531.48299999999995</v>
      </c>
      <c r="U1" t="s">
        <v>45</v>
      </c>
    </row>
    <row r="2" spans="1:21" x14ac:dyDescent="0.25">
      <c r="A2" t="s">
        <v>308</v>
      </c>
      <c r="B2">
        <v>557.03899999999999</v>
      </c>
      <c r="C2" t="s">
        <v>45</v>
      </c>
      <c r="D2" t="s">
        <v>309</v>
      </c>
      <c r="F2" t="s">
        <v>310</v>
      </c>
      <c r="G2">
        <f>B12*0.00001/B8</f>
        <v>2.591863517060367E-3</v>
      </c>
      <c r="R2" s="37"/>
      <c r="S2" t="s">
        <v>308</v>
      </c>
      <c r="T2">
        <v>557.03899999999999</v>
      </c>
      <c r="U2" t="s">
        <v>45</v>
      </c>
    </row>
    <row r="3" spans="1:21" x14ac:dyDescent="0.25">
      <c r="A3" t="s">
        <v>311</v>
      </c>
      <c r="B3">
        <v>658.15</v>
      </c>
      <c r="C3" t="s">
        <v>45</v>
      </c>
      <c r="F3" t="s">
        <v>312</v>
      </c>
      <c r="G3">
        <f>B9/((B10^-1)+(B11^-1)-1)</f>
        <v>1.0154290645247896E-12</v>
      </c>
      <c r="R3" s="37"/>
      <c r="S3" t="s">
        <v>313</v>
      </c>
      <c r="T3">
        <f>(2*T2)-T1</f>
        <v>582.59500000000003</v>
      </c>
      <c r="U3" t="s">
        <v>45</v>
      </c>
    </row>
    <row r="4" spans="1:21" x14ac:dyDescent="0.25">
      <c r="A4" t="s">
        <v>314</v>
      </c>
      <c r="B4">
        <v>664.53899999999999</v>
      </c>
      <c r="C4" t="s">
        <v>45</v>
      </c>
      <c r="R4" s="37"/>
      <c r="S4" t="s">
        <v>13</v>
      </c>
      <c r="T4" s="119">
        <f>0.94996/100</f>
        <v>9.4996000000000004E-3</v>
      </c>
      <c r="U4" t="s">
        <v>315</v>
      </c>
    </row>
    <row r="5" spans="1:21" x14ac:dyDescent="0.25">
      <c r="A5" s="3" t="s">
        <v>316</v>
      </c>
      <c r="B5" s="3">
        <f>0.000164042*1000000</f>
        <v>164.042</v>
      </c>
      <c r="C5" s="3" t="s">
        <v>317</v>
      </c>
      <c r="D5" t="s">
        <v>318</v>
      </c>
      <c r="R5" s="37"/>
      <c r="S5" t="s">
        <v>319</v>
      </c>
      <c r="T5">
        <f>B6*T4*2</f>
        <v>5.9687747144083203E-2</v>
      </c>
      <c r="U5" t="s">
        <v>320</v>
      </c>
    </row>
    <row r="6" spans="1:21" x14ac:dyDescent="0.25">
      <c r="A6" s="120" t="s">
        <v>321</v>
      </c>
      <c r="B6">
        <f>PI()</f>
        <v>3.1415926535897931</v>
      </c>
      <c r="R6" s="37"/>
      <c r="S6" t="s">
        <v>322</v>
      </c>
      <c r="T6">
        <v>587.15012339999998</v>
      </c>
      <c r="U6" t="s">
        <v>323</v>
      </c>
    </row>
    <row r="7" spans="1:21" x14ac:dyDescent="0.25">
      <c r="A7" s="120" t="s">
        <v>324</v>
      </c>
      <c r="B7" s="3">
        <v>0.82804</v>
      </c>
      <c r="C7" s="3" t="s">
        <v>152</v>
      </c>
      <c r="D7" t="s">
        <v>325</v>
      </c>
      <c r="R7" s="37"/>
      <c r="S7" t="s">
        <v>326</v>
      </c>
      <c r="T7">
        <v>0.82296000000000002</v>
      </c>
      <c r="U7" t="s">
        <v>327</v>
      </c>
    </row>
    <row r="8" spans="1:21" x14ac:dyDescent="0.25">
      <c r="A8" s="120" t="s">
        <v>328</v>
      </c>
      <c r="B8" s="3">
        <v>6.0960000000000014E-2</v>
      </c>
      <c r="C8" s="3" t="s">
        <v>152</v>
      </c>
      <c r="D8" t="s">
        <v>329</v>
      </c>
      <c r="R8" s="37"/>
      <c r="S8" t="s">
        <v>330</v>
      </c>
    </row>
    <row r="9" spans="1:21" x14ac:dyDescent="0.25">
      <c r="A9" s="120" t="s">
        <v>331</v>
      </c>
      <c r="B9" s="85">
        <f>0.00000005670367/10000</f>
        <v>5.6703669999999993E-12</v>
      </c>
      <c r="C9" s="120" t="s">
        <v>396</v>
      </c>
      <c r="D9" t="s">
        <v>332</v>
      </c>
      <c r="R9" s="37"/>
      <c r="S9" t="s">
        <v>308</v>
      </c>
      <c r="T9">
        <v>557.03899999999999</v>
      </c>
      <c r="U9" t="s">
        <v>45</v>
      </c>
    </row>
    <row r="10" spans="1:21" x14ac:dyDescent="0.25">
      <c r="A10" s="120" t="s">
        <v>333</v>
      </c>
      <c r="B10" s="120">
        <v>0.87</v>
      </c>
      <c r="D10" t="s">
        <v>334</v>
      </c>
      <c r="E10" t="s">
        <v>335</v>
      </c>
      <c r="R10" s="37"/>
      <c r="S10" t="s">
        <v>336</v>
      </c>
      <c r="T10">
        <v>1850</v>
      </c>
      <c r="U10" t="s">
        <v>51</v>
      </c>
    </row>
    <row r="11" spans="1:21" x14ac:dyDescent="0.25">
      <c r="A11" s="120" t="s">
        <v>337</v>
      </c>
      <c r="B11" s="120">
        <v>0.184</v>
      </c>
      <c r="D11" t="s">
        <v>338</v>
      </c>
      <c r="E11" t="s">
        <v>339</v>
      </c>
      <c r="R11" s="37"/>
      <c r="S11" t="s">
        <v>72</v>
      </c>
      <c r="T11">
        <v>753.20399999999995</v>
      </c>
      <c r="U11" t="s">
        <v>340</v>
      </c>
    </row>
    <row r="12" spans="1:21" x14ac:dyDescent="0.25">
      <c r="A12" s="120" t="s">
        <v>341</v>
      </c>
      <c r="B12" s="120">
        <v>15.8</v>
      </c>
      <c r="R12" s="37"/>
      <c r="S12" t="s">
        <v>342</v>
      </c>
      <c r="T12" s="85">
        <v>9.3751000000000004E-5</v>
      </c>
      <c r="U12" t="s">
        <v>343</v>
      </c>
    </row>
    <row r="13" spans="1:21" x14ac:dyDescent="0.25">
      <c r="R13" s="37"/>
      <c r="S13" t="s">
        <v>344</v>
      </c>
      <c r="T13">
        <v>5.2000599999999997</v>
      </c>
      <c r="U13" t="s">
        <v>345</v>
      </c>
    </row>
    <row r="14" spans="1:21" x14ac:dyDescent="0.25">
      <c r="A14" s="205" t="s">
        <v>346</v>
      </c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37"/>
      <c r="S14" t="s">
        <v>347</v>
      </c>
      <c r="T14">
        <v>4.6342128000000002</v>
      </c>
      <c r="U14" t="s">
        <v>348</v>
      </c>
    </row>
    <row r="15" spans="1:21" x14ac:dyDescent="0.25">
      <c r="A15" s="205" t="s">
        <v>349</v>
      </c>
      <c r="B15" s="205" t="s">
        <v>350</v>
      </c>
      <c r="C15" s="205"/>
      <c r="D15" s="205"/>
      <c r="E15" s="205"/>
      <c r="F15" s="205"/>
      <c r="G15" s="205" t="s">
        <v>351</v>
      </c>
      <c r="H15" s="205"/>
      <c r="I15" s="205"/>
      <c r="J15" s="205"/>
      <c r="K15" s="205"/>
      <c r="L15" s="205" t="s">
        <v>352</v>
      </c>
      <c r="M15" s="205"/>
      <c r="N15" s="205"/>
      <c r="O15" s="205"/>
      <c r="P15" s="205"/>
      <c r="Q15" s="166" t="s">
        <v>353</v>
      </c>
      <c r="R15" s="37"/>
    </row>
    <row r="16" spans="1:21" x14ac:dyDescent="0.25">
      <c r="A16" s="205"/>
      <c r="B16" t="s">
        <v>354</v>
      </c>
      <c r="C16" t="s">
        <v>365</v>
      </c>
      <c r="D16" t="s">
        <v>397</v>
      </c>
      <c r="E16" t="s">
        <v>355</v>
      </c>
      <c r="F16" t="s">
        <v>356</v>
      </c>
      <c r="G16" t="s">
        <v>354</v>
      </c>
      <c r="H16" t="s">
        <v>365</v>
      </c>
      <c r="I16" t="s">
        <v>341</v>
      </c>
      <c r="J16" t="s">
        <v>355</v>
      </c>
      <c r="K16" t="s">
        <v>356</v>
      </c>
      <c r="L16" t="s">
        <v>354</v>
      </c>
      <c r="M16" t="s">
        <v>365</v>
      </c>
      <c r="N16" t="s">
        <v>341</v>
      </c>
      <c r="O16" t="s">
        <v>355</v>
      </c>
      <c r="P16" t="s">
        <v>356</v>
      </c>
      <c r="R16" s="37"/>
      <c r="S16" t="s">
        <v>357</v>
      </c>
    </row>
    <row r="17" spans="1:21" x14ac:dyDescent="0.25">
      <c r="A17">
        <v>1</v>
      </c>
      <c r="B17">
        <v>600</v>
      </c>
      <c r="C17">
        <f>($B$1+B17)/2</f>
        <v>686.01949999999999</v>
      </c>
      <c r="D17">
        <f>$G$2*C17^0.79</f>
        <v>0.45114685326705301</v>
      </c>
      <c r="E17">
        <f t="shared" ref="E17:E66" si="0">($B$1^4-B17^4)/($B$1-B17)</f>
        <v>1311729952.1632953</v>
      </c>
      <c r="F17">
        <f t="shared" ref="F17:F66" si="1">$B$1-($B$5/($G$1*(D17+($G$3*E17))))-B17</f>
        <v>102.35619675839087</v>
      </c>
      <c r="G17">
        <f t="shared" ref="G17:G66" si="2">(B17+L17)/2</f>
        <v>700</v>
      </c>
      <c r="H17">
        <f>($B$1+G17)/2</f>
        <v>736.01949999999999</v>
      </c>
      <c r="I17">
        <f>$G$2*H17^0.79</f>
        <v>0.47693005545662226</v>
      </c>
      <c r="J17">
        <f t="shared" ref="J17:J66" si="3">($B$1^4-G17^4)/($B$1-G17)</f>
        <v>1598699443.9153953</v>
      </c>
      <c r="K17">
        <f t="shared" ref="K17:K66" si="4">$B$1-($B$5/($G$1*(I17+($G$3*J17))))-G17</f>
        <v>6.1529540173405621</v>
      </c>
      <c r="L17">
        <v>800</v>
      </c>
      <c r="M17">
        <f>($B$1+L17)/2</f>
        <v>786.01949999999999</v>
      </c>
      <c r="N17">
        <f>$G$2*M17^0.79</f>
        <v>0.50234773880358363</v>
      </c>
      <c r="O17">
        <f t="shared" ref="O17:O66" si="5">($B$1^4-L17^4)/($B$1-L17)</f>
        <v>1943109715.6674957</v>
      </c>
      <c r="P17">
        <f t="shared" ref="P17:P66" si="6">$B$1-($B$5/($G$1*(N17+($G$3*O17))))-L17</f>
        <v>-90.480711496233084</v>
      </c>
      <c r="R17" s="37"/>
      <c r="T17" t="s">
        <v>358</v>
      </c>
      <c r="U17" s="85">
        <f>T11*T7*T4/T12</f>
        <v>62808.837385995495</v>
      </c>
    </row>
    <row r="18" spans="1:21" x14ac:dyDescent="0.25">
      <c r="A18">
        <v>2</v>
      </c>
      <c r="B18">
        <f t="shared" ref="B18:B66" si="7">IF(F17*K17&gt;0,G17,B17)</f>
        <v>700</v>
      </c>
      <c r="C18">
        <f t="shared" ref="C18:C66" si="8">($B$1+B18)/2</f>
        <v>736.01949999999999</v>
      </c>
      <c r="D18">
        <f t="shared" ref="D18:D66" si="9">$G$2*C18^0.79</f>
        <v>0.47693005545662226</v>
      </c>
      <c r="E18">
        <f t="shared" si="0"/>
        <v>1598699443.9153953</v>
      </c>
      <c r="F18">
        <f t="shared" si="1"/>
        <v>6.1529540173405621</v>
      </c>
      <c r="G18">
        <f t="shared" si="2"/>
        <v>750</v>
      </c>
      <c r="H18">
        <f t="shared" ref="H18:H66" si="10">($B$1+G18)/2</f>
        <v>761.01949999999999</v>
      </c>
      <c r="I18">
        <f t="shared" ref="I18:I66" si="11">$G$2*H18^0.79</f>
        <v>0.48968274253804794</v>
      </c>
      <c r="J18">
        <f t="shared" si="3"/>
        <v>1763349482.2914448</v>
      </c>
      <c r="K18">
        <f t="shared" si="4"/>
        <v>-42.115029927897353</v>
      </c>
      <c r="L18">
        <f t="shared" ref="L18:L66" si="12">IF(K17*P17&lt;0,L17,G17)</f>
        <v>800</v>
      </c>
      <c r="M18">
        <f t="shared" ref="M18:M66" si="13">($B$1+L18)/2</f>
        <v>786.01949999999999</v>
      </c>
      <c r="N18">
        <f t="shared" ref="N18:N66" si="14">$G$2*M18^0.79</f>
        <v>0.50234773880358363</v>
      </c>
      <c r="O18">
        <f t="shared" si="5"/>
        <v>1943109715.6674957</v>
      </c>
      <c r="P18">
        <f t="shared" si="6"/>
        <v>-90.480711496233084</v>
      </c>
      <c r="Q18">
        <f>G18-G17</f>
        <v>50</v>
      </c>
      <c r="R18" s="37"/>
      <c r="T18" t="s">
        <v>359</v>
      </c>
      <c r="U18" s="85">
        <f>T13*T12/T14</f>
        <v>1.0519819570219131E-4</v>
      </c>
    </row>
    <row r="19" spans="1:21" x14ac:dyDescent="0.25">
      <c r="A19">
        <v>3</v>
      </c>
      <c r="B19">
        <f t="shared" si="7"/>
        <v>700</v>
      </c>
      <c r="C19">
        <f t="shared" si="8"/>
        <v>736.01949999999999</v>
      </c>
      <c r="D19">
        <f t="shared" si="9"/>
        <v>0.47693005545662226</v>
      </c>
      <c r="E19">
        <f t="shared" si="0"/>
        <v>1598699443.9153953</v>
      </c>
      <c r="F19">
        <f t="shared" si="1"/>
        <v>6.1529540173405621</v>
      </c>
      <c r="G19">
        <f t="shared" si="2"/>
        <v>725</v>
      </c>
      <c r="H19">
        <f t="shared" si="10"/>
        <v>748.51949999999999</v>
      </c>
      <c r="I19">
        <f t="shared" si="11"/>
        <v>0.48331758023202565</v>
      </c>
      <c r="J19">
        <f t="shared" si="3"/>
        <v>1679182563.72842</v>
      </c>
      <c r="K19">
        <f t="shared" si="4"/>
        <v>-17.968255552851588</v>
      </c>
      <c r="L19">
        <f t="shared" si="12"/>
        <v>750</v>
      </c>
      <c r="M19">
        <f t="shared" si="13"/>
        <v>761.01949999999999</v>
      </c>
      <c r="N19">
        <f t="shared" si="14"/>
        <v>0.48968274253804794</v>
      </c>
      <c r="O19">
        <f t="shared" si="5"/>
        <v>1763349482.2914448</v>
      </c>
      <c r="P19">
        <f t="shared" si="6"/>
        <v>-42.115029927897353</v>
      </c>
      <c r="Q19">
        <f t="shared" ref="Q19:Q66" si="15">G19-G18</f>
        <v>-25</v>
      </c>
      <c r="R19" s="37"/>
      <c r="T19" t="s">
        <v>360</v>
      </c>
      <c r="U19" s="85">
        <f>0.0023*U17^0.8*U18^0.4</f>
        <v>0.40639443858002228</v>
      </c>
    </row>
    <row r="20" spans="1:21" x14ac:dyDescent="0.25">
      <c r="A20">
        <v>4</v>
      </c>
      <c r="B20">
        <f t="shared" si="7"/>
        <v>700</v>
      </c>
      <c r="C20">
        <f t="shared" si="8"/>
        <v>736.01949999999999</v>
      </c>
      <c r="D20">
        <f t="shared" si="9"/>
        <v>0.47693005545662226</v>
      </c>
      <c r="E20">
        <f t="shared" si="0"/>
        <v>1598699443.9153953</v>
      </c>
      <c r="F20">
        <f t="shared" si="1"/>
        <v>6.1529540173405621</v>
      </c>
      <c r="G20">
        <f t="shared" si="2"/>
        <v>712.5</v>
      </c>
      <c r="H20">
        <f t="shared" si="10"/>
        <v>742.26949999999999</v>
      </c>
      <c r="I20">
        <f t="shared" si="11"/>
        <v>0.48012664152681128</v>
      </c>
      <c r="J20">
        <f t="shared" si="3"/>
        <v>1638486388.3531575</v>
      </c>
      <c r="K20">
        <f t="shared" si="4"/>
        <v>-5.9043799116145692</v>
      </c>
      <c r="L20">
        <f t="shared" si="12"/>
        <v>725</v>
      </c>
      <c r="M20">
        <f t="shared" si="13"/>
        <v>748.51949999999999</v>
      </c>
      <c r="N20">
        <f t="shared" si="14"/>
        <v>0.48331758023202565</v>
      </c>
      <c r="O20">
        <f t="shared" si="5"/>
        <v>1679182563.72842</v>
      </c>
      <c r="P20">
        <f t="shared" si="6"/>
        <v>-17.968255552851588</v>
      </c>
      <c r="Q20">
        <f t="shared" si="15"/>
        <v>-12.5</v>
      </c>
      <c r="R20" s="37"/>
    </row>
    <row r="21" spans="1:21" x14ac:dyDescent="0.25">
      <c r="A21">
        <v>5</v>
      </c>
      <c r="B21">
        <f t="shared" si="7"/>
        <v>700</v>
      </c>
      <c r="C21">
        <f t="shared" si="8"/>
        <v>736.01949999999999</v>
      </c>
      <c r="D21">
        <f t="shared" si="9"/>
        <v>0.47693005545662226</v>
      </c>
      <c r="E21">
        <f t="shared" si="0"/>
        <v>1598699443.9153953</v>
      </c>
      <c r="F21">
        <f t="shared" si="1"/>
        <v>6.1529540173405621</v>
      </c>
      <c r="G21">
        <f t="shared" si="2"/>
        <v>706.25</v>
      </c>
      <c r="H21">
        <f t="shared" si="10"/>
        <v>739.14449999999999</v>
      </c>
      <c r="I21">
        <f t="shared" si="11"/>
        <v>0.47852905801684231</v>
      </c>
      <c r="J21">
        <f t="shared" si="3"/>
        <v>1618479994.6889639</v>
      </c>
      <c r="K21">
        <f t="shared" si="4"/>
        <v>0.12511443773564679</v>
      </c>
      <c r="L21">
        <f t="shared" si="12"/>
        <v>712.5</v>
      </c>
      <c r="M21">
        <f t="shared" si="13"/>
        <v>742.26949999999999</v>
      </c>
      <c r="N21">
        <f t="shared" si="14"/>
        <v>0.48012664152681128</v>
      </c>
      <c r="O21">
        <f t="shared" si="5"/>
        <v>1638486388.3531575</v>
      </c>
      <c r="P21">
        <f t="shared" si="6"/>
        <v>-5.9043799116145692</v>
      </c>
      <c r="Q21">
        <f t="shared" si="15"/>
        <v>-6.25</v>
      </c>
      <c r="R21" s="37"/>
      <c r="T21" t="s">
        <v>361</v>
      </c>
      <c r="U21" s="104">
        <f>U19*T14/T4</f>
        <v>198.25238000719537</v>
      </c>
    </row>
    <row r="22" spans="1:21" x14ac:dyDescent="0.25">
      <c r="A22">
        <v>6</v>
      </c>
      <c r="B22">
        <f t="shared" si="7"/>
        <v>706.25</v>
      </c>
      <c r="C22">
        <f t="shared" si="8"/>
        <v>739.14449999999999</v>
      </c>
      <c r="D22">
        <f t="shared" si="9"/>
        <v>0.47852905801684231</v>
      </c>
      <c r="E22">
        <f t="shared" si="0"/>
        <v>1618479994.6889639</v>
      </c>
      <c r="F22">
        <f t="shared" si="1"/>
        <v>0.12511443773564679</v>
      </c>
      <c r="G22">
        <f t="shared" si="2"/>
        <v>709.375</v>
      </c>
      <c r="H22">
        <f t="shared" si="10"/>
        <v>740.70699999999999</v>
      </c>
      <c r="I22">
        <f t="shared" si="11"/>
        <v>0.47932802669992081</v>
      </c>
      <c r="J22">
        <f t="shared" si="3"/>
        <v>1628454869.6069982</v>
      </c>
      <c r="K22">
        <f t="shared" si="4"/>
        <v>-2.889427111666464</v>
      </c>
      <c r="L22">
        <f t="shared" si="12"/>
        <v>712.5</v>
      </c>
      <c r="M22">
        <f t="shared" si="13"/>
        <v>742.26949999999999</v>
      </c>
      <c r="N22">
        <f t="shared" si="14"/>
        <v>0.48012664152681128</v>
      </c>
      <c r="O22">
        <f t="shared" si="5"/>
        <v>1638486388.3531575</v>
      </c>
      <c r="P22">
        <f t="shared" si="6"/>
        <v>-5.9043799116145692</v>
      </c>
      <c r="Q22">
        <f t="shared" si="15"/>
        <v>3.125</v>
      </c>
      <c r="R22" s="37"/>
    </row>
    <row r="23" spans="1:21" x14ac:dyDescent="0.25">
      <c r="A23">
        <v>7</v>
      </c>
      <c r="B23">
        <f t="shared" si="7"/>
        <v>706.25</v>
      </c>
      <c r="C23">
        <f t="shared" si="8"/>
        <v>739.14449999999999</v>
      </c>
      <c r="D23">
        <f t="shared" si="9"/>
        <v>0.47852905801684231</v>
      </c>
      <c r="E23">
        <f t="shared" si="0"/>
        <v>1618479994.6889639</v>
      </c>
      <c r="F23">
        <f t="shared" si="1"/>
        <v>0.12511443773564679</v>
      </c>
      <c r="G23">
        <f t="shared" si="2"/>
        <v>707.8125</v>
      </c>
      <c r="H23">
        <f t="shared" si="10"/>
        <v>739.92574999999999</v>
      </c>
      <c r="I23">
        <f t="shared" si="11"/>
        <v>0.4789285866468882</v>
      </c>
      <c r="J23">
        <f t="shared" si="3"/>
        <v>1623460363.1135576</v>
      </c>
      <c r="K23">
        <f t="shared" si="4"/>
        <v>-1.3821047787930638</v>
      </c>
      <c r="L23">
        <f t="shared" si="12"/>
        <v>709.375</v>
      </c>
      <c r="M23">
        <f t="shared" si="13"/>
        <v>740.70699999999999</v>
      </c>
      <c r="N23">
        <f t="shared" si="14"/>
        <v>0.47932802669992081</v>
      </c>
      <c r="O23">
        <f t="shared" si="5"/>
        <v>1628454869.6069982</v>
      </c>
      <c r="P23">
        <f t="shared" si="6"/>
        <v>-2.889427111666464</v>
      </c>
      <c r="Q23">
        <f t="shared" si="15"/>
        <v>-1.5625</v>
      </c>
      <c r="R23" s="37"/>
      <c r="S23" t="s">
        <v>362</v>
      </c>
    </row>
    <row r="24" spans="1:21" x14ac:dyDescent="0.25">
      <c r="A24">
        <v>8</v>
      </c>
      <c r="B24">
        <f t="shared" si="7"/>
        <v>706.25</v>
      </c>
      <c r="C24">
        <f t="shared" si="8"/>
        <v>739.14449999999999</v>
      </c>
      <c r="D24">
        <f t="shared" si="9"/>
        <v>0.47852905801684231</v>
      </c>
      <c r="E24">
        <f t="shared" si="0"/>
        <v>1618479994.6889639</v>
      </c>
      <c r="F24">
        <f t="shared" si="1"/>
        <v>0.12511443773564679</v>
      </c>
      <c r="G24">
        <f t="shared" si="2"/>
        <v>707.03125</v>
      </c>
      <c r="H24">
        <f t="shared" si="10"/>
        <v>739.53512499999999</v>
      </c>
      <c r="I24">
        <f t="shared" si="11"/>
        <v>0.47872883341106642</v>
      </c>
      <c r="J24">
        <f t="shared" si="3"/>
        <v>1620968413.0731661</v>
      </c>
      <c r="K24">
        <f t="shared" si="4"/>
        <v>-0.62848226193739265</v>
      </c>
      <c r="L24">
        <f t="shared" si="12"/>
        <v>707.8125</v>
      </c>
      <c r="M24">
        <f t="shared" si="13"/>
        <v>739.92574999999999</v>
      </c>
      <c r="N24">
        <f t="shared" si="14"/>
        <v>0.4789285866468882</v>
      </c>
      <c r="O24">
        <f t="shared" si="5"/>
        <v>1623460363.1135576</v>
      </c>
      <c r="P24">
        <f t="shared" si="6"/>
        <v>-1.3821047787930638</v>
      </c>
      <c r="Q24">
        <f t="shared" si="15"/>
        <v>-0.78125</v>
      </c>
      <c r="R24" s="37"/>
      <c r="T24" t="s">
        <v>363</v>
      </c>
      <c r="U24">
        <f>(B5/(2*B6*T4/2*U21))+B2</f>
        <v>584.76463198510032</v>
      </c>
    </row>
    <row r="25" spans="1:21" x14ac:dyDescent="0.25">
      <c r="A25">
        <v>9</v>
      </c>
      <c r="B25">
        <f t="shared" si="7"/>
        <v>706.25</v>
      </c>
      <c r="C25">
        <f t="shared" si="8"/>
        <v>739.14449999999999</v>
      </c>
      <c r="D25">
        <f t="shared" si="9"/>
        <v>0.47852905801684231</v>
      </c>
      <c r="E25">
        <f t="shared" si="0"/>
        <v>1618479994.6889639</v>
      </c>
      <c r="F25">
        <f t="shared" si="1"/>
        <v>0.12511443773564679</v>
      </c>
      <c r="G25">
        <f t="shared" si="2"/>
        <v>706.640625</v>
      </c>
      <c r="H25">
        <f t="shared" si="10"/>
        <v>739.33981249999999</v>
      </c>
      <c r="I25">
        <f t="shared" si="11"/>
        <v>0.47862894848464027</v>
      </c>
      <c r="J25">
        <f t="shared" si="3"/>
        <v>1619723762.6028552</v>
      </c>
      <c r="K25">
        <f t="shared" si="4"/>
        <v>-0.25168068256778042</v>
      </c>
      <c r="L25">
        <f t="shared" si="12"/>
        <v>707.03125</v>
      </c>
      <c r="M25">
        <f t="shared" si="13"/>
        <v>739.53512499999999</v>
      </c>
      <c r="N25">
        <f t="shared" si="14"/>
        <v>0.47872883341106642</v>
      </c>
      <c r="O25">
        <f t="shared" si="5"/>
        <v>1620968413.0731661</v>
      </c>
      <c r="P25">
        <f t="shared" si="6"/>
        <v>-0.62848226193739265</v>
      </c>
      <c r="Q25">
        <f t="shared" si="15"/>
        <v>-0.390625</v>
      </c>
      <c r="R25" s="37"/>
    </row>
    <row r="26" spans="1:21" x14ac:dyDescent="0.25">
      <c r="A26">
        <v>10</v>
      </c>
      <c r="B26">
        <f t="shared" si="7"/>
        <v>706.25</v>
      </c>
      <c r="C26">
        <f t="shared" si="8"/>
        <v>739.14449999999999</v>
      </c>
      <c r="D26">
        <f t="shared" si="9"/>
        <v>0.47852905801684231</v>
      </c>
      <c r="E26">
        <f t="shared" si="0"/>
        <v>1618479994.6889639</v>
      </c>
      <c r="F26">
        <f t="shared" si="1"/>
        <v>0.12511443773564679</v>
      </c>
      <c r="G26">
        <f t="shared" si="2"/>
        <v>706.4453125</v>
      </c>
      <c r="H26">
        <f t="shared" si="10"/>
        <v>739.24215624999999</v>
      </c>
      <c r="I26">
        <f t="shared" si="11"/>
        <v>0.47857900394352332</v>
      </c>
      <c r="J26">
        <f t="shared" si="3"/>
        <v>1619101768.3487089</v>
      </c>
      <c r="K26">
        <f t="shared" si="4"/>
        <v>-6.328231473435153E-2</v>
      </c>
      <c r="L26">
        <f t="shared" si="12"/>
        <v>706.640625</v>
      </c>
      <c r="M26">
        <f t="shared" si="13"/>
        <v>739.33981249999999</v>
      </c>
      <c r="N26">
        <f t="shared" si="14"/>
        <v>0.47862894848464027</v>
      </c>
      <c r="O26">
        <f t="shared" si="5"/>
        <v>1619723762.6028552</v>
      </c>
      <c r="P26">
        <f t="shared" si="6"/>
        <v>-0.25168068256778042</v>
      </c>
      <c r="Q26">
        <f t="shared" si="15"/>
        <v>-0.1953125</v>
      </c>
      <c r="R26" s="37"/>
      <c r="S26" t="s">
        <v>364</v>
      </c>
      <c r="T26">
        <f>(G66+U24)/2</f>
        <v>645.57216968162379</v>
      </c>
    </row>
    <row r="27" spans="1:21" x14ac:dyDescent="0.25">
      <c r="A27">
        <v>11</v>
      </c>
      <c r="B27">
        <f t="shared" si="7"/>
        <v>706.25</v>
      </c>
      <c r="C27">
        <f t="shared" si="8"/>
        <v>739.14449999999999</v>
      </c>
      <c r="D27">
        <f t="shared" si="9"/>
        <v>0.47852905801684231</v>
      </c>
      <c r="E27">
        <f t="shared" si="0"/>
        <v>1618479994.6889639</v>
      </c>
      <c r="F27">
        <f t="shared" si="1"/>
        <v>0.12511443773564679</v>
      </c>
      <c r="G27">
        <f t="shared" si="2"/>
        <v>706.34765625</v>
      </c>
      <c r="H27">
        <f t="shared" si="10"/>
        <v>739.19332812499999</v>
      </c>
      <c r="I27">
        <f t="shared" si="11"/>
        <v>0.47855403115339246</v>
      </c>
      <c r="J27">
        <f t="shared" si="3"/>
        <v>1618790853.9473302</v>
      </c>
      <c r="K27">
        <f t="shared" si="4"/>
        <v>3.0916263458379944E-2</v>
      </c>
      <c r="L27">
        <f t="shared" si="12"/>
        <v>706.4453125</v>
      </c>
      <c r="M27">
        <f t="shared" si="13"/>
        <v>739.24215624999999</v>
      </c>
      <c r="N27">
        <f t="shared" si="14"/>
        <v>0.47857900394352332</v>
      </c>
      <c r="O27">
        <f t="shared" si="5"/>
        <v>1619101768.3487089</v>
      </c>
      <c r="P27">
        <f t="shared" si="6"/>
        <v>-6.328231473435153E-2</v>
      </c>
      <c r="Q27">
        <f t="shared" si="15"/>
        <v>-9.765625E-2</v>
      </c>
      <c r="R27" s="37"/>
    </row>
    <row r="28" spans="1:21" x14ac:dyDescent="0.25">
      <c r="A28">
        <v>12</v>
      </c>
      <c r="B28">
        <f t="shared" si="7"/>
        <v>706.34765625</v>
      </c>
      <c r="C28">
        <f t="shared" si="8"/>
        <v>739.19332812499999</v>
      </c>
      <c r="D28">
        <f t="shared" si="9"/>
        <v>0.47855403115339246</v>
      </c>
      <c r="E28">
        <f t="shared" si="0"/>
        <v>1618790853.9473302</v>
      </c>
      <c r="F28">
        <f t="shared" si="1"/>
        <v>3.0916263458379944E-2</v>
      </c>
      <c r="G28">
        <f t="shared" si="2"/>
        <v>706.396484375</v>
      </c>
      <c r="H28">
        <f t="shared" si="10"/>
        <v>739.21774218749999</v>
      </c>
      <c r="I28">
        <f t="shared" si="11"/>
        <v>0.47856651759175822</v>
      </c>
      <c r="J28">
        <f t="shared" si="3"/>
        <v>1618946304.2547936</v>
      </c>
      <c r="K28">
        <f t="shared" si="4"/>
        <v>-1.6182975153242296E-2</v>
      </c>
      <c r="L28">
        <f t="shared" si="12"/>
        <v>706.4453125</v>
      </c>
      <c r="M28">
        <f t="shared" si="13"/>
        <v>739.24215624999999</v>
      </c>
      <c r="N28">
        <f t="shared" si="14"/>
        <v>0.47857900394352332</v>
      </c>
      <c r="O28">
        <f t="shared" si="5"/>
        <v>1619101768.3487089</v>
      </c>
      <c r="P28">
        <f t="shared" si="6"/>
        <v>-6.328231473435153E-2</v>
      </c>
      <c r="Q28">
        <f t="shared" si="15"/>
        <v>4.8828125E-2</v>
      </c>
      <c r="R28" s="37"/>
    </row>
    <row r="29" spans="1:21" x14ac:dyDescent="0.25">
      <c r="A29">
        <v>13</v>
      </c>
      <c r="B29">
        <f t="shared" si="7"/>
        <v>706.34765625</v>
      </c>
      <c r="C29">
        <f t="shared" si="8"/>
        <v>739.19332812499999</v>
      </c>
      <c r="D29">
        <f t="shared" si="9"/>
        <v>0.47855403115339246</v>
      </c>
      <c r="E29">
        <f t="shared" si="0"/>
        <v>1618790853.9473302</v>
      </c>
      <c r="F29">
        <f t="shared" si="1"/>
        <v>3.0916263458379944E-2</v>
      </c>
      <c r="G29">
        <f t="shared" si="2"/>
        <v>706.3720703125</v>
      </c>
      <c r="H29">
        <f t="shared" si="10"/>
        <v>739.20553515624999</v>
      </c>
      <c r="I29">
        <f t="shared" si="11"/>
        <v>0.4785602743834006</v>
      </c>
      <c r="J29">
        <f t="shared" si="3"/>
        <v>1618868577.377799</v>
      </c>
      <c r="K29">
        <f t="shared" si="4"/>
        <v>7.3666567743657652E-3</v>
      </c>
      <c r="L29">
        <f t="shared" si="12"/>
        <v>706.396484375</v>
      </c>
      <c r="M29">
        <f t="shared" si="13"/>
        <v>739.21774218749999</v>
      </c>
      <c r="N29">
        <f t="shared" si="14"/>
        <v>0.47856651759175822</v>
      </c>
      <c r="O29">
        <f t="shared" si="5"/>
        <v>1618946304.2547936</v>
      </c>
      <c r="P29">
        <f t="shared" si="6"/>
        <v>-1.6182975153242296E-2</v>
      </c>
      <c r="Q29">
        <f t="shared" si="15"/>
        <v>-2.44140625E-2</v>
      </c>
      <c r="R29" s="37"/>
    </row>
    <row r="30" spans="1:21" x14ac:dyDescent="0.25">
      <c r="A30">
        <v>14</v>
      </c>
      <c r="B30">
        <f t="shared" si="7"/>
        <v>706.3720703125</v>
      </c>
      <c r="C30">
        <f t="shared" si="8"/>
        <v>739.20553515624999</v>
      </c>
      <c r="D30">
        <f t="shared" si="9"/>
        <v>0.4785602743834006</v>
      </c>
      <c r="E30">
        <f t="shared" si="0"/>
        <v>1618868577.377799</v>
      </c>
      <c r="F30">
        <f t="shared" si="1"/>
        <v>7.3666567743657652E-3</v>
      </c>
      <c r="G30">
        <f t="shared" si="2"/>
        <v>706.38427734375</v>
      </c>
      <c r="H30">
        <f t="shared" si="10"/>
        <v>739.21163867187499</v>
      </c>
      <c r="I30">
        <f t="shared" si="11"/>
        <v>0.4785633959902858</v>
      </c>
      <c r="J30">
        <f t="shared" si="3"/>
        <v>1618907440.3854754</v>
      </c>
      <c r="K30">
        <f t="shared" si="4"/>
        <v>-4.4081560340600845E-3</v>
      </c>
      <c r="L30">
        <f t="shared" si="12"/>
        <v>706.396484375</v>
      </c>
      <c r="M30">
        <f t="shared" si="13"/>
        <v>739.21774218749999</v>
      </c>
      <c r="N30">
        <f t="shared" si="14"/>
        <v>0.47856651759175822</v>
      </c>
      <c r="O30">
        <f t="shared" si="5"/>
        <v>1618946304.2547936</v>
      </c>
      <c r="P30">
        <f t="shared" si="6"/>
        <v>-1.6182975153242296E-2</v>
      </c>
      <c r="Q30">
        <f t="shared" si="15"/>
        <v>1.220703125E-2</v>
      </c>
      <c r="R30" s="37"/>
    </row>
    <row r="31" spans="1:21" x14ac:dyDescent="0.25">
      <c r="A31">
        <v>15</v>
      </c>
      <c r="B31">
        <f t="shared" si="7"/>
        <v>706.3720703125</v>
      </c>
      <c r="C31">
        <f t="shared" si="8"/>
        <v>739.20553515624999</v>
      </c>
      <c r="D31">
        <f t="shared" si="9"/>
        <v>0.4785602743834006</v>
      </c>
      <c r="E31">
        <f t="shared" si="0"/>
        <v>1618868577.377799</v>
      </c>
      <c r="F31">
        <f t="shared" si="1"/>
        <v>7.3666567743657652E-3</v>
      </c>
      <c r="G31">
        <f t="shared" si="2"/>
        <v>706.378173828125</v>
      </c>
      <c r="H31">
        <f t="shared" si="10"/>
        <v>739.20858691406249</v>
      </c>
      <c r="I31">
        <f t="shared" si="11"/>
        <v>0.47856183518751977</v>
      </c>
      <c r="J31">
        <f t="shared" si="3"/>
        <v>1618888008.7739325</v>
      </c>
      <c r="K31">
        <f t="shared" si="4"/>
        <v>1.4792511590258073E-3</v>
      </c>
      <c r="L31">
        <f t="shared" si="12"/>
        <v>706.38427734375</v>
      </c>
      <c r="M31">
        <f t="shared" si="13"/>
        <v>739.21163867187499</v>
      </c>
      <c r="N31">
        <f t="shared" si="14"/>
        <v>0.4785633959902858</v>
      </c>
      <c r="O31">
        <f t="shared" si="5"/>
        <v>1618907440.3854754</v>
      </c>
      <c r="P31">
        <f t="shared" si="6"/>
        <v>-4.4081560340600845E-3</v>
      </c>
      <c r="Q31">
        <f t="shared" si="15"/>
        <v>-6.103515625E-3</v>
      </c>
      <c r="R31" s="37"/>
    </row>
    <row r="32" spans="1:21" x14ac:dyDescent="0.25">
      <c r="A32">
        <v>16</v>
      </c>
      <c r="B32">
        <f t="shared" si="7"/>
        <v>706.378173828125</v>
      </c>
      <c r="C32">
        <f t="shared" si="8"/>
        <v>739.20858691406249</v>
      </c>
      <c r="D32">
        <f t="shared" si="9"/>
        <v>0.47856183518751977</v>
      </c>
      <c r="E32">
        <f t="shared" si="0"/>
        <v>1618888008.7739325</v>
      </c>
      <c r="F32">
        <f t="shared" si="1"/>
        <v>1.4792511590258073E-3</v>
      </c>
      <c r="G32">
        <f t="shared" si="2"/>
        <v>706.3812255859375</v>
      </c>
      <c r="H32">
        <f t="shared" si="10"/>
        <v>739.21011279296874</v>
      </c>
      <c r="I32">
        <f t="shared" si="11"/>
        <v>0.47856261558907176</v>
      </c>
      <c r="J32">
        <f t="shared" si="3"/>
        <v>1618897724.5527775</v>
      </c>
      <c r="K32">
        <f t="shared" si="4"/>
        <v>-1.464452240384162E-3</v>
      </c>
      <c r="L32">
        <f t="shared" si="12"/>
        <v>706.38427734375</v>
      </c>
      <c r="M32">
        <f t="shared" si="13"/>
        <v>739.21163867187499</v>
      </c>
      <c r="N32">
        <f t="shared" si="14"/>
        <v>0.4785633959902858</v>
      </c>
      <c r="O32">
        <f t="shared" si="5"/>
        <v>1618907440.3854754</v>
      </c>
      <c r="P32">
        <f t="shared" si="6"/>
        <v>-4.4081560340600845E-3</v>
      </c>
      <c r="Q32">
        <f t="shared" si="15"/>
        <v>3.0517578125E-3</v>
      </c>
      <c r="R32" s="37"/>
    </row>
    <row r="33" spans="1:18" x14ac:dyDescent="0.25">
      <c r="A33">
        <v>17</v>
      </c>
      <c r="B33">
        <f t="shared" si="7"/>
        <v>706.378173828125</v>
      </c>
      <c r="C33">
        <f t="shared" si="8"/>
        <v>739.20858691406249</v>
      </c>
      <c r="D33">
        <f t="shared" si="9"/>
        <v>0.47856183518751977</v>
      </c>
      <c r="E33">
        <f t="shared" si="0"/>
        <v>1618888008.7739325</v>
      </c>
      <c r="F33">
        <f t="shared" si="1"/>
        <v>1.4792511590258073E-3</v>
      </c>
      <c r="G33">
        <f t="shared" si="2"/>
        <v>706.37969970703125</v>
      </c>
      <c r="H33">
        <f t="shared" si="10"/>
        <v>739.20934985351562</v>
      </c>
      <c r="I33">
        <f t="shared" si="11"/>
        <v>0.47856222538833793</v>
      </c>
      <c r="J33">
        <f t="shared" si="3"/>
        <v>1618892866.6566236</v>
      </c>
      <c r="K33">
        <f t="shared" si="4"/>
        <v>7.3995086040667957E-6</v>
      </c>
      <c r="L33">
        <f t="shared" si="12"/>
        <v>706.3812255859375</v>
      </c>
      <c r="M33">
        <f t="shared" si="13"/>
        <v>739.21011279296874</v>
      </c>
      <c r="N33">
        <f t="shared" si="14"/>
        <v>0.47856261558907176</v>
      </c>
      <c r="O33">
        <f t="shared" si="5"/>
        <v>1618897724.5527775</v>
      </c>
      <c r="P33">
        <f t="shared" si="6"/>
        <v>-1.464452240384162E-3</v>
      </c>
      <c r="Q33">
        <f t="shared" si="15"/>
        <v>-1.52587890625E-3</v>
      </c>
      <c r="R33" s="37"/>
    </row>
    <row r="34" spans="1:18" x14ac:dyDescent="0.25">
      <c r="A34">
        <v>18</v>
      </c>
      <c r="B34">
        <f t="shared" si="7"/>
        <v>706.37969970703125</v>
      </c>
      <c r="C34">
        <f t="shared" si="8"/>
        <v>739.20934985351562</v>
      </c>
      <c r="D34">
        <f t="shared" si="9"/>
        <v>0.47856222538833793</v>
      </c>
      <c r="E34">
        <f t="shared" si="0"/>
        <v>1618892866.6566236</v>
      </c>
      <c r="F34">
        <f t="shared" si="1"/>
        <v>7.3995086040667957E-6</v>
      </c>
      <c r="G34">
        <f t="shared" si="2"/>
        <v>706.38046264648437</v>
      </c>
      <c r="H34">
        <f t="shared" si="10"/>
        <v>739.20973132324218</v>
      </c>
      <c r="I34">
        <f t="shared" si="11"/>
        <v>0.47856242048871545</v>
      </c>
      <c r="J34">
        <f t="shared" si="3"/>
        <v>1618895295.6030176</v>
      </c>
      <c r="K34">
        <f t="shared" si="4"/>
        <v>-7.2852635355502571E-4</v>
      </c>
      <c r="L34">
        <f t="shared" si="12"/>
        <v>706.3812255859375</v>
      </c>
      <c r="M34">
        <f t="shared" si="13"/>
        <v>739.21011279296874</v>
      </c>
      <c r="N34">
        <f t="shared" si="14"/>
        <v>0.47856261558907176</v>
      </c>
      <c r="O34">
        <f t="shared" si="5"/>
        <v>1618897724.5527775</v>
      </c>
      <c r="P34">
        <f t="shared" si="6"/>
        <v>-1.464452240384162E-3</v>
      </c>
      <c r="Q34">
        <f t="shared" si="15"/>
        <v>7.62939453125E-4</v>
      </c>
      <c r="R34" s="37"/>
    </row>
    <row r="35" spans="1:18" x14ac:dyDescent="0.25">
      <c r="A35">
        <v>19</v>
      </c>
      <c r="B35">
        <f t="shared" si="7"/>
        <v>706.37969970703125</v>
      </c>
      <c r="C35">
        <f t="shared" si="8"/>
        <v>739.20934985351562</v>
      </c>
      <c r="D35">
        <f t="shared" si="9"/>
        <v>0.47856222538833793</v>
      </c>
      <c r="E35">
        <f t="shared" si="0"/>
        <v>1618892866.6566236</v>
      </c>
      <c r="F35">
        <f t="shared" si="1"/>
        <v>7.3995086040667957E-6</v>
      </c>
      <c r="G35">
        <f t="shared" si="2"/>
        <v>706.38008117675781</v>
      </c>
      <c r="H35">
        <f t="shared" si="10"/>
        <v>739.2095405883789</v>
      </c>
      <c r="I35">
        <f t="shared" si="11"/>
        <v>0.47856232293852929</v>
      </c>
      <c r="J35">
        <f t="shared" si="3"/>
        <v>1618894081.1294003</v>
      </c>
      <c r="K35">
        <f t="shared" si="4"/>
        <v>-3.6056341946277826E-4</v>
      </c>
      <c r="L35">
        <f t="shared" si="12"/>
        <v>706.38046264648437</v>
      </c>
      <c r="M35">
        <f t="shared" si="13"/>
        <v>739.20973132324218</v>
      </c>
      <c r="N35">
        <f t="shared" si="14"/>
        <v>0.47856242048871545</v>
      </c>
      <c r="O35">
        <f t="shared" si="5"/>
        <v>1618895295.6030176</v>
      </c>
      <c r="P35">
        <f t="shared" si="6"/>
        <v>-7.2852635355502571E-4</v>
      </c>
      <c r="Q35">
        <f t="shared" si="15"/>
        <v>-3.814697265625E-4</v>
      </c>
      <c r="R35" s="37"/>
    </row>
    <row r="36" spans="1:18" x14ac:dyDescent="0.25">
      <c r="A36">
        <v>20</v>
      </c>
      <c r="B36">
        <f t="shared" si="7"/>
        <v>706.37969970703125</v>
      </c>
      <c r="C36">
        <f t="shared" si="8"/>
        <v>739.20934985351562</v>
      </c>
      <c r="D36">
        <f t="shared" si="9"/>
        <v>0.47856222538833793</v>
      </c>
      <c r="E36">
        <f t="shared" si="0"/>
        <v>1618892866.6566236</v>
      </c>
      <c r="F36">
        <f t="shared" si="1"/>
        <v>7.3995086040667957E-6</v>
      </c>
      <c r="G36">
        <f t="shared" si="2"/>
        <v>706.37989044189453</v>
      </c>
      <c r="H36">
        <f t="shared" si="10"/>
        <v>739.20944522094726</v>
      </c>
      <c r="I36">
        <f t="shared" si="11"/>
        <v>0.47856227416343455</v>
      </c>
      <c r="J36">
        <f t="shared" si="3"/>
        <v>1618893473.8929067</v>
      </c>
      <c r="K36">
        <f t="shared" si="4"/>
        <v>-1.7658195463354787E-4</v>
      </c>
      <c r="L36">
        <f t="shared" si="12"/>
        <v>706.38008117675781</v>
      </c>
      <c r="M36">
        <f t="shared" si="13"/>
        <v>739.2095405883789</v>
      </c>
      <c r="N36">
        <f t="shared" si="14"/>
        <v>0.47856232293852929</v>
      </c>
      <c r="O36">
        <f t="shared" si="5"/>
        <v>1618894081.1294003</v>
      </c>
      <c r="P36">
        <f t="shared" si="6"/>
        <v>-3.6056341946277826E-4</v>
      </c>
      <c r="Q36">
        <f t="shared" si="15"/>
        <v>-1.9073486328125E-4</v>
      </c>
      <c r="R36" s="37"/>
    </row>
    <row r="37" spans="1:18" x14ac:dyDescent="0.25">
      <c r="A37">
        <v>21</v>
      </c>
      <c r="B37">
        <f t="shared" si="7"/>
        <v>706.37969970703125</v>
      </c>
      <c r="C37">
        <f t="shared" si="8"/>
        <v>739.20934985351562</v>
      </c>
      <c r="D37">
        <f t="shared" si="9"/>
        <v>0.47856222538833793</v>
      </c>
      <c r="E37">
        <f t="shared" si="0"/>
        <v>1618892866.6566236</v>
      </c>
      <c r="F37">
        <f t="shared" si="1"/>
        <v>7.3995086040667957E-6</v>
      </c>
      <c r="G37">
        <f t="shared" si="2"/>
        <v>706.37979507446289</v>
      </c>
      <c r="H37">
        <f t="shared" si="10"/>
        <v>739.20939753723144</v>
      </c>
      <c r="I37">
        <f t="shared" si="11"/>
        <v>0.47856224977588646</v>
      </c>
      <c r="J37">
        <f t="shared" si="3"/>
        <v>1618893170.2747393</v>
      </c>
      <c r="K37">
        <f t="shared" si="4"/>
        <v>-8.4591222844210279E-5</v>
      </c>
      <c r="L37">
        <f t="shared" si="12"/>
        <v>706.37989044189453</v>
      </c>
      <c r="M37">
        <f t="shared" si="13"/>
        <v>739.20944522094726</v>
      </c>
      <c r="N37">
        <f t="shared" si="14"/>
        <v>0.47856227416343455</v>
      </c>
      <c r="O37">
        <f t="shared" si="5"/>
        <v>1618893473.8929067</v>
      </c>
      <c r="P37">
        <f t="shared" si="6"/>
        <v>-1.7658195463354787E-4</v>
      </c>
      <c r="Q37">
        <f t="shared" si="15"/>
        <v>-9.5367431640625E-5</v>
      </c>
      <c r="R37" s="37"/>
    </row>
    <row r="38" spans="1:18" x14ac:dyDescent="0.25">
      <c r="A38">
        <v>22</v>
      </c>
      <c r="B38">
        <f t="shared" si="7"/>
        <v>706.37969970703125</v>
      </c>
      <c r="C38">
        <f t="shared" si="8"/>
        <v>739.20934985351562</v>
      </c>
      <c r="D38">
        <f t="shared" si="9"/>
        <v>0.47856222538833793</v>
      </c>
      <c r="E38">
        <f t="shared" si="0"/>
        <v>1618892866.6566236</v>
      </c>
      <c r="F38">
        <f t="shared" si="1"/>
        <v>7.3995086040667957E-6</v>
      </c>
      <c r="G38">
        <f t="shared" si="2"/>
        <v>706.37974739074707</v>
      </c>
      <c r="H38">
        <f t="shared" si="10"/>
        <v>739.20937369537353</v>
      </c>
      <c r="I38">
        <f t="shared" si="11"/>
        <v>0.4785622375821123</v>
      </c>
      <c r="J38">
        <f t="shared" si="3"/>
        <v>1618893018.4656746</v>
      </c>
      <c r="K38">
        <f t="shared" si="4"/>
        <v>-3.8595857063228323E-5</v>
      </c>
      <c r="L38">
        <f t="shared" si="12"/>
        <v>706.37979507446289</v>
      </c>
      <c r="M38">
        <f t="shared" si="13"/>
        <v>739.20939753723144</v>
      </c>
      <c r="N38">
        <f t="shared" si="14"/>
        <v>0.47856224977588646</v>
      </c>
      <c r="O38">
        <f t="shared" si="5"/>
        <v>1618893170.2747393</v>
      </c>
      <c r="P38">
        <f t="shared" si="6"/>
        <v>-8.4591222844210279E-5</v>
      </c>
      <c r="Q38">
        <f t="shared" si="15"/>
        <v>-4.76837158203125E-5</v>
      </c>
      <c r="R38" s="37"/>
    </row>
    <row r="39" spans="1:18" x14ac:dyDescent="0.25">
      <c r="A39">
        <v>23</v>
      </c>
      <c r="B39">
        <f t="shared" si="7"/>
        <v>706.37969970703125</v>
      </c>
      <c r="C39">
        <f t="shared" si="8"/>
        <v>739.20934985351562</v>
      </c>
      <c r="D39">
        <f t="shared" si="9"/>
        <v>0.47856222538833793</v>
      </c>
      <c r="E39">
        <f t="shared" si="0"/>
        <v>1618892866.6566236</v>
      </c>
      <c r="F39">
        <f t="shared" si="1"/>
        <v>7.3995086040667957E-6</v>
      </c>
      <c r="G39">
        <f t="shared" si="2"/>
        <v>706.37972354888916</v>
      </c>
      <c r="H39">
        <f t="shared" si="10"/>
        <v>739.20936177444457</v>
      </c>
      <c r="I39">
        <f t="shared" si="11"/>
        <v>0.47856223148522553</v>
      </c>
      <c r="J39">
        <f t="shared" si="3"/>
        <v>1618892942.5611475</v>
      </c>
      <c r="K39">
        <f t="shared" si="4"/>
        <v>-1.5598174172737345E-5</v>
      </c>
      <c r="L39">
        <f t="shared" si="12"/>
        <v>706.37974739074707</v>
      </c>
      <c r="M39">
        <f t="shared" si="13"/>
        <v>739.20937369537353</v>
      </c>
      <c r="N39">
        <f t="shared" si="14"/>
        <v>0.4785622375821123</v>
      </c>
      <c r="O39">
        <f t="shared" si="5"/>
        <v>1618893018.4656746</v>
      </c>
      <c r="P39">
        <f t="shared" si="6"/>
        <v>-3.8595857063228323E-5</v>
      </c>
      <c r="Q39">
        <f t="shared" si="15"/>
        <v>-2.384185791015625E-5</v>
      </c>
      <c r="R39" s="37"/>
    </row>
    <row r="40" spans="1:18" x14ac:dyDescent="0.25">
      <c r="A40">
        <v>24</v>
      </c>
      <c r="B40">
        <f t="shared" si="7"/>
        <v>706.37969970703125</v>
      </c>
      <c r="C40">
        <f t="shared" si="8"/>
        <v>739.20934985351562</v>
      </c>
      <c r="D40">
        <f t="shared" si="9"/>
        <v>0.47856222538833793</v>
      </c>
      <c r="E40">
        <f t="shared" si="0"/>
        <v>1618892866.6566236</v>
      </c>
      <c r="F40">
        <f t="shared" si="1"/>
        <v>7.3995086040667957E-6</v>
      </c>
      <c r="G40">
        <f t="shared" si="2"/>
        <v>706.37971162796021</v>
      </c>
      <c r="H40">
        <f t="shared" si="10"/>
        <v>739.2093558139801</v>
      </c>
      <c r="I40">
        <f t="shared" si="11"/>
        <v>0.4785622284367817</v>
      </c>
      <c r="J40">
        <f t="shared" si="3"/>
        <v>1618892904.6088855</v>
      </c>
      <c r="K40">
        <f t="shared" si="4"/>
        <v>-4.0993328411786933E-6</v>
      </c>
      <c r="L40">
        <f t="shared" si="12"/>
        <v>706.37972354888916</v>
      </c>
      <c r="M40">
        <f t="shared" si="13"/>
        <v>739.20936177444457</v>
      </c>
      <c r="N40">
        <f t="shared" si="14"/>
        <v>0.47856223148522553</v>
      </c>
      <c r="O40">
        <f t="shared" si="5"/>
        <v>1618892942.5611475</v>
      </c>
      <c r="P40">
        <f t="shared" si="6"/>
        <v>-1.5598174172737345E-5</v>
      </c>
      <c r="Q40">
        <f t="shared" si="15"/>
        <v>-1.1920928955078125E-5</v>
      </c>
      <c r="R40" s="37"/>
    </row>
    <row r="41" spans="1:18" x14ac:dyDescent="0.25">
      <c r="A41">
        <v>25</v>
      </c>
      <c r="B41">
        <f t="shared" si="7"/>
        <v>706.37969970703125</v>
      </c>
      <c r="C41">
        <f t="shared" si="8"/>
        <v>739.20934985351562</v>
      </c>
      <c r="D41">
        <f t="shared" si="9"/>
        <v>0.47856222538833793</v>
      </c>
      <c r="E41">
        <f t="shared" si="0"/>
        <v>1618892866.6566236</v>
      </c>
      <c r="F41">
        <f t="shared" si="1"/>
        <v>7.3995086040667957E-6</v>
      </c>
      <c r="G41">
        <f t="shared" si="2"/>
        <v>706.37970566749573</v>
      </c>
      <c r="H41">
        <f t="shared" si="10"/>
        <v>739.20935283374786</v>
      </c>
      <c r="I41">
        <f t="shared" si="11"/>
        <v>0.47856222691255984</v>
      </c>
      <c r="J41">
        <f t="shared" si="3"/>
        <v>1618892885.6327543</v>
      </c>
      <c r="K41">
        <f t="shared" si="4"/>
        <v>1.65008793828747E-6</v>
      </c>
      <c r="L41">
        <f t="shared" si="12"/>
        <v>706.37971162796021</v>
      </c>
      <c r="M41">
        <f t="shared" si="13"/>
        <v>739.2093558139801</v>
      </c>
      <c r="N41">
        <f t="shared" si="14"/>
        <v>0.4785622284367817</v>
      </c>
      <c r="O41">
        <f t="shared" si="5"/>
        <v>1618892904.6088855</v>
      </c>
      <c r="P41">
        <f t="shared" si="6"/>
        <v>-4.0993328411786933E-6</v>
      </c>
      <c r="Q41">
        <f t="shared" si="15"/>
        <v>-5.9604644775390625E-6</v>
      </c>
      <c r="R41" s="37"/>
    </row>
    <row r="42" spans="1:18" x14ac:dyDescent="0.25">
      <c r="A42">
        <v>26</v>
      </c>
      <c r="B42">
        <f t="shared" si="7"/>
        <v>706.37970566749573</v>
      </c>
      <c r="C42">
        <f t="shared" si="8"/>
        <v>739.20935283374786</v>
      </c>
      <c r="D42">
        <f t="shared" si="9"/>
        <v>0.47856222691255984</v>
      </c>
      <c r="E42">
        <f t="shared" si="0"/>
        <v>1618892885.6327543</v>
      </c>
      <c r="F42">
        <f t="shared" si="1"/>
        <v>1.65008793828747E-6</v>
      </c>
      <c r="G42">
        <f t="shared" si="2"/>
        <v>706.37970864772797</v>
      </c>
      <c r="H42">
        <f t="shared" si="10"/>
        <v>739.20935432386398</v>
      </c>
      <c r="I42">
        <f t="shared" si="11"/>
        <v>0.47856222767467077</v>
      </c>
      <c r="J42">
        <f t="shared" si="3"/>
        <v>1618892895.1208198</v>
      </c>
      <c r="K42">
        <f t="shared" si="4"/>
        <v>-1.2246224514456117E-6</v>
      </c>
      <c r="L42">
        <f t="shared" si="12"/>
        <v>706.37971162796021</v>
      </c>
      <c r="M42">
        <f t="shared" si="13"/>
        <v>739.2093558139801</v>
      </c>
      <c r="N42">
        <f t="shared" si="14"/>
        <v>0.4785622284367817</v>
      </c>
      <c r="O42">
        <f t="shared" si="5"/>
        <v>1618892904.6088855</v>
      </c>
      <c r="P42">
        <f t="shared" si="6"/>
        <v>-4.0993328411786933E-6</v>
      </c>
      <c r="Q42">
        <f t="shared" si="15"/>
        <v>2.9802322387695313E-6</v>
      </c>
      <c r="R42" s="37"/>
    </row>
    <row r="43" spans="1:18" x14ac:dyDescent="0.25">
      <c r="A43">
        <v>27</v>
      </c>
      <c r="B43">
        <f t="shared" si="7"/>
        <v>706.37970566749573</v>
      </c>
      <c r="C43">
        <f t="shared" si="8"/>
        <v>739.20935283374786</v>
      </c>
      <c r="D43">
        <f t="shared" si="9"/>
        <v>0.47856222691255984</v>
      </c>
      <c r="E43">
        <f t="shared" si="0"/>
        <v>1618892885.6327543</v>
      </c>
      <c r="F43">
        <f t="shared" si="1"/>
        <v>1.65008793828747E-6</v>
      </c>
      <c r="G43">
        <f t="shared" si="2"/>
        <v>706.37970715761185</v>
      </c>
      <c r="H43">
        <f t="shared" si="10"/>
        <v>739.20935357880592</v>
      </c>
      <c r="I43">
        <f t="shared" si="11"/>
        <v>0.47856222729361514</v>
      </c>
      <c r="J43">
        <f t="shared" si="3"/>
        <v>1618892890.3767872</v>
      </c>
      <c r="K43">
        <f t="shared" si="4"/>
        <v>2.1273274342092918E-7</v>
      </c>
      <c r="L43">
        <f t="shared" si="12"/>
        <v>706.37970864772797</v>
      </c>
      <c r="M43">
        <f t="shared" si="13"/>
        <v>739.20935432386398</v>
      </c>
      <c r="N43">
        <f t="shared" si="14"/>
        <v>0.47856222767467077</v>
      </c>
      <c r="O43">
        <f t="shared" si="5"/>
        <v>1618892895.1208198</v>
      </c>
      <c r="P43">
        <f t="shared" si="6"/>
        <v>-1.2246224514456117E-6</v>
      </c>
      <c r="Q43">
        <f t="shared" si="15"/>
        <v>-1.4901161193847656E-6</v>
      </c>
      <c r="R43" s="37"/>
    </row>
    <row r="44" spans="1:18" x14ac:dyDescent="0.25">
      <c r="A44">
        <v>28</v>
      </c>
      <c r="B44">
        <f t="shared" si="7"/>
        <v>706.37970715761185</v>
      </c>
      <c r="C44">
        <f t="shared" si="8"/>
        <v>739.20935357880592</v>
      </c>
      <c r="D44">
        <f t="shared" si="9"/>
        <v>0.47856222729361514</v>
      </c>
      <c r="E44">
        <f t="shared" si="0"/>
        <v>1618892890.3767872</v>
      </c>
      <c r="F44">
        <f t="shared" si="1"/>
        <v>2.1273274342092918E-7</v>
      </c>
      <c r="G44">
        <f t="shared" si="2"/>
        <v>706.37970790266991</v>
      </c>
      <c r="H44">
        <f t="shared" si="10"/>
        <v>739.20935395133495</v>
      </c>
      <c r="I44">
        <f t="shared" si="11"/>
        <v>0.47856222748414312</v>
      </c>
      <c r="J44">
        <f t="shared" si="3"/>
        <v>1618892892.7488029</v>
      </c>
      <c r="K44">
        <f t="shared" si="4"/>
        <v>-5.0594485401234124E-7</v>
      </c>
      <c r="L44">
        <f t="shared" si="12"/>
        <v>706.37970864772797</v>
      </c>
      <c r="M44">
        <f t="shared" si="13"/>
        <v>739.20935432386398</v>
      </c>
      <c r="N44">
        <f t="shared" si="14"/>
        <v>0.47856222767467077</v>
      </c>
      <c r="O44">
        <f t="shared" si="5"/>
        <v>1618892895.1208198</v>
      </c>
      <c r="P44">
        <f t="shared" si="6"/>
        <v>-1.2246224514456117E-6</v>
      </c>
      <c r="Q44">
        <f t="shared" si="15"/>
        <v>7.4505805969238281E-7</v>
      </c>
      <c r="R44" s="37"/>
    </row>
    <row r="45" spans="1:18" x14ac:dyDescent="0.25">
      <c r="A45">
        <v>29</v>
      </c>
      <c r="B45">
        <f t="shared" si="7"/>
        <v>706.37970715761185</v>
      </c>
      <c r="C45">
        <f t="shared" si="8"/>
        <v>739.20935357880592</v>
      </c>
      <c r="D45">
        <f t="shared" si="9"/>
        <v>0.47856222729361514</v>
      </c>
      <c r="E45">
        <f t="shared" si="0"/>
        <v>1618892890.3767872</v>
      </c>
      <c r="F45">
        <f t="shared" si="1"/>
        <v>2.1273274342092918E-7</v>
      </c>
      <c r="G45">
        <f t="shared" si="2"/>
        <v>706.37970753014088</v>
      </c>
      <c r="H45">
        <f t="shared" si="10"/>
        <v>739.20935376507043</v>
      </c>
      <c r="I45">
        <f t="shared" si="11"/>
        <v>0.4785622273888791</v>
      </c>
      <c r="J45">
        <f t="shared" si="3"/>
        <v>1618892891.5627954</v>
      </c>
      <c r="K45">
        <f t="shared" si="4"/>
        <v>-1.4660611213912489E-7</v>
      </c>
      <c r="L45">
        <f t="shared" si="12"/>
        <v>706.37970790266991</v>
      </c>
      <c r="M45">
        <f t="shared" si="13"/>
        <v>739.20935395133495</v>
      </c>
      <c r="N45">
        <f t="shared" si="14"/>
        <v>0.47856222748414312</v>
      </c>
      <c r="O45">
        <f t="shared" si="5"/>
        <v>1618892892.7488029</v>
      </c>
      <c r="P45">
        <f t="shared" si="6"/>
        <v>-5.0594485401234124E-7</v>
      </c>
      <c r="Q45">
        <f t="shared" si="15"/>
        <v>-3.7252902984619141E-7</v>
      </c>
      <c r="R45" s="37"/>
    </row>
    <row r="46" spans="1:18" x14ac:dyDescent="0.25">
      <c r="A46">
        <v>30</v>
      </c>
      <c r="B46">
        <f t="shared" si="7"/>
        <v>706.37970715761185</v>
      </c>
      <c r="C46">
        <f t="shared" si="8"/>
        <v>739.20935357880592</v>
      </c>
      <c r="D46">
        <f t="shared" si="9"/>
        <v>0.47856222729361514</v>
      </c>
      <c r="E46">
        <f t="shared" si="0"/>
        <v>1618892890.3767872</v>
      </c>
      <c r="F46">
        <f t="shared" si="1"/>
        <v>2.1273274342092918E-7</v>
      </c>
      <c r="G46">
        <f t="shared" si="2"/>
        <v>706.37970734387636</v>
      </c>
      <c r="H46">
        <f t="shared" si="10"/>
        <v>739.20935367193817</v>
      </c>
      <c r="I46">
        <f t="shared" si="11"/>
        <v>0.47856222734124731</v>
      </c>
      <c r="J46">
        <f t="shared" si="3"/>
        <v>1618892890.9697909</v>
      </c>
      <c r="K46">
        <f t="shared" si="4"/>
        <v>3.3063315640902147E-8</v>
      </c>
      <c r="L46">
        <f t="shared" si="12"/>
        <v>706.37970753014088</v>
      </c>
      <c r="M46">
        <f t="shared" si="13"/>
        <v>739.20935376507043</v>
      </c>
      <c r="N46">
        <f t="shared" si="14"/>
        <v>0.4785622273888791</v>
      </c>
      <c r="O46">
        <f t="shared" si="5"/>
        <v>1618892891.5627954</v>
      </c>
      <c r="P46">
        <f t="shared" si="6"/>
        <v>-1.4660611213912489E-7</v>
      </c>
      <c r="Q46">
        <f t="shared" si="15"/>
        <v>-1.862645149230957E-7</v>
      </c>
      <c r="R46" s="37"/>
    </row>
    <row r="47" spans="1:18" x14ac:dyDescent="0.25">
      <c r="A47">
        <v>31</v>
      </c>
      <c r="B47">
        <f t="shared" si="7"/>
        <v>706.37970734387636</v>
      </c>
      <c r="C47">
        <f t="shared" si="8"/>
        <v>739.20935367193817</v>
      </c>
      <c r="D47">
        <f t="shared" si="9"/>
        <v>0.47856222734124731</v>
      </c>
      <c r="E47">
        <f t="shared" si="0"/>
        <v>1618892890.9697909</v>
      </c>
      <c r="F47">
        <f t="shared" si="1"/>
        <v>3.3063315640902147E-8</v>
      </c>
      <c r="G47">
        <f t="shared" si="2"/>
        <v>706.37970743700862</v>
      </c>
      <c r="H47">
        <f t="shared" si="10"/>
        <v>739.2093537185043</v>
      </c>
      <c r="I47">
        <f t="shared" si="11"/>
        <v>0.47856222736506321</v>
      </c>
      <c r="J47">
        <f t="shared" si="3"/>
        <v>1618892891.2662935</v>
      </c>
      <c r="K47">
        <f t="shared" si="4"/>
        <v>-5.677134140569251E-8</v>
      </c>
      <c r="L47">
        <f t="shared" si="12"/>
        <v>706.37970753014088</v>
      </c>
      <c r="M47">
        <f t="shared" si="13"/>
        <v>739.20935376507043</v>
      </c>
      <c r="N47">
        <f t="shared" si="14"/>
        <v>0.4785622273888791</v>
      </c>
      <c r="O47">
        <f t="shared" si="5"/>
        <v>1618892891.5627954</v>
      </c>
      <c r="P47">
        <f t="shared" si="6"/>
        <v>-1.4660611213912489E-7</v>
      </c>
      <c r="Q47">
        <f t="shared" si="15"/>
        <v>9.3132257461547852E-8</v>
      </c>
      <c r="R47" s="37"/>
    </row>
    <row r="48" spans="1:18" x14ac:dyDescent="0.25">
      <c r="A48">
        <v>32</v>
      </c>
      <c r="B48">
        <f t="shared" si="7"/>
        <v>706.37970734387636</v>
      </c>
      <c r="C48">
        <f t="shared" si="8"/>
        <v>739.20935367193817</v>
      </c>
      <c r="D48">
        <f t="shared" si="9"/>
        <v>0.47856222734124731</v>
      </c>
      <c r="E48">
        <f t="shared" si="0"/>
        <v>1618892890.9697909</v>
      </c>
      <c r="F48">
        <f t="shared" si="1"/>
        <v>3.3063315640902147E-8</v>
      </c>
      <c r="G48">
        <f t="shared" si="2"/>
        <v>706.37970739044249</v>
      </c>
      <c r="H48">
        <f t="shared" si="10"/>
        <v>739.20935369522124</v>
      </c>
      <c r="I48">
        <f t="shared" si="11"/>
        <v>0.47856222735315546</v>
      </c>
      <c r="J48">
        <f t="shared" si="3"/>
        <v>1618892891.118042</v>
      </c>
      <c r="K48">
        <f t="shared" si="4"/>
        <v>-1.1854012882395182E-8</v>
      </c>
      <c r="L48">
        <f t="shared" si="12"/>
        <v>706.37970743700862</v>
      </c>
      <c r="M48">
        <f t="shared" si="13"/>
        <v>739.2093537185043</v>
      </c>
      <c r="N48">
        <f t="shared" si="14"/>
        <v>0.47856222736506321</v>
      </c>
      <c r="O48">
        <f t="shared" si="5"/>
        <v>1618892891.2662935</v>
      </c>
      <c r="P48">
        <f t="shared" si="6"/>
        <v>-5.677134140569251E-8</v>
      </c>
      <c r="Q48">
        <f t="shared" si="15"/>
        <v>-4.6566128730773926E-8</v>
      </c>
      <c r="R48" s="37"/>
    </row>
    <row r="49" spans="1:18" x14ac:dyDescent="0.25">
      <c r="A49">
        <v>33</v>
      </c>
      <c r="B49">
        <f t="shared" si="7"/>
        <v>706.37970734387636</v>
      </c>
      <c r="C49">
        <f t="shared" si="8"/>
        <v>739.20935367193817</v>
      </c>
      <c r="D49">
        <f t="shared" si="9"/>
        <v>0.47856222734124731</v>
      </c>
      <c r="E49">
        <f t="shared" si="0"/>
        <v>1618892890.9697909</v>
      </c>
      <c r="F49">
        <f t="shared" si="1"/>
        <v>3.3063315640902147E-8</v>
      </c>
      <c r="G49">
        <f t="shared" si="2"/>
        <v>706.37970736715943</v>
      </c>
      <c r="H49">
        <f t="shared" si="10"/>
        <v>739.20935368357971</v>
      </c>
      <c r="I49">
        <f t="shared" si="11"/>
        <v>0.47856222734720094</v>
      </c>
      <c r="J49">
        <f t="shared" si="3"/>
        <v>1618892891.0439167</v>
      </c>
      <c r="K49">
        <f t="shared" si="4"/>
        <v>1.0604594535834622E-8</v>
      </c>
      <c r="L49">
        <f t="shared" si="12"/>
        <v>706.37970739044249</v>
      </c>
      <c r="M49">
        <f t="shared" si="13"/>
        <v>739.20935369522124</v>
      </c>
      <c r="N49">
        <f t="shared" si="14"/>
        <v>0.47856222735315546</v>
      </c>
      <c r="O49">
        <f t="shared" si="5"/>
        <v>1618892891.118042</v>
      </c>
      <c r="P49">
        <f t="shared" si="6"/>
        <v>-1.1854012882395182E-8</v>
      </c>
      <c r="Q49">
        <f t="shared" si="15"/>
        <v>-2.3283064365386963E-8</v>
      </c>
      <c r="R49" s="37"/>
    </row>
    <row r="50" spans="1:18" x14ac:dyDescent="0.25">
      <c r="A50">
        <v>34</v>
      </c>
      <c r="B50">
        <f t="shared" si="7"/>
        <v>706.37970736715943</v>
      </c>
      <c r="C50">
        <f t="shared" si="8"/>
        <v>739.20935368357971</v>
      </c>
      <c r="D50">
        <f t="shared" si="9"/>
        <v>0.47856222734720094</v>
      </c>
      <c r="E50">
        <f t="shared" si="0"/>
        <v>1618892891.0439167</v>
      </c>
      <c r="F50">
        <f t="shared" si="1"/>
        <v>1.0604594535834622E-8</v>
      </c>
      <c r="G50">
        <f t="shared" si="2"/>
        <v>706.37970737880096</v>
      </c>
      <c r="H50">
        <f t="shared" si="10"/>
        <v>739.20935368940047</v>
      </c>
      <c r="I50">
        <f t="shared" si="11"/>
        <v>0.478562227350178</v>
      </c>
      <c r="J50">
        <f t="shared" si="3"/>
        <v>1618892891.0809791</v>
      </c>
      <c r="K50">
        <f t="shared" si="4"/>
        <v>-6.2470917328028008E-10</v>
      </c>
      <c r="L50">
        <f t="shared" si="12"/>
        <v>706.37970739044249</v>
      </c>
      <c r="M50">
        <f t="shared" si="13"/>
        <v>739.20935369522124</v>
      </c>
      <c r="N50">
        <f t="shared" si="14"/>
        <v>0.47856222735315546</v>
      </c>
      <c r="O50">
        <f t="shared" si="5"/>
        <v>1618892891.118042</v>
      </c>
      <c r="P50">
        <f t="shared" si="6"/>
        <v>-1.1854012882395182E-8</v>
      </c>
      <c r="Q50">
        <f t="shared" si="15"/>
        <v>1.1641532182693481E-8</v>
      </c>
      <c r="R50" s="37"/>
    </row>
    <row r="51" spans="1:18" x14ac:dyDescent="0.25">
      <c r="A51">
        <v>35</v>
      </c>
      <c r="B51">
        <f t="shared" si="7"/>
        <v>706.37970736715943</v>
      </c>
      <c r="C51">
        <f t="shared" si="8"/>
        <v>739.20935368357971</v>
      </c>
      <c r="D51">
        <f t="shared" si="9"/>
        <v>0.47856222734720094</v>
      </c>
      <c r="E51">
        <f t="shared" si="0"/>
        <v>1618892891.0439167</v>
      </c>
      <c r="F51">
        <f t="shared" si="1"/>
        <v>1.0604594535834622E-8</v>
      </c>
      <c r="G51">
        <f t="shared" si="2"/>
        <v>706.37970737298019</v>
      </c>
      <c r="H51">
        <f t="shared" si="10"/>
        <v>739.20935368649009</v>
      </c>
      <c r="I51">
        <f t="shared" si="11"/>
        <v>0.47856222734868953</v>
      </c>
      <c r="J51">
        <f t="shared" si="3"/>
        <v>1618892891.062448</v>
      </c>
      <c r="K51">
        <f t="shared" si="4"/>
        <v>4.9899426812771708E-9</v>
      </c>
      <c r="L51">
        <f t="shared" si="12"/>
        <v>706.37970737880096</v>
      </c>
      <c r="M51">
        <f t="shared" si="13"/>
        <v>739.20935368940047</v>
      </c>
      <c r="N51">
        <f t="shared" si="14"/>
        <v>0.478562227350178</v>
      </c>
      <c r="O51">
        <f t="shared" si="5"/>
        <v>1618892891.0809791</v>
      </c>
      <c r="P51">
        <f t="shared" si="6"/>
        <v>-6.2470917328028008E-10</v>
      </c>
      <c r="Q51">
        <f t="shared" si="15"/>
        <v>-5.8207660913467407E-9</v>
      </c>
      <c r="R51" s="37"/>
    </row>
    <row r="52" spans="1:18" x14ac:dyDescent="0.25">
      <c r="A52">
        <v>36</v>
      </c>
      <c r="B52">
        <f t="shared" si="7"/>
        <v>706.37970737298019</v>
      </c>
      <c r="C52">
        <f t="shared" si="8"/>
        <v>739.20935368649009</v>
      </c>
      <c r="D52">
        <f t="shared" si="9"/>
        <v>0.47856222734868953</v>
      </c>
      <c r="E52">
        <f t="shared" si="0"/>
        <v>1618892891.062448</v>
      </c>
      <c r="F52">
        <f t="shared" si="1"/>
        <v>4.9899426812771708E-9</v>
      </c>
      <c r="G52">
        <f t="shared" si="2"/>
        <v>706.37970737589058</v>
      </c>
      <c r="H52">
        <f t="shared" si="10"/>
        <v>739.20935368794528</v>
      </c>
      <c r="I52">
        <f t="shared" si="11"/>
        <v>0.47856222734943421</v>
      </c>
      <c r="J52">
        <f t="shared" si="3"/>
        <v>1618892891.0717134</v>
      </c>
      <c r="K52">
        <f t="shared" si="4"/>
        <v>2.1826735974173062E-9</v>
      </c>
      <c r="L52">
        <f t="shared" si="12"/>
        <v>706.37970737880096</v>
      </c>
      <c r="M52">
        <f t="shared" si="13"/>
        <v>739.20935368940047</v>
      </c>
      <c r="N52">
        <f t="shared" si="14"/>
        <v>0.478562227350178</v>
      </c>
      <c r="O52">
        <f t="shared" si="5"/>
        <v>1618892891.0809791</v>
      </c>
      <c r="P52">
        <f t="shared" si="6"/>
        <v>-6.2470917328028008E-10</v>
      </c>
      <c r="Q52">
        <f t="shared" si="15"/>
        <v>2.9103830456733704E-9</v>
      </c>
      <c r="R52" s="37"/>
    </row>
    <row r="53" spans="1:18" x14ac:dyDescent="0.25">
      <c r="A53">
        <v>37</v>
      </c>
      <c r="B53">
        <f t="shared" si="7"/>
        <v>706.37970737589058</v>
      </c>
      <c r="C53">
        <f t="shared" si="8"/>
        <v>739.20935368794528</v>
      </c>
      <c r="D53">
        <f t="shared" si="9"/>
        <v>0.47856222734943421</v>
      </c>
      <c r="E53">
        <f t="shared" si="0"/>
        <v>1618892891.0717134</v>
      </c>
      <c r="F53">
        <f t="shared" si="1"/>
        <v>2.1826735974173062E-9</v>
      </c>
      <c r="G53">
        <f t="shared" si="2"/>
        <v>706.37970737734577</v>
      </c>
      <c r="H53">
        <f t="shared" si="10"/>
        <v>739.20935368867288</v>
      </c>
      <c r="I53">
        <f t="shared" si="11"/>
        <v>0.47856222734980614</v>
      </c>
      <c r="J53">
        <f t="shared" si="3"/>
        <v>1618892891.0763462</v>
      </c>
      <c r="K53">
        <f t="shared" si="4"/>
        <v>7.7898221206851304E-10</v>
      </c>
      <c r="L53">
        <f t="shared" si="12"/>
        <v>706.37970737880096</v>
      </c>
      <c r="M53">
        <f t="shared" si="13"/>
        <v>739.20935368940047</v>
      </c>
      <c r="N53">
        <f t="shared" si="14"/>
        <v>0.478562227350178</v>
      </c>
      <c r="O53">
        <f t="shared" si="5"/>
        <v>1618892891.0809791</v>
      </c>
      <c r="P53">
        <f t="shared" si="6"/>
        <v>-6.2470917328028008E-10</v>
      </c>
      <c r="Q53">
        <f t="shared" si="15"/>
        <v>1.4551915228366852E-9</v>
      </c>
      <c r="R53" s="37"/>
    </row>
    <row r="54" spans="1:18" x14ac:dyDescent="0.25">
      <c r="A54">
        <v>38</v>
      </c>
      <c r="B54">
        <f t="shared" si="7"/>
        <v>706.37970737734577</v>
      </c>
      <c r="C54">
        <f t="shared" si="8"/>
        <v>739.20935368867288</v>
      </c>
      <c r="D54">
        <f t="shared" si="9"/>
        <v>0.47856222734980614</v>
      </c>
      <c r="E54">
        <f t="shared" si="0"/>
        <v>1618892891.0763462</v>
      </c>
      <c r="F54">
        <f t="shared" si="1"/>
        <v>7.7898221206851304E-10</v>
      </c>
      <c r="G54">
        <f t="shared" si="2"/>
        <v>706.37970737807336</v>
      </c>
      <c r="H54">
        <f t="shared" si="10"/>
        <v>739.20935368903667</v>
      </c>
      <c r="I54">
        <f t="shared" si="11"/>
        <v>0.47856222734999226</v>
      </c>
      <c r="J54">
        <f t="shared" si="3"/>
        <v>1618892891.0786633</v>
      </c>
      <c r="K54">
        <f t="shared" si="4"/>
        <v>7.7193362812977284E-11</v>
      </c>
      <c r="L54">
        <f t="shared" si="12"/>
        <v>706.37970737880096</v>
      </c>
      <c r="M54">
        <f t="shared" si="13"/>
        <v>739.20935368940047</v>
      </c>
      <c r="N54">
        <f t="shared" si="14"/>
        <v>0.478562227350178</v>
      </c>
      <c r="O54">
        <f t="shared" si="5"/>
        <v>1618892891.0809791</v>
      </c>
      <c r="P54">
        <f t="shared" si="6"/>
        <v>-6.2470917328028008E-10</v>
      </c>
      <c r="Q54">
        <f t="shared" si="15"/>
        <v>7.2759576141834259E-10</v>
      </c>
      <c r="R54" s="37"/>
    </row>
    <row r="55" spans="1:18" x14ac:dyDescent="0.25">
      <c r="A55">
        <v>39</v>
      </c>
      <c r="B55">
        <f t="shared" si="7"/>
        <v>706.37970737807336</v>
      </c>
      <c r="C55">
        <f t="shared" si="8"/>
        <v>739.20935368903667</v>
      </c>
      <c r="D55">
        <f t="shared" si="9"/>
        <v>0.47856222734999226</v>
      </c>
      <c r="E55">
        <f t="shared" si="0"/>
        <v>1618892891.0786633</v>
      </c>
      <c r="F55">
        <f t="shared" si="1"/>
        <v>7.7193362812977284E-11</v>
      </c>
      <c r="G55">
        <f t="shared" si="2"/>
        <v>706.37970737843716</v>
      </c>
      <c r="H55">
        <f t="shared" si="10"/>
        <v>739.20935368921857</v>
      </c>
      <c r="I55">
        <f t="shared" si="11"/>
        <v>0.47856222735008541</v>
      </c>
      <c r="J55">
        <f t="shared" si="3"/>
        <v>1618892891.0798211</v>
      </c>
      <c r="K55">
        <f t="shared" si="4"/>
        <v>-2.737579052336514E-10</v>
      </c>
      <c r="L55">
        <f t="shared" si="12"/>
        <v>706.37970737880096</v>
      </c>
      <c r="M55">
        <f t="shared" si="13"/>
        <v>739.20935368940047</v>
      </c>
      <c r="N55">
        <f t="shared" si="14"/>
        <v>0.478562227350178</v>
      </c>
      <c r="O55">
        <f t="shared" si="5"/>
        <v>1618892891.0809791</v>
      </c>
      <c r="P55">
        <f t="shared" si="6"/>
        <v>-6.2470917328028008E-10</v>
      </c>
      <c r="Q55">
        <f t="shared" si="15"/>
        <v>3.637978807091713E-10</v>
      </c>
      <c r="R55" s="37"/>
    </row>
    <row r="56" spans="1:18" x14ac:dyDescent="0.25">
      <c r="A56">
        <v>40</v>
      </c>
      <c r="B56">
        <f t="shared" si="7"/>
        <v>706.37970737807336</v>
      </c>
      <c r="C56">
        <f t="shared" si="8"/>
        <v>739.20935368903667</v>
      </c>
      <c r="D56">
        <f t="shared" si="9"/>
        <v>0.47856222734999226</v>
      </c>
      <c r="E56">
        <f t="shared" si="0"/>
        <v>1618892891.0786633</v>
      </c>
      <c r="F56">
        <f t="shared" si="1"/>
        <v>7.7193362812977284E-11</v>
      </c>
      <c r="G56">
        <f t="shared" si="2"/>
        <v>706.37970737825526</v>
      </c>
      <c r="H56">
        <f t="shared" si="10"/>
        <v>739.20935368912762</v>
      </c>
      <c r="I56">
        <f t="shared" si="11"/>
        <v>0.47856222735003906</v>
      </c>
      <c r="J56">
        <f t="shared" si="3"/>
        <v>1618892891.0792422</v>
      </c>
      <c r="K56">
        <f t="shared" si="4"/>
        <v>-9.822542779147625E-11</v>
      </c>
      <c r="L56">
        <f t="shared" si="12"/>
        <v>706.37970737843716</v>
      </c>
      <c r="M56">
        <f t="shared" si="13"/>
        <v>739.20935368921857</v>
      </c>
      <c r="N56">
        <f t="shared" si="14"/>
        <v>0.47856222735008541</v>
      </c>
      <c r="O56">
        <f t="shared" si="5"/>
        <v>1618892891.0798211</v>
      </c>
      <c r="P56">
        <f t="shared" si="6"/>
        <v>-2.737579052336514E-10</v>
      </c>
      <c r="Q56">
        <f t="shared" si="15"/>
        <v>-1.8189894035458565E-10</v>
      </c>
      <c r="R56" s="37"/>
    </row>
    <row r="57" spans="1:18" x14ac:dyDescent="0.25">
      <c r="A57">
        <v>41</v>
      </c>
      <c r="B57">
        <f t="shared" si="7"/>
        <v>706.37970737807336</v>
      </c>
      <c r="C57">
        <f t="shared" si="8"/>
        <v>739.20935368903667</v>
      </c>
      <c r="D57">
        <f t="shared" si="9"/>
        <v>0.47856222734999226</v>
      </c>
      <c r="E57">
        <f t="shared" si="0"/>
        <v>1618892891.0786633</v>
      </c>
      <c r="F57">
        <f t="shared" si="1"/>
        <v>7.7193362812977284E-11</v>
      </c>
      <c r="G57">
        <f t="shared" si="2"/>
        <v>706.37970737816431</v>
      </c>
      <c r="H57">
        <f t="shared" si="10"/>
        <v>739.20935368908215</v>
      </c>
      <c r="I57">
        <f t="shared" si="11"/>
        <v>0.47856222735001525</v>
      </c>
      <c r="J57">
        <f t="shared" si="3"/>
        <v>1618892891.0789523</v>
      </c>
      <c r="K57">
        <f t="shared" si="4"/>
        <v>-1.0572875908110291E-11</v>
      </c>
      <c r="L57">
        <f t="shared" si="12"/>
        <v>706.37970737825526</v>
      </c>
      <c r="M57">
        <f t="shared" si="13"/>
        <v>739.20935368912762</v>
      </c>
      <c r="N57">
        <f t="shared" si="14"/>
        <v>0.47856222735003906</v>
      </c>
      <c r="O57">
        <f t="shared" si="5"/>
        <v>1618892891.0792422</v>
      </c>
      <c r="P57">
        <f t="shared" si="6"/>
        <v>-9.822542779147625E-11</v>
      </c>
      <c r="Q57">
        <f t="shared" si="15"/>
        <v>-9.0949470177292824E-11</v>
      </c>
      <c r="R57" s="37"/>
    </row>
    <row r="58" spans="1:18" x14ac:dyDescent="0.25">
      <c r="A58">
        <v>42</v>
      </c>
      <c r="B58">
        <f t="shared" si="7"/>
        <v>706.37970737807336</v>
      </c>
      <c r="C58">
        <f t="shared" si="8"/>
        <v>739.20935368903667</v>
      </c>
      <c r="D58">
        <f t="shared" si="9"/>
        <v>0.47856222734999226</v>
      </c>
      <c r="E58">
        <f t="shared" si="0"/>
        <v>1618892891.0786633</v>
      </c>
      <c r="F58">
        <f t="shared" si="1"/>
        <v>7.7193362812977284E-11</v>
      </c>
      <c r="G58">
        <f t="shared" si="2"/>
        <v>706.37970737811884</v>
      </c>
      <c r="H58">
        <f t="shared" si="10"/>
        <v>739.20935368905941</v>
      </c>
      <c r="I58">
        <f t="shared" si="11"/>
        <v>0.47856222735000375</v>
      </c>
      <c r="J58">
        <f t="shared" si="3"/>
        <v>1618892891.0788076</v>
      </c>
      <c r="K58">
        <f t="shared" si="4"/>
        <v>3.3310243452433497E-11</v>
      </c>
      <c r="L58">
        <f t="shared" si="12"/>
        <v>706.37970737816431</v>
      </c>
      <c r="M58">
        <f t="shared" si="13"/>
        <v>739.20935368908215</v>
      </c>
      <c r="N58">
        <f t="shared" si="14"/>
        <v>0.47856222735001525</v>
      </c>
      <c r="O58">
        <f t="shared" si="5"/>
        <v>1618892891.0789523</v>
      </c>
      <c r="P58">
        <f t="shared" si="6"/>
        <v>-1.0572875908110291E-11</v>
      </c>
      <c r="Q58">
        <f t="shared" si="15"/>
        <v>-4.5474735088646412E-11</v>
      </c>
      <c r="R58" s="37"/>
    </row>
    <row r="59" spans="1:18" x14ac:dyDescent="0.25">
      <c r="A59">
        <v>43</v>
      </c>
      <c r="B59">
        <f t="shared" si="7"/>
        <v>706.37970737811884</v>
      </c>
      <c r="C59">
        <f t="shared" si="8"/>
        <v>739.20935368905941</v>
      </c>
      <c r="D59">
        <f t="shared" si="9"/>
        <v>0.47856222735000375</v>
      </c>
      <c r="E59">
        <f t="shared" si="0"/>
        <v>1618892891.0788076</v>
      </c>
      <c r="F59">
        <f t="shared" si="1"/>
        <v>3.3310243452433497E-11</v>
      </c>
      <c r="G59">
        <f t="shared" si="2"/>
        <v>706.37970737814157</v>
      </c>
      <c r="H59">
        <f t="shared" si="10"/>
        <v>739.20935368907078</v>
      </c>
      <c r="I59">
        <f t="shared" si="11"/>
        <v>0.47856222735000964</v>
      </c>
      <c r="J59">
        <f t="shared" si="3"/>
        <v>1618892891.0788803</v>
      </c>
      <c r="K59">
        <f t="shared" si="4"/>
        <v>1.1368683772161603E-11</v>
      </c>
      <c r="L59">
        <f t="shared" si="12"/>
        <v>706.37970737816431</v>
      </c>
      <c r="M59">
        <f t="shared" si="13"/>
        <v>739.20935368908215</v>
      </c>
      <c r="N59">
        <f t="shared" si="14"/>
        <v>0.47856222735001525</v>
      </c>
      <c r="O59">
        <f t="shared" si="5"/>
        <v>1618892891.0789523</v>
      </c>
      <c r="P59">
        <f t="shared" si="6"/>
        <v>-1.0572875908110291E-11</v>
      </c>
      <c r="Q59">
        <f t="shared" si="15"/>
        <v>2.2737367544323206E-11</v>
      </c>
      <c r="R59" s="37"/>
    </row>
    <row r="60" spans="1:18" x14ac:dyDescent="0.25">
      <c r="A60">
        <v>44</v>
      </c>
      <c r="B60">
        <f t="shared" si="7"/>
        <v>706.37970737814157</v>
      </c>
      <c r="C60">
        <f t="shared" si="8"/>
        <v>739.20935368907078</v>
      </c>
      <c r="D60">
        <f t="shared" si="9"/>
        <v>0.47856222735000964</v>
      </c>
      <c r="E60">
        <f t="shared" si="0"/>
        <v>1618892891.0788803</v>
      </c>
      <c r="F60">
        <f t="shared" si="1"/>
        <v>1.1368683772161603E-11</v>
      </c>
      <c r="G60">
        <f t="shared" si="2"/>
        <v>706.37970737815294</v>
      </c>
      <c r="H60">
        <f t="shared" si="10"/>
        <v>739.20935368907647</v>
      </c>
      <c r="I60">
        <f t="shared" si="11"/>
        <v>0.47856222735001269</v>
      </c>
      <c r="J60">
        <f t="shared" si="3"/>
        <v>1618892891.0789161</v>
      </c>
      <c r="K60">
        <f t="shared" si="4"/>
        <v>0</v>
      </c>
      <c r="L60">
        <f t="shared" si="12"/>
        <v>706.37970737816431</v>
      </c>
      <c r="M60">
        <f t="shared" si="13"/>
        <v>739.20935368908215</v>
      </c>
      <c r="N60">
        <f t="shared" si="14"/>
        <v>0.47856222735001525</v>
      </c>
      <c r="O60">
        <f t="shared" si="5"/>
        <v>1618892891.0789523</v>
      </c>
      <c r="P60">
        <f t="shared" si="6"/>
        <v>-1.0572875908110291E-11</v>
      </c>
      <c r="Q60">
        <f t="shared" si="15"/>
        <v>1.1368683772161603E-11</v>
      </c>
      <c r="R60" s="37"/>
    </row>
    <row r="61" spans="1:18" x14ac:dyDescent="0.25">
      <c r="A61">
        <v>45</v>
      </c>
      <c r="B61">
        <f t="shared" si="7"/>
        <v>706.37970737814157</v>
      </c>
      <c r="C61">
        <f t="shared" si="8"/>
        <v>739.20935368907078</v>
      </c>
      <c r="D61">
        <f t="shared" si="9"/>
        <v>0.47856222735000964</v>
      </c>
      <c r="E61">
        <f t="shared" si="0"/>
        <v>1618892891.0788803</v>
      </c>
      <c r="F61">
        <f t="shared" si="1"/>
        <v>1.1368683772161603E-11</v>
      </c>
      <c r="G61">
        <f t="shared" si="2"/>
        <v>706.37970737814726</v>
      </c>
      <c r="H61">
        <f t="shared" si="10"/>
        <v>739.20935368907362</v>
      </c>
      <c r="I61">
        <f t="shared" si="11"/>
        <v>0.47856222735001097</v>
      </c>
      <c r="J61">
        <f t="shared" si="3"/>
        <v>1618892891.0788982</v>
      </c>
      <c r="K61">
        <f t="shared" si="4"/>
        <v>5.9117155615240335E-12</v>
      </c>
      <c r="L61">
        <f t="shared" si="12"/>
        <v>706.37970737815294</v>
      </c>
      <c r="M61">
        <f t="shared" si="13"/>
        <v>739.20935368907647</v>
      </c>
      <c r="N61">
        <f t="shared" si="14"/>
        <v>0.47856222735001269</v>
      </c>
      <c r="O61">
        <f t="shared" si="5"/>
        <v>1618892891.0789161</v>
      </c>
      <c r="P61">
        <f t="shared" si="6"/>
        <v>0</v>
      </c>
      <c r="Q61">
        <f t="shared" si="15"/>
        <v>-5.6843418860808015E-12</v>
      </c>
      <c r="R61" s="37"/>
    </row>
    <row r="62" spans="1:18" x14ac:dyDescent="0.25">
      <c r="A62">
        <v>46</v>
      </c>
      <c r="B62">
        <f t="shared" si="7"/>
        <v>706.37970737814726</v>
      </c>
      <c r="C62">
        <f t="shared" si="8"/>
        <v>739.20935368907362</v>
      </c>
      <c r="D62">
        <f t="shared" si="9"/>
        <v>0.47856222735001097</v>
      </c>
      <c r="E62">
        <f t="shared" si="0"/>
        <v>1618892891.0788982</v>
      </c>
      <c r="F62">
        <f t="shared" si="1"/>
        <v>5.9117155615240335E-12</v>
      </c>
      <c r="G62">
        <f t="shared" si="2"/>
        <v>706.37970737814726</v>
      </c>
      <c r="H62">
        <f t="shared" si="10"/>
        <v>739.20935368907362</v>
      </c>
      <c r="I62">
        <f t="shared" si="11"/>
        <v>0.47856222735001097</v>
      </c>
      <c r="J62">
        <f t="shared" si="3"/>
        <v>1618892891.0788982</v>
      </c>
      <c r="K62">
        <f t="shared" si="4"/>
        <v>5.9117155615240335E-12</v>
      </c>
      <c r="L62">
        <f t="shared" si="12"/>
        <v>706.37970737814726</v>
      </c>
      <c r="M62">
        <f t="shared" si="13"/>
        <v>739.20935368907362</v>
      </c>
      <c r="N62">
        <f t="shared" si="14"/>
        <v>0.47856222735001097</v>
      </c>
      <c r="O62">
        <f t="shared" si="5"/>
        <v>1618892891.0788982</v>
      </c>
      <c r="P62">
        <f t="shared" si="6"/>
        <v>5.9117155615240335E-12</v>
      </c>
      <c r="Q62">
        <f t="shared" si="15"/>
        <v>0</v>
      </c>
      <c r="R62" s="37"/>
    </row>
    <row r="63" spans="1:18" x14ac:dyDescent="0.25">
      <c r="A63">
        <v>47</v>
      </c>
      <c r="B63">
        <f t="shared" si="7"/>
        <v>706.37970737814726</v>
      </c>
      <c r="C63">
        <f t="shared" si="8"/>
        <v>739.20935368907362</v>
      </c>
      <c r="D63">
        <f t="shared" si="9"/>
        <v>0.47856222735001097</v>
      </c>
      <c r="E63">
        <f t="shared" si="0"/>
        <v>1618892891.0788982</v>
      </c>
      <c r="F63">
        <f t="shared" si="1"/>
        <v>5.9117155615240335E-12</v>
      </c>
      <c r="G63">
        <f t="shared" si="2"/>
        <v>706.37970737814726</v>
      </c>
      <c r="H63">
        <f t="shared" si="10"/>
        <v>739.20935368907362</v>
      </c>
      <c r="I63">
        <f t="shared" si="11"/>
        <v>0.47856222735001097</v>
      </c>
      <c r="J63">
        <f t="shared" si="3"/>
        <v>1618892891.0788982</v>
      </c>
      <c r="K63">
        <f t="shared" si="4"/>
        <v>5.9117155615240335E-12</v>
      </c>
      <c r="L63">
        <f t="shared" si="12"/>
        <v>706.37970737814726</v>
      </c>
      <c r="M63">
        <f t="shared" si="13"/>
        <v>739.20935368907362</v>
      </c>
      <c r="N63">
        <f t="shared" si="14"/>
        <v>0.47856222735001097</v>
      </c>
      <c r="O63">
        <f t="shared" si="5"/>
        <v>1618892891.0788982</v>
      </c>
      <c r="P63">
        <f t="shared" si="6"/>
        <v>5.9117155615240335E-12</v>
      </c>
      <c r="Q63">
        <f t="shared" si="15"/>
        <v>0</v>
      </c>
      <c r="R63" s="37"/>
    </row>
    <row r="64" spans="1:18" x14ac:dyDescent="0.25">
      <c r="A64">
        <v>48</v>
      </c>
      <c r="B64">
        <f t="shared" si="7"/>
        <v>706.37970737814726</v>
      </c>
      <c r="C64">
        <f t="shared" si="8"/>
        <v>739.20935368907362</v>
      </c>
      <c r="D64">
        <f t="shared" si="9"/>
        <v>0.47856222735001097</v>
      </c>
      <c r="E64">
        <f t="shared" si="0"/>
        <v>1618892891.0788982</v>
      </c>
      <c r="F64">
        <f t="shared" si="1"/>
        <v>5.9117155615240335E-12</v>
      </c>
      <c r="G64">
        <f t="shared" si="2"/>
        <v>706.37970737814726</v>
      </c>
      <c r="H64">
        <f t="shared" si="10"/>
        <v>739.20935368907362</v>
      </c>
      <c r="I64">
        <f t="shared" si="11"/>
        <v>0.47856222735001097</v>
      </c>
      <c r="J64">
        <f t="shared" si="3"/>
        <v>1618892891.0788982</v>
      </c>
      <c r="K64">
        <f t="shared" si="4"/>
        <v>5.9117155615240335E-12</v>
      </c>
      <c r="L64">
        <f t="shared" si="12"/>
        <v>706.37970737814726</v>
      </c>
      <c r="M64">
        <f t="shared" si="13"/>
        <v>739.20935368907362</v>
      </c>
      <c r="N64">
        <f t="shared" si="14"/>
        <v>0.47856222735001097</v>
      </c>
      <c r="O64">
        <f t="shared" si="5"/>
        <v>1618892891.0788982</v>
      </c>
      <c r="P64">
        <f t="shared" si="6"/>
        <v>5.9117155615240335E-12</v>
      </c>
      <c r="Q64">
        <f t="shared" si="15"/>
        <v>0</v>
      </c>
      <c r="R64" s="37"/>
    </row>
    <row r="65" spans="1:18" x14ac:dyDescent="0.25">
      <c r="A65">
        <v>49</v>
      </c>
      <c r="B65">
        <f t="shared" si="7"/>
        <v>706.37970737814726</v>
      </c>
      <c r="C65">
        <f t="shared" si="8"/>
        <v>739.20935368907362</v>
      </c>
      <c r="D65">
        <f t="shared" si="9"/>
        <v>0.47856222735001097</v>
      </c>
      <c r="E65">
        <f t="shared" si="0"/>
        <v>1618892891.0788982</v>
      </c>
      <c r="F65">
        <f t="shared" si="1"/>
        <v>5.9117155615240335E-12</v>
      </c>
      <c r="G65">
        <f t="shared" si="2"/>
        <v>706.37970737814726</v>
      </c>
      <c r="H65">
        <f t="shared" si="10"/>
        <v>739.20935368907362</v>
      </c>
      <c r="I65">
        <f t="shared" si="11"/>
        <v>0.47856222735001097</v>
      </c>
      <c r="J65">
        <f t="shared" si="3"/>
        <v>1618892891.0788982</v>
      </c>
      <c r="K65">
        <f t="shared" si="4"/>
        <v>5.9117155615240335E-12</v>
      </c>
      <c r="L65">
        <f t="shared" si="12"/>
        <v>706.37970737814726</v>
      </c>
      <c r="M65">
        <f t="shared" si="13"/>
        <v>739.20935368907362</v>
      </c>
      <c r="N65">
        <f t="shared" si="14"/>
        <v>0.47856222735001097</v>
      </c>
      <c r="O65">
        <f t="shared" si="5"/>
        <v>1618892891.0788982</v>
      </c>
      <c r="P65">
        <f t="shared" si="6"/>
        <v>5.9117155615240335E-12</v>
      </c>
      <c r="Q65">
        <f t="shared" si="15"/>
        <v>0</v>
      </c>
      <c r="R65" s="37"/>
    </row>
    <row r="66" spans="1:18" x14ac:dyDescent="0.25">
      <c r="A66">
        <v>50</v>
      </c>
      <c r="B66">
        <f t="shared" si="7"/>
        <v>706.37970737814726</v>
      </c>
      <c r="C66">
        <f t="shared" si="8"/>
        <v>739.20935368907362</v>
      </c>
      <c r="D66">
        <f t="shared" si="9"/>
        <v>0.47856222735001097</v>
      </c>
      <c r="E66">
        <f t="shared" si="0"/>
        <v>1618892891.0788982</v>
      </c>
      <c r="F66">
        <f t="shared" si="1"/>
        <v>5.9117155615240335E-12</v>
      </c>
      <c r="G66">
        <f t="shared" si="2"/>
        <v>706.37970737814726</v>
      </c>
      <c r="H66">
        <f t="shared" si="10"/>
        <v>739.20935368907362</v>
      </c>
      <c r="I66">
        <f t="shared" si="11"/>
        <v>0.47856222735001097</v>
      </c>
      <c r="J66">
        <f t="shared" si="3"/>
        <v>1618892891.0788982</v>
      </c>
      <c r="K66">
        <f t="shared" si="4"/>
        <v>5.9117155615240335E-12</v>
      </c>
      <c r="L66">
        <f t="shared" si="12"/>
        <v>706.37970737814726</v>
      </c>
      <c r="M66">
        <f t="shared" si="13"/>
        <v>739.20935368907362</v>
      </c>
      <c r="N66">
        <f t="shared" si="14"/>
        <v>0.47856222735001097</v>
      </c>
      <c r="O66">
        <f t="shared" si="5"/>
        <v>1618892891.0788982</v>
      </c>
      <c r="P66">
        <f t="shared" si="6"/>
        <v>5.9117155615240335E-12</v>
      </c>
      <c r="Q66">
        <f t="shared" si="15"/>
        <v>0</v>
      </c>
      <c r="R66" s="37"/>
    </row>
    <row r="67" spans="1:18" x14ac:dyDescent="0.25">
      <c r="R67" s="37"/>
    </row>
    <row r="68" spans="1:18" x14ac:dyDescent="0.25">
      <c r="B68" t="s">
        <v>365</v>
      </c>
      <c r="C68">
        <f>(B1+G66)/2</f>
        <v>739.20935368907362</v>
      </c>
      <c r="R68" s="37"/>
    </row>
    <row r="69" spans="1:18" x14ac:dyDescent="0.25">
      <c r="R69" s="37"/>
    </row>
  </sheetData>
  <mergeCells count="5">
    <mergeCell ref="A15:A16"/>
    <mergeCell ref="A14:Q14"/>
    <mergeCell ref="B15:F15"/>
    <mergeCell ref="G15:K15"/>
    <mergeCell ref="L15:P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A2" sqref="A2:P2"/>
    </sheetView>
  </sheetViews>
  <sheetFormatPr defaultRowHeight="15" x14ac:dyDescent="0.25"/>
  <cols>
    <col min="16" max="16" width="12" bestFit="1" customWidth="1"/>
    <col min="17" max="17" width="11.5703125" bestFit="1" customWidth="1"/>
  </cols>
  <sheetData>
    <row r="1" spans="1:17" ht="15.75" x14ac:dyDescent="0.25">
      <c r="A1" s="206" t="s">
        <v>411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</row>
    <row r="2" spans="1:17" ht="15.75" x14ac:dyDescent="0.25">
      <c r="A2" s="207" t="s">
        <v>366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9"/>
    </row>
    <row r="3" spans="1:17" ht="75" x14ac:dyDescent="0.25">
      <c r="A3" s="110" t="s">
        <v>367</v>
      </c>
      <c r="B3" s="110" t="s">
        <v>368</v>
      </c>
      <c r="C3" s="110" t="s">
        <v>369</v>
      </c>
      <c r="D3" s="110" t="s">
        <v>370</v>
      </c>
      <c r="E3" s="110" t="s">
        <v>371</v>
      </c>
      <c r="F3" s="110" t="s">
        <v>372</v>
      </c>
      <c r="G3" s="110" t="s">
        <v>373</v>
      </c>
      <c r="H3" s="110"/>
      <c r="I3" s="110" t="s">
        <v>374</v>
      </c>
      <c r="J3" s="110" t="s">
        <v>375</v>
      </c>
      <c r="K3" s="110" t="s">
        <v>376</v>
      </c>
      <c r="L3" s="110" t="s">
        <v>377</v>
      </c>
      <c r="M3" s="110" t="s">
        <v>378</v>
      </c>
      <c r="N3" s="110" t="s">
        <v>379</v>
      </c>
      <c r="O3" s="110" t="s">
        <v>380</v>
      </c>
      <c r="P3" s="121" t="s">
        <v>381</v>
      </c>
    </row>
    <row r="4" spans="1:17" x14ac:dyDescent="0.25">
      <c r="A4" s="210" t="s">
        <v>382</v>
      </c>
      <c r="B4" s="112" t="s">
        <v>53</v>
      </c>
      <c r="C4" s="116">
        <f>4.6/100</f>
        <v>4.5999999999999999E-2</v>
      </c>
      <c r="D4" s="122">
        <v>238.04955989999999</v>
      </c>
      <c r="E4" s="210">
        <f>(C4*D4)+(C5*D5)+(C6*D6)+(C7*D7)+(C8*D8)</f>
        <v>239.7495783283</v>
      </c>
      <c r="F4" s="210">
        <f>E4+E9</f>
        <v>271.74838818501661</v>
      </c>
      <c r="G4" s="210">
        <v>0.12</v>
      </c>
      <c r="H4" s="210">
        <f>G4</f>
        <v>0.12</v>
      </c>
      <c r="I4" s="210">
        <f>(G4*F4)+(G10*F10)</f>
        <v>270.23439648232056</v>
      </c>
      <c r="J4" s="210">
        <f>11.46</f>
        <v>11.46</v>
      </c>
      <c r="K4" s="210">
        <v>100</v>
      </c>
      <c r="L4" s="210">
        <f>K4*H4</f>
        <v>12</v>
      </c>
      <c r="M4" s="210">
        <f>L4/J4</f>
        <v>1.0471204188481675</v>
      </c>
      <c r="N4" s="213">
        <f>M4+M10</f>
        <v>9.0763174991401385</v>
      </c>
      <c r="O4" s="213">
        <f>M4/N4</f>
        <v>0.11536842105263158</v>
      </c>
      <c r="P4" s="216">
        <f>(O4*J4)+(O10*J10)</f>
        <v>11.017684210526316</v>
      </c>
      <c r="Q4" s="123">
        <f>P4*0.96</f>
        <v>10.576976842105262</v>
      </c>
    </row>
    <row r="5" spans="1:17" x14ac:dyDescent="0.25">
      <c r="A5" s="211"/>
      <c r="B5" s="112" t="s">
        <v>54</v>
      </c>
      <c r="C5" s="116">
        <f>50.5/100</f>
        <v>0.505</v>
      </c>
      <c r="D5" s="122">
        <v>239.05216340000001</v>
      </c>
      <c r="E5" s="211"/>
      <c r="F5" s="211"/>
      <c r="G5" s="211"/>
      <c r="H5" s="211"/>
      <c r="I5" s="211"/>
      <c r="J5" s="211"/>
      <c r="K5" s="211"/>
      <c r="L5" s="211"/>
      <c r="M5" s="211"/>
      <c r="N5" s="214"/>
      <c r="O5" s="214"/>
      <c r="P5" s="217"/>
      <c r="Q5" s="123"/>
    </row>
    <row r="6" spans="1:17" x14ac:dyDescent="0.25">
      <c r="A6" s="211"/>
      <c r="B6" s="112" t="s">
        <v>55</v>
      </c>
      <c r="C6" s="116">
        <f>24/100</f>
        <v>0.24</v>
      </c>
      <c r="D6" s="122">
        <v>240.05381349999999</v>
      </c>
      <c r="E6" s="211"/>
      <c r="F6" s="211"/>
      <c r="G6" s="211"/>
      <c r="H6" s="211"/>
      <c r="I6" s="211"/>
      <c r="J6" s="211"/>
      <c r="K6" s="211"/>
      <c r="L6" s="211"/>
      <c r="M6" s="211"/>
      <c r="N6" s="214"/>
      <c r="O6" s="214"/>
      <c r="P6" s="217"/>
      <c r="Q6" s="123"/>
    </row>
    <row r="7" spans="1:17" x14ac:dyDescent="0.25">
      <c r="A7" s="211"/>
      <c r="B7" s="112" t="s">
        <v>56</v>
      </c>
      <c r="C7" s="116">
        <f>12.5/100</f>
        <v>0.125</v>
      </c>
      <c r="D7" s="124">
        <v>241.05685149999999</v>
      </c>
      <c r="E7" s="211"/>
      <c r="F7" s="211"/>
      <c r="G7" s="211"/>
      <c r="H7" s="211"/>
      <c r="I7" s="211"/>
      <c r="J7" s="211"/>
      <c r="K7" s="211"/>
      <c r="L7" s="211"/>
      <c r="M7" s="211"/>
      <c r="N7" s="214"/>
      <c r="O7" s="214"/>
      <c r="P7" s="217"/>
      <c r="Q7" s="123"/>
    </row>
    <row r="8" spans="1:17" x14ac:dyDescent="0.25">
      <c r="A8" s="211"/>
      <c r="B8" s="112" t="s">
        <v>57</v>
      </c>
      <c r="C8" s="116">
        <f>8.4/100</f>
        <v>8.4000000000000005E-2</v>
      </c>
      <c r="D8" s="124">
        <v>242.05874259999999</v>
      </c>
      <c r="E8" s="212"/>
      <c r="F8" s="211"/>
      <c r="G8" s="211"/>
      <c r="H8" s="211"/>
      <c r="I8" s="211"/>
      <c r="J8" s="211"/>
      <c r="K8" s="211"/>
      <c r="L8" s="211"/>
      <c r="M8" s="211"/>
      <c r="N8" s="214"/>
      <c r="O8" s="214"/>
      <c r="P8" s="217"/>
      <c r="Q8" s="123"/>
    </row>
    <row r="9" spans="1:17" x14ac:dyDescent="0.25">
      <c r="A9" s="212"/>
      <c r="B9" s="125" t="s">
        <v>66</v>
      </c>
      <c r="C9" s="125">
        <v>1</v>
      </c>
      <c r="D9" s="126">
        <v>15.999404928358301</v>
      </c>
      <c r="E9" s="125">
        <f>2*D9</f>
        <v>31.998809856716601</v>
      </c>
      <c r="F9" s="212"/>
      <c r="G9" s="212"/>
      <c r="H9" s="212"/>
      <c r="I9" s="211"/>
      <c r="J9" s="212"/>
      <c r="K9" s="211"/>
      <c r="L9" s="212"/>
      <c r="M9" s="212"/>
      <c r="N9" s="214"/>
      <c r="O9" s="215"/>
      <c r="P9" s="217"/>
      <c r="Q9" s="123"/>
    </row>
    <row r="10" spans="1:17" x14ac:dyDescent="0.25">
      <c r="A10" s="219" t="s">
        <v>383</v>
      </c>
      <c r="B10" s="116" t="s">
        <v>62</v>
      </c>
      <c r="C10" s="167">
        <v>7.1999999999999998E-3</v>
      </c>
      <c r="D10" s="116">
        <v>235.0439231</v>
      </c>
      <c r="E10" s="219">
        <f>(C10*D10)+(C11*D11)</f>
        <v>238.0291332116</v>
      </c>
      <c r="F10" s="213">
        <f>E10+E12</f>
        <v>270.02794306831657</v>
      </c>
      <c r="G10" s="213">
        <f>1-G4</f>
        <v>0.88</v>
      </c>
      <c r="H10" s="213">
        <f>G10</f>
        <v>0.88</v>
      </c>
      <c r="I10" s="211"/>
      <c r="J10" s="219">
        <v>10.96</v>
      </c>
      <c r="K10" s="211"/>
      <c r="L10" s="213">
        <f>K4*H10</f>
        <v>88</v>
      </c>
      <c r="M10" s="213">
        <f>L10/J10</f>
        <v>8.0291970802919703</v>
      </c>
      <c r="N10" s="214"/>
      <c r="O10" s="213">
        <f>M10/N4</f>
        <v>0.88463157894736832</v>
      </c>
      <c r="P10" s="217"/>
      <c r="Q10" s="123"/>
    </row>
    <row r="11" spans="1:17" x14ac:dyDescent="0.25">
      <c r="A11" s="219"/>
      <c r="B11" s="116" t="s">
        <v>64</v>
      </c>
      <c r="C11" s="167">
        <f>1-C10</f>
        <v>0.99280000000000002</v>
      </c>
      <c r="D11" s="116">
        <v>238.05078259999999</v>
      </c>
      <c r="E11" s="219"/>
      <c r="F11" s="214"/>
      <c r="G11" s="214"/>
      <c r="H11" s="214"/>
      <c r="I11" s="211"/>
      <c r="J11" s="219"/>
      <c r="K11" s="211"/>
      <c r="L11" s="214"/>
      <c r="M11" s="214"/>
      <c r="N11" s="214"/>
      <c r="O11" s="214"/>
      <c r="P11" s="217"/>
      <c r="Q11" s="123"/>
    </row>
    <row r="12" spans="1:17" x14ac:dyDescent="0.25">
      <c r="A12" s="219"/>
      <c r="B12" s="116" t="s">
        <v>66</v>
      </c>
      <c r="C12" s="167">
        <v>1</v>
      </c>
      <c r="D12" s="126">
        <v>15.999404928358301</v>
      </c>
      <c r="E12" s="126">
        <f>(2*D12)</f>
        <v>31.998809856716601</v>
      </c>
      <c r="F12" s="215"/>
      <c r="G12" s="215"/>
      <c r="H12" s="215"/>
      <c r="I12" s="212"/>
      <c r="J12" s="219"/>
      <c r="K12" s="212"/>
      <c r="L12" s="215"/>
      <c r="M12" s="215"/>
      <c r="N12" s="215"/>
      <c r="O12" s="215"/>
      <c r="P12" s="218"/>
      <c r="Q12" s="123"/>
    </row>
    <row r="13" spans="1:17" ht="15.75" x14ac:dyDescent="0.25">
      <c r="A13" s="207" t="s">
        <v>384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9"/>
      <c r="Q13" s="123"/>
    </row>
    <row r="14" spans="1:17" x14ac:dyDescent="0.25">
      <c r="A14" s="210" t="s">
        <v>382</v>
      </c>
      <c r="B14" s="112" t="s">
        <v>53</v>
      </c>
      <c r="C14" s="116">
        <f>4.6/100</f>
        <v>4.5999999999999999E-2</v>
      </c>
      <c r="D14" s="122">
        <v>238.04955989999999</v>
      </c>
      <c r="E14" s="210">
        <f>(C14*D14)+(C15*D15)+(C16*D16)+(C17*D17)+(C18*D18)</f>
        <v>239.7495783283</v>
      </c>
      <c r="F14" s="210">
        <f>E14+E19</f>
        <v>271.74838818501661</v>
      </c>
      <c r="G14" s="210">
        <f>G4</f>
        <v>0.12</v>
      </c>
      <c r="H14" s="220">
        <f>G14*0.9921</f>
        <v>0.11905199999999999</v>
      </c>
      <c r="I14" s="219">
        <f>(H14*F14)+(H20*F20)+(H23*F23)</f>
        <v>270.96331379065765</v>
      </c>
      <c r="J14" s="210">
        <f>11.46</f>
        <v>11.46</v>
      </c>
      <c r="K14" s="219">
        <v>100</v>
      </c>
      <c r="L14" s="219">
        <f>K14*H14</f>
        <v>11.905199999999999</v>
      </c>
      <c r="M14" s="219">
        <f>L14/J14</f>
        <v>1.0388481675392669</v>
      </c>
      <c r="N14" s="213">
        <f>M14+M20+M23</f>
        <v>9.1112272764569848</v>
      </c>
      <c r="O14" s="219">
        <f>M14/N14</f>
        <v>0.11401846710855358</v>
      </c>
      <c r="P14" s="219">
        <f>(O14*J14)+(O20*J20)+(O23*J23)</f>
        <v>10.975469820448412</v>
      </c>
      <c r="Q14" s="123">
        <f>P14*0.96</f>
        <v>10.536451027630475</v>
      </c>
    </row>
    <row r="15" spans="1:17" x14ac:dyDescent="0.25">
      <c r="A15" s="211"/>
      <c r="B15" s="112" t="s">
        <v>54</v>
      </c>
      <c r="C15" s="116">
        <f>50.5/100</f>
        <v>0.505</v>
      </c>
      <c r="D15" s="122">
        <v>239.05216340000001</v>
      </c>
      <c r="E15" s="211"/>
      <c r="F15" s="211"/>
      <c r="G15" s="211"/>
      <c r="H15" s="221"/>
      <c r="I15" s="219"/>
      <c r="J15" s="211"/>
      <c r="K15" s="219"/>
      <c r="L15" s="219"/>
      <c r="M15" s="219"/>
      <c r="N15" s="214"/>
      <c r="O15" s="219"/>
      <c r="P15" s="219"/>
    </row>
    <row r="16" spans="1:17" x14ac:dyDescent="0.25">
      <c r="A16" s="211"/>
      <c r="B16" s="112" t="s">
        <v>55</v>
      </c>
      <c r="C16" s="116">
        <f>24/100</f>
        <v>0.24</v>
      </c>
      <c r="D16" s="122">
        <v>240.05381349999999</v>
      </c>
      <c r="E16" s="211"/>
      <c r="F16" s="211"/>
      <c r="G16" s="211"/>
      <c r="H16" s="221"/>
      <c r="I16" s="219"/>
      <c r="J16" s="211"/>
      <c r="K16" s="219"/>
      <c r="L16" s="219"/>
      <c r="M16" s="219"/>
      <c r="N16" s="214"/>
      <c r="O16" s="219"/>
      <c r="P16" s="219"/>
    </row>
    <row r="17" spans="1:16" x14ac:dyDescent="0.25">
      <c r="A17" s="211"/>
      <c r="B17" s="112" t="s">
        <v>56</v>
      </c>
      <c r="C17" s="116">
        <f>12.5/100</f>
        <v>0.125</v>
      </c>
      <c r="D17" s="124">
        <v>241.05685149999999</v>
      </c>
      <c r="E17" s="211"/>
      <c r="F17" s="211"/>
      <c r="G17" s="211"/>
      <c r="H17" s="221"/>
      <c r="I17" s="219"/>
      <c r="J17" s="211"/>
      <c r="K17" s="219"/>
      <c r="L17" s="219"/>
      <c r="M17" s="219"/>
      <c r="N17" s="214"/>
      <c r="O17" s="219"/>
      <c r="P17" s="219"/>
    </row>
    <row r="18" spans="1:16" x14ac:dyDescent="0.25">
      <c r="A18" s="211"/>
      <c r="B18" s="112" t="s">
        <v>57</v>
      </c>
      <c r="C18" s="116">
        <f>8.4/100</f>
        <v>8.4000000000000005E-2</v>
      </c>
      <c r="D18" s="124">
        <v>242.05874259999999</v>
      </c>
      <c r="E18" s="212"/>
      <c r="F18" s="211"/>
      <c r="G18" s="211"/>
      <c r="H18" s="221"/>
      <c r="I18" s="219"/>
      <c r="J18" s="211"/>
      <c r="K18" s="219"/>
      <c r="L18" s="219"/>
      <c r="M18" s="219"/>
      <c r="N18" s="214"/>
      <c r="O18" s="219"/>
      <c r="P18" s="219"/>
    </row>
    <row r="19" spans="1:16" x14ac:dyDescent="0.25">
      <c r="A19" s="212"/>
      <c r="B19" s="125" t="s">
        <v>66</v>
      </c>
      <c r="C19" s="125">
        <v>1</v>
      </c>
      <c r="D19" s="126">
        <v>15.999404928358301</v>
      </c>
      <c r="E19" s="125">
        <f>2*D19</f>
        <v>31.998809856716601</v>
      </c>
      <c r="F19" s="212"/>
      <c r="G19" s="212"/>
      <c r="H19" s="222"/>
      <c r="I19" s="219"/>
      <c r="J19" s="212"/>
      <c r="K19" s="219"/>
      <c r="L19" s="219"/>
      <c r="M19" s="219"/>
      <c r="N19" s="214"/>
      <c r="O19" s="219"/>
      <c r="P19" s="219"/>
    </row>
    <row r="20" spans="1:16" x14ac:dyDescent="0.25">
      <c r="A20" s="219" t="s">
        <v>383</v>
      </c>
      <c r="B20" s="116" t="s">
        <v>62</v>
      </c>
      <c r="C20" s="167">
        <v>7.1999999999999998E-3</v>
      </c>
      <c r="D20" s="116">
        <v>235.0439231</v>
      </c>
      <c r="E20" s="219">
        <f>(C20*D20)+(C21*D21)</f>
        <v>238.0291332116</v>
      </c>
      <c r="F20" s="213">
        <f>E20+E22</f>
        <v>270.02794306831657</v>
      </c>
      <c r="G20" s="213">
        <f>G10</f>
        <v>0.88</v>
      </c>
      <c r="H20" s="223">
        <f>G20*0.9921</f>
        <v>0.87304799999999994</v>
      </c>
      <c r="I20" s="219"/>
      <c r="J20" s="219">
        <v>10.96</v>
      </c>
      <c r="K20" s="219"/>
      <c r="L20" s="219">
        <f>K14*H20</f>
        <v>87.3048</v>
      </c>
      <c r="M20" s="219">
        <f>L20/J20</f>
        <v>7.9657664233576639</v>
      </c>
      <c r="N20" s="214"/>
      <c r="O20" s="219">
        <f>M20/N14</f>
        <v>0.87428028976303318</v>
      </c>
      <c r="P20" s="219"/>
    </row>
    <row r="21" spans="1:16" x14ac:dyDescent="0.25">
      <c r="A21" s="219"/>
      <c r="B21" s="116" t="s">
        <v>64</v>
      </c>
      <c r="C21" s="167">
        <f>1-C20</f>
        <v>0.99280000000000002</v>
      </c>
      <c r="D21" s="116">
        <v>238.05078259999999</v>
      </c>
      <c r="E21" s="219"/>
      <c r="F21" s="214"/>
      <c r="G21" s="214"/>
      <c r="H21" s="224"/>
      <c r="I21" s="219"/>
      <c r="J21" s="219"/>
      <c r="K21" s="219"/>
      <c r="L21" s="219"/>
      <c r="M21" s="219"/>
      <c r="N21" s="214"/>
      <c r="O21" s="219"/>
      <c r="P21" s="219"/>
    </row>
    <row r="22" spans="1:16" x14ac:dyDescent="0.25">
      <c r="A22" s="219"/>
      <c r="B22" s="116" t="s">
        <v>66</v>
      </c>
      <c r="C22" s="167">
        <v>1</v>
      </c>
      <c r="D22" s="126">
        <v>15.999404928358301</v>
      </c>
      <c r="E22" s="126">
        <f>(2*D22)</f>
        <v>31.998809856716601</v>
      </c>
      <c r="F22" s="215"/>
      <c r="G22" s="215"/>
      <c r="H22" s="225"/>
      <c r="I22" s="219"/>
      <c r="J22" s="219"/>
      <c r="K22" s="219"/>
      <c r="L22" s="219"/>
      <c r="M22" s="219"/>
      <c r="N22" s="214"/>
      <c r="O22" s="219"/>
      <c r="P22" s="219"/>
    </row>
    <row r="23" spans="1:16" x14ac:dyDescent="0.25">
      <c r="A23" s="219" t="s">
        <v>126</v>
      </c>
      <c r="B23" s="116" t="s">
        <v>385</v>
      </c>
      <c r="C23" s="116">
        <v>1</v>
      </c>
      <c r="D23" s="3">
        <v>157.25209770539999</v>
      </c>
      <c r="E23" s="126">
        <f>2*D23</f>
        <v>314.50419541079998</v>
      </c>
      <c r="F23" s="213">
        <f>E23+E24</f>
        <v>362.50241019587486</v>
      </c>
      <c r="G23" s="213">
        <v>7.9000000000000008E-3</v>
      </c>
      <c r="H23" s="223">
        <v>7.9000000000000008E-3</v>
      </c>
      <c r="I23" s="219"/>
      <c r="J23" s="213">
        <v>7.41</v>
      </c>
      <c r="K23" s="219"/>
      <c r="L23" s="219">
        <f>K14*H23</f>
        <v>0.79</v>
      </c>
      <c r="M23" s="219">
        <f>L23/J23</f>
        <v>0.10661268556005399</v>
      </c>
      <c r="N23" s="214"/>
      <c r="O23" s="219">
        <f>M23/N14</f>
        <v>1.1701243128413285E-2</v>
      </c>
      <c r="P23" s="219"/>
    </row>
    <row r="24" spans="1:16" x14ac:dyDescent="0.25">
      <c r="A24" s="219"/>
      <c r="B24" s="116" t="s">
        <v>66</v>
      </c>
      <c r="C24" s="116">
        <v>1</v>
      </c>
      <c r="D24" s="116">
        <v>15.999404928358299</v>
      </c>
      <c r="E24" s="126">
        <f>(3*D24)</f>
        <v>47.998214785074893</v>
      </c>
      <c r="F24" s="215"/>
      <c r="G24" s="215"/>
      <c r="H24" s="225"/>
      <c r="I24" s="219"/>
      <c r="J24" s="215"/>
      <c r="K24" s="219"/>
      <c r="L24" s="219"/>
      <c r="M24" s="219"/>
      <c r="N24" s="215"/>
      <c r="O24" s="219"/>
      <c r="P24" s="219"/>
    </row>
  </sheetData>
  <mergeCells count="55">
    <mergeCell ref="O20:O22"/>
    <mergeCell ref="A23:A24"/>
    <mergeCell ref="F23:F24"/>
    <mergeCell ref="G23:G24"/>
    <mergeCell ref="H23:H24"/>
    <mergeCell ref="J23:J24"/>
    <mergeCell ref="L23:L24"/>
    <mergeCell ref="M23:M24"/>
    <mergeCell ref="O23:O24"/>
    <mergeCell ref="O14:O19"/>
    <mergeCell ref="P14:P24"/>
    <mergeCell ref="A20:A22"/>
    <mergeCell ref="E20:E21"/>
    <mergeCell ref="F20:F22"/>
    <mergeCell ref="G20:G22"/>
    <mergeCell ref="H20:H22"/>
    <mergeCell ref="J20:J22"/>
    <mergeCell ref="L20:L22"/>
    <mergeCell ref="M20:M22"/>
    <mergeCell ref="I14:I24"/>
    <mergeCell ref="J14:J19"/>
    <mergeCell ref="K14:K24"/>
    <mergeCell ref="L14:L19"/>
    <mergeCell ref="M14:M19"/>
    <mergeCell ref="N14:N24"/>
    <mergeCell ref="L10:L12"/>
    <mergeCell ref="M10:M12"/>
    <mergeCell ref="O10:O12"/>
    <mergeCell ref="A13:P13"/>
    <mergeCell ref="A10:A12"/>
    <mergeCell ref="E10:E11"/>
    <mergeCell ref="F10:F12"/>
    <mergeCell ref="G10:G12"/>
    <mergeCell ref="H10:H12"/>
    <mergeCell ref="A14:A19"/>
    <mergeCell ref="E14:E18"/>
    <mergeCell ref="F14:F19"/>
    <mergeCell ref="G14:G19"/>
    <mergeCell ref="H14:H19"/>
    <mergeCell ref="A1:P1"/>
    <mergeCell ref="A2:P2"/>
    <mergeCell ref="A4:A9"/>
    <mergeCell ref="E4:E8"/>
    <mergeCell ref="F4:F9"/>
    <mergeCell ref="G4:G9"/>
    <mergeCell ref="H4:H9"/>
    <mergeCell ref="I4:I12"/>
    <mergeCell ref="J4:J9"/>
    <mergeCell ref="K4:K12"/>
    <mergeCell ref="L4:L9"/>
    <mergeCell ref="M4:M9"/>
    <mergeCell ref="N4:N12"/>
    <mergeCell ref="O4:O9"/>
    <mergeCell ref="P4:P12"/>
    <mergeCell ref="J10:J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topLeftCell="A3" workbookViewId="0">
      <selection activeCell="T15" sqref="T15"/>
    </sheetView>
  </sheetViews>
  <sheetFormatPr defaultRowHeight="15" x14ac:dyDescent="0.25"/>
  <cols>
    <col min="1" max="1" width="27.5703125" bestFit="1" customWidth="1"/>
    <col min="2" max="2" width="17.85546875" bestFit="1" customWidth="1"/>
    <col min="3" max="3" width="16.7109375" bestFit="1" customWidth="1"/>
    <col min="4" max="4" width="17.85546875" bestFit="1" customWidth="1"/>
    <col min="5" max="5" width="16.7109375" bestFit="1" customWidth="1"/>
    <col min="6" max="6" width="3.85546875" bestFit="1" customWidth="1"/>
    <col min="7" max="8" width="2.140625" bestFit="1" customWidth="1"/>
    <col min="9" max="15" width="4" bestFit="1" customWidth="1"/>
    <col min="16" max="17" width="3" bestFit="1" customWidth="1"/>
    <col min="20" max="20" width="3.85546875" bestFit="1" customWidth="1"/>
    <col min="21" max="28" width="4" bestFit="1" customWidth="1"/>
    <col min="29" max="29" width="2" bestFit="1" customWidth="1"/>
  </cols>
  <sheetData>
    <row r="1" spans="1:29" x14ac:dyDescent="0.25">
      <c r="A1" s="202" t="s">
        <v>35</v>
      </c>
      <c r="B1" s="226" t="s">
        <v>244</v>
      </c>
      <c r="C1" s="226"/>
    </row>
    <row r="2" spans="1:29" x14ac:dyDescent="0.25">
      <c r="A2" s="202"/>
      <c r="B2" s="111" t="s">
        <v>245</v>
      </c>
      <c r="C2" s="111" t="s">
        <v>246</v>
      </c>
      <c r="F2" s="205" t="s">
        <v>293</v>
      </c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</row>
    <row r="3" spans="1:29" x14ac:dyDescent="0.25">
      <c r="A3" s="3" t="s">
        <v>247</v>
      </c>
      <c r="B3" s="3">
        <f t="shared" ref="B3:C3" si="0">B5/B4</f>
        <v>1.2121212121212122</v>
      </c>
      <c r="C3" s="3">
        <f t="shared" si="0"/>
        <v>1.2121212121212122</v>
      </c>
      <c r="F3" t="s">
        <v>294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</row>
    <row r="4" spans="1:29" x14ac:dyDescent="0.25">
      <c r="A4" s="9" t="s">
        <v>248</v>
      </c>
      <c r="B4" s="9">
        <v>165</v>
      </c>
      <c r="C4" s="9">
        <v>165</v>
      </c>
      <c r="F4">
        <v>1</v>
      </c>
      <c r="G4" s="55" t="s">
        <v>295</v>
      </c>
      <c r="H4" s="92" t="s">
        <v>295</v>
      </c>
      <c r="I4" s="92" t="s">
        <v>295</v>
      </c>
      <c r="J4" s="92" t="s">
        <v>295</v>
      </c>
      <c r="K4" s="92" t="s">
        <v>295</v>
      </c>
      <c r="L4" s="92" t="s">
        <v>295</v>
      </c>
      <c r="M4" s="92" t="s">
        <v>295</v>
      </c>
      <c r="N4" s="92" t="s">
        <v>295</v>
      </c>
      <c r="O4" s="92" t="s">
        <v>295</v>
      </c>
      <c r="P4" s="92" t="s">
        <v>295</v>
      </c>
      <c r="Q4" s="56" t="s">
        <v>295</v>
      </c>
    </row>
    <row r="5" spans="1:29" x14ac:dyDescent="0.25">
      <c r="A5" s="9" t="s">
        <v>249</v>
      </c>
      <c r="B5" s="71">
        <v>200</v>
      </c>
      <c r="C5" s="71">
        <v>200</v>
      </c>
      <c r="F5">
        <v>2</v>
      </c>
      <c r="G5" s="21" t="s">
        <v>295</v>
      </c>
      <c r="H5" s="16"/>
      <c r="I5" s="16"/>
      <c r="J5" s="16"/>
      <c r="K5" s="16"/>
      <c r="L5" s="16"/>
      <c r="M5" s="16"/>
      <c r="N5" s="16"/>
      <c r="O5" s="16"/>
      <c r="P5" s="16"/>
      <c r="Q5" s="20" t="s">
        <v>295</v>
      </c>
      <c r="T5" t="s">
        <v>294</v>
      </c>
      <c r="U5">
        <v>1</v>
      </c>
      <c r="V5">
        <v>2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</row>
    <row r="6" spans="1:29" x14ac:dyDescent="0.25">
      <c r="A6" s="3" t="s">
        <v>250</v>
      </c>
      <c r="B6" s="3">
        <f>(PI()*B7^2*B5)*B8*B9</f>
        <v>628146.28868232062</v>
      </c>
      <c r="C6" s="3">
        <f>(PI()*C7^2*C5)*C8*C9</f>
        <v>382349.91485010821</v>
      </c>
      <c r="F6">
        <v>3</v>
      </c>
      <c r="G6" s="21" t="s">
        <v>295</v>
      </c>
      <c r="H6" s="16"/>
      <c r="I6" s="55"/>
      <c r="J6" s="92"/>
      <c r="K6" s="93">
        <v>201</v>
      </c>
      <c r="L6" s="94">
        <v>101</v>
      </c>
      <c r="M6" s="93">
        <v>202</v>
      </c>
      <c r="N6" s="92"/>
      <c r="O6" s="56"/>
      <c r="P6" s="16"/>
      <c r="Q6" s="20" t="s">
        <v>295</v>
      </c>
      <c r="T6">
        <v>1</v>
      </c>
      <c r="U6" s="55"/>
      <c r="V6" s="92"/>
      <c r="W6" s="92"/>
      <c r="X6" s="92"/>
      <c r="Y6" s="92"/>
      <c r="Z6" s="92"/>
      <c r="AA6" s="92"/>
      <c r="AB6" s="92"/>
      <c r="AC6" s="56"/>
    </row>
    <row r="7" spans="1:29" x14ac:dyDescent="0.25">
      <c r="A7" s="13" t="s">
        <v>251</v>
      </c>
      <c r="B7" s="12">
        <v>0.40576499999999999</v>
      </c>
      <c r="C7" s="12">
        <v>0.40576499999999999</v>
      </c>
      <c r="F7">
        <v>4</v>
      </c>
      <c r="G7" s="21" t="s">
        <v>295</v>
      </c>
      <c r="H7" s="16"/>
      <c r="I7" s="21"/>
      <c r="J7" s="95">
        <v>203</v>
      </c>
      <c r="K7" s="96">
        <v>102</v>
      </c>
      <c r="L7" s="96">
        <v>103</v>
      </c>
      <c r="M7" s="96">
        <v>104</v>
      </c>
      <c r="N7" s="95">
        <v>204</v>
      </c>
      <c r="O7" s="20"/>
      <c r="P7" s="16"/>
      <c r="Q7" s="20" t="s">
        <v>295</v>
      </c>
      <c r="T7">
        <v>2</v>
      </c>
      <c r="U7" s="21"/>
      <c r="V7" s="55"/>
      <c r="W7" s="92"/>
      <c r="X7" s="93">
        <v>201</v>
      </c>
      <c r="Y7" s="94">
        <v>101</v>
      </c>
      <c r="Z7" s="93">
        <v>202</v>
      </c>
      <c r="AA7" s="92"/>
      <c r="AB7" s="56"/>
      <c r="AC7" s="20"/>
    </row>
    <row r="8" spans="1:29" x14ac:dyDescent="0.25">
      <c r="A8" s="12" t="s">
        <v>252</v>
      </c>
      <c r="B8" s="3">
        <v>23</v>
      </c>
      <c r="C8" s="3">
        <v>14</v>
      </c>
      <c r="F8">
        <v>5</v>
      </c>
      <c r="G8" s="21" t="s">
        <v>295</v>
      </c>
      <c r="H8" s="16"/>
      <c r="I8" s="97">
        <v>105</v>
      </c>
      <c r="J8" s="96">
        <v>106</v>
      </c>
      <c r="K8" s="95">
        <v>205</v>
      </c>
      <c r="L8" s="96">
        <v>107</v>
      </c>
      <c r="M8" s="95">
        <v>206</v>
      </c>
      <c r="N8" s="96">
        <v>108</v>
      </c>
      <c r="O8" s="98">
        <v>109</v>
      </c>
      <c r="P8" s="16"/>
      <c r="Q8" s="20" t="s">
        <v>295</v>
      </c>
      <c r="T8">
        <v>3</v>
      </c>
      <c r="U8" s="21"/>
      <c r="V8" s="21"/>
      <c r="W8" s="95">
        <v>203</v>
      </c>
      <c r="X8" s="96">
        <v>102</v>
      </c>
      <c r="Y8" s="96">
        <v>103</v>
      </c>
      <c r="Z8" s="96">
        <v>104</v>
      </c>
      <c r="AA8" s="95">
        <v>204</v>
      </c>
      <c r="AB8" s="20"/>
      <c r="AC8" s="20"/>
    </row>
    <row r="9" spans="1:29" x14ac:dyDescent="0.25">
      <c r="A9" s="12" t="s">
        <v>253</v>
      </c>
      <c r="B9" s="3">
        <v>264</v>
      </c>
      <c r="C9" s="3">
        <v>264</v>
      </c>
      <c r="F9">
        <v>6</v>
      </c>
      <c r="G9" s="21" t="s">
        <v>295</v>
      </c>
      <c r="H9" s="16"/>
      <c r="I9" s="99">
        <v>207</v>
      </c>
      <c r="J9" s="96">
        <v>110</v>
      </c>
      <c r="K9" s="96">
        <v>111</v>
      </c>
      <c r="L9" s="96">
        <v>112</v>
      </c>
      <c r="M9" s="96">
        <v>113</v>
      </c>
      <c r="N9" s="96">
        <v>114</v>
      </c>
      <c r="O9" s="100">
        <v>208</v>
      </c>
      <c r="P9" s="16"/>
      <c r="Q9" s="20" t="s">
        <v>295</v>
      </c>
      <c r="T9">
        <v>4</v>
      </c>
      <c r="U9" s="21"/>
      <c r="V9" s="97">
        <v>105</v>
      </c>
      <c r="W9" s="96">
        <v>106</v>
      </c>
      <c r="X9" s="95">
        <v>205</v>
      </c>
      <c r="Y9" s="96">
        <v>107</v>
      </c>
      <c r="Z9" s="95">
        <v>206</v>
      </c>
      <c r="AA9" s="96">
        <v>108</v>
      </c>
      <c r="AB9" s="98">
        <v>109</v>
      </c>
      <c r="AC9" s="20"/>
    </row>
    <row r="10" spans="1:29" x14ac:dyDescent="0.25">
      <c r="A10" s="3" t="s">
        <v>254</v>
      </c>
      <c r="B10">
        <v>10.576976842105262</v>
      </c>
      <c r="C10">
        <v>10.536451027630475</v>
      </c>
      <c r="F10">
        <v>7</v>
      </c>
      <c r="G10" s="21" t="s">
        <v>295</v>
      </c>
      <c r="H10" s="16"/>
      <c r="I10" s="97">
        <v>115</v>
      </c>
      <c r="J10" s="96">
        <v>116</v>
      </c>
      <c r="K10" s="95">
        <v>209</v>
      </c>
      <c r="L10" s="96">
        <v>117</v>
      </c>
      <c r="M10" s="95">
        <v>210</v>
      </c>
      <c r="N10" s="96">
        <v>118</v>
      </c>
      <c r="O10" s="98">
        <v>119</v>
      </c>
      <c r="P10" s="16"/>
      <c r="Q10" s="20" t="s">
        <v>295</v>
      </c>
      <c r="T10">
        <v>5</v>
      </c>
      <c r="U10" s="21"/>
      <c r="V10" s="99">
        <v>207</v>
      </c>
      <c r="W10" s="96">
        <v>110</v>
      </c>
      <c r="X10" s="96">
        <v>111</v>
      </c>
      <c r="Y10" s="96">
        <v>112</v>
      </c>
      <c r="Z10" s="96">
        <v>113</v>
      </c>
      <c r="AA10" s="96">
        <v>114</v>
      </c>
      <c r="AB10" s="100">
        <v>208</v>
      </c>
      <c r="AC10" s="20"/>
    </row>
    <row r="11" spans="1:29" x14ac:dyDescent="0.25">
      <c r="A11" s="3" t="s">
        <v>255</v>
      </c>
      <c r="B11" s="72">
        <f>B10*B6</f>
        <v>6643888.7488472722</v>
      </c>
      <c r="C11" s="72">
        <f>C10*C6</f>
        <v>4028611.1532368474</v>
      </c>
      <c r="F11">
        <v>8</v>
      </c>
      <c r="G11" s="21" t="s">
        <v>295</v>
      </c>
      <c r="H11" s="16"/>
      <c r="I11" s="101"/>
      <c r="J11" s="95">
        <v>211</v>
      </c>
      <c r="K11" s="96">
        <v>120</v>
      </c>
      <c r="L11" s="96">
        <v>121</v>
      </c>
      <c r="M11" s="96">
        <v>122</v>
      </c>
      <c r="N11" s="95">
        <v>212</v>
      </c>
      <c r="O11" s="20"/>
      <c r="P11" s="16"/>
      <c r="Q11" s="20" t="s">
        <v>295</v>
      </c>
      <c r="T11">
        <v>6</v>
      </c>
      <c r="U11" s="21"/>
      <c r="V11" s="97">
        <v>115</v>
      </c>
      <c r="W11" s="96">
        <v>116</v>
      </c>
      <c r="X11" s="95">
        <v>209</v>
      </c>
      <c r="Y11" s="96">
        <v>117</v>
      </c>
      <c r="Z11" s="95">
        <v>210</v>
      </c>
      <c r="AA11" s="96">
        <v>118</v>
      </c>
      <c r="AB11" s="98">
        <v>119</v>
      </c>
      <c r="AC11" s="20"/>
    </row>
    <row r="12" spans="1:29" x14ac:dyDescent="0.25">
      <c r="A12" s="12" t="s">
        <v>288</v>
      </c>
      <c r="B12" s="228">
        <f>B11+C11</f>
        <v>10672499.90208412</v>
      </c>
      <c r="C12" s="228"/>
      <c r="F12">
        <v>9</v>
      </c>
      <c r="G12" s="21" t="s">
        <v>295</v>
      </c>
      <c r="H12" s="16"/>
      <c r="I12" s="57"/>
      <c r="J12" s="67"/>
      <c r="K12" s="102">
        <v>213</v>
      </c>
      <c r="L12" s="103">
        <v>123</v>
      </c>
      <c r="M12" s="102">
        <v>214</v>
      </c>
      <c r="N12" s="67"/>
      <c r="O12" s="58"/>
      <c r="P12" s="16"/>
      <c r="Q12" s="20" t="s">
        <v>295</v>
      </c>
      <c r="T12">
        <v>7</v>
      </c>
      <c r="U12" s="21"/>
      <c r="V12" s="101"/>
      <c r="W12" s="95">
        <v>211</v>
      </c>
      <c r="X12" s="96">
        <v>120</v>
      </c>
      <c r="Y12" s="96">
        <v>121</v>
      </c>
      <c r="Z12" s="96">
        <v>122</v>
      </c>
      <c r="AA12" s="95">
        <v>212</v>
      </c>
      <c r="AB12" s="20"/>
      <c r="AC12" s="20"/>
    </row>
    <row r="13" spans="1:29" x14ac:dyDescent="0.25">
      <c r="A13" s="12" t="s">
        <v>289</v>
      </c>
      <c r="B13" s="229">
        <v>10672499.90208412</v>
      </c>
      <c r="C13" s="230"/>
      <c r="F13">
        <v>10</v>
      </c>
      <c r="G13" s="21" t="s">
        <v>295</v>
      </c>
      <c r="H13" s="16"/>
      <c r="I13" s="16"/>
      <c r="J13" s="16"/>
      <c r="K13" s="16"/>
      <c r="L13" s="16"/>
      <c r="M13" s="16"/>
      <c r="N13" s="16"/>
      <c r="O13" s="16"/>
      <c r="P13" s="16"/>
      <c r="Q13" s="20" t="s">
        <v>295</v>
      </c>
      <c r="T13">
        <v>8</v>
      </c>
      <c r="U13" s="21"/>
      <c r="V13" s="57"/>
      <c r="W13" s="67"/>
      <c r="X13" s="102">
        <v>213</v>
      </c>
      <c r="Y13" s="103">
        <v>123</v>
      </c>
      <c r="Z13" s="102">
        <v>214</v>
      </c>
      <c r="AA13" s="67"/>
      <c r="AB13" s="58"/>
      <c r="AC13" s="20"/>
    </row>
    <row r="14" spans="1:29" x14ac:dyDescent="0.25">
      <c r="A14" s="3" t="s">
        <v>290</v>
      </c>
      <c r="B14" s="231">
        <v>4</v>
      </c>
      <c r="C14" s="232"/>
      <c r="F14">
        <v>11</v>
      </c>
      <c r="G14" s="57" t="s">
        <v>295</v>
      </c>
      <c r="H14" s="67" t="s">
        <v>295</v>
      </c>
      <c r="I14" s="67" t="s">
        <v>295</v>
      </c>
      <c r="J14" s="67" t="s">
        <v>295</v>
      </c>
      <c r="K14" s="67" t="s">
        <v>295</v>
      </c>
      <c r="L14" s="67" t="s">
        <v>295</v>
      </c>
      <c r="M14" s="67" t="s">
        <v>295</v>
      </c>
      <c r="N14" s="67" t="s">
        <v>295</v>
      </c>
      <c r="O14" s="67" t="s">
        <v>295</v>
      </c>
      <c r="P14" s="67" t="s">
        <v>295</v>
      </c>
      <c r="Q14" s="58" t="s">
        <v>295</v>
      </c>
      <c r="T14">
        <v>9</v>
      </c>
      <c r="U14" s="57"/>
      <c r="V14" s="67"/>
      <c r="W14" s="67"/>
      <c r="X14" s="67"/>
      <c r="Y14" s="67"/>
      <c r="Z14" s="67"/>
      <c r="AA14" s="67"/>
      <c r="AB14" s="67"/>
      <c r="AC14" s="58"/>
    </row>
    <row r="15" spans="1:29" x14ac:dyDescent="0.25">
      <c r="A15" s="3" t="s">
        <v>291</v>
      </c>
      <c r="B15" s="233">
        <f>B5/4</f>
        <v>50</v>
      </c>
      <c r="C15" s="233"/>
    </row>
    <row r="16" spans="1:29" x14ac:dyDescent="0.25">
      <c r="A16" s="3" t="s">
        <v>292</v>
      </c>
      <c r="B16" s="227">
        <f t="shared" ref="B16" si="1">B15*21.50364*21.50364</f>
        <v>23120.326662480002</v>
      </c>
      <c r="C16" s="227"/>
    </row>
    <row r="17" spans="1:3" x14ac:dyDescent="0.25">
      <c r="A17" s="12" t="s">
        <v>413</v>
      </c>
      <c r="B17" s="3">
        <f>(B6/B8)/B$14</f>
        <v>6827.6770508947893</v>
      </c>
      <c r="C17" s="3">
        <f>(C6/C8)/B$14</f>
        <v>6827.6770508947893</v>
      </c>
    </row>
    <row r="18" spans="1:3" x14ac:dyDescent="0.25">
      <c r="A18" s="12" t="s">
        <v>414</v>
      </c>
      <c r="B18" s="3">
        <f>B17/B$16</f>
        <v>0.29531057889311063</v>
      </c>
      <c r="C18" s="3">
        <f>C17/B$16</f>
        <v>0.29531057889311063</v>
      </c>
    </row>
  </sheetData>
  <mergeCells count="8">
    <mergeCell ref="F2:Q2"/>
    <mergeCell ref="A1:A2"/>
    <mergeCell ref="B1:C1"/>
    <mergeCell ref="B16:C16"/>
    <mergeCell ref="B12:C12"/>
    <mergeCell ref="B13:C13"/>
    <mergeCell ref="B14:C14"/>
    <mergeCell ref="B15:C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opLeftCell="I1" zoomScale="80" zoomScaleNormal="80" workbookViewId="0">
      <selection activeCell="T4" sqref="T4:AA6"/>
    </sheetView>
  </sheetViews>
  <sheetFormatPr defaultRowHeight="15" x14ac:dyDescent="0.25"/>
  <cols>
    <col min="1" max="1" width="26" customWidth="1"/>
    <col min="2" max="2" width="10.85546875" bestFit="1" customWidth="1"/>
    <col min="3" max="3" width="13.5703125" bestFit="1" customWidth="1"/>
    <col min="4" max="4" width="13" bestFit="1" customWidth="1"/>
    <col min="6" max="6" width="9.7109375" customWidth="1"/>
    <col min="7" max="7" width="10.42578125" bestFit="1" customWidth="1"/>
    <col min="8" max="8" width="13.85546875" bestFit="1" customWidth="1"/>
    <col min="9" max="9" width="8" customWidth="1"/>
    <col min="10" max="10" width="12" bestFit="1" customWidth="1"/>
    <col min="11" max="11" width="10.85546875" bestFit="1" customWidth="1"/>
    <col min="12" max="14" width="13.140625" bestFit="1" customWidth="1"/>
    <col min="15" max="15" width="13.28515625" bestFit="1" customWidth="1"/>
    <col min="16" max="19" width="13.140625" bestFit="1" customWidth="1"/>
    <col min="21" max="21" width="13.140625" bestFit="1" customWidth="1"/>
  </cols>
  <sheetData>
    <row r="1" spans="1:27" x14ac:dyDescent="0.25">
      <c r="A1" s="196" t="s">
        <v>34</v>
      </c>
      <c r="B1" s="196"/>
      <c r="C1" s="196"/>
      <c r="D1" s="196"/>
    </row>
    <row r="2" spans="1:27" x14ac:dyDescent="0.25">
      <c r="A2" s="1" t="s">
        <v>35</v>
      </c>
      <c r="B2" s="1" t="s">
        <v>36</v>
      </c>
      <c r="C2" s="1" t="s">
        <v>37</v>
      </c>
      <c r="D2" s="1" t="s">
        <v>38</v>
      </c>
    </row>
    <row r="3" spans="1:27" x14ac:dyDescent="0.25">
      <c r="A3" s="3" t="s">
        <v>39</v>
      </c>
      <c r="B3" s="11">
        <v>6.0221408570000002E+23</v>
      </c>
      <c r="C3" s="3" t="s">
        <v>40</v>
      </c>
      <c r="D3" s="3" t="s">
        <v>41</v>
      </c>
      <c r="F3" s="195" t="s">
        <v>27</v>
      </c>
      <c r="G3" s="195"/>
      <c r="H3" s="195"/>
      <c r="I3" s="195"/>
      <c r="J3" s="25" t="s">
        <v>58</v>
      </c>
      <c r="K3" s="25"/>
      <c r="L3" s="195" t="s">
        <v>114</v>
      </c>
      <c r="M3" s="195"/>
      <c r="N3" s="195"/>
      <c r="O3" s="195"/>
      <c r="P3" s="195"/>
      <c r="Q3" s="195"/>
      <c r="R3" s="195"/>
      <c r="S3" s="195"/>
    </row>
    <row r="4" spans="1:27" x14ac:dyDescent="0.25">
      <c r="A4" s="3" t="s">
        <v>44</v>
      </c>
      <c r="B4" s="3">
        <v>772.03899999999999</v>
      </c>
      <c r="C4" s="3" t="s">
        <v>45</v>
      </c>
      <c r="D4" s="3"/>
      <c r="F4" s="194" t="s">
        <v>118</v>
      </c>
      <c r="G4" s="194" t="s">
        <v>119</v>
      </c>
      <c r="H4" s="194" t="s">
        <v>116</v>
      </c>
      <c r="I4" s="194" t="s">
        <v>117</v>
      </c>
      <c r="J4" s="194" t="s">
        <v>115</v>
      </c>
      <c r="K4" s="236" t="s">
        <v>72</v>
      </c>
      <c r="L4" s="25" t="s">
        <v>62</v>
      </c>
      <c r="M4" s="25" t="s">
        <v>64</v>
      </c>
      <c r="N4" s="30" t="s">
        <v>53</v>
      </c>
      <c r="O4" s="30" t="s">
        <v>54</v>
      </c>
      <c r="P4" s="30" t="s">
        <v>55</v>
      </c>
      <c r="Q4" s="30" t="s">
        <v>56</v>
      </c>
      <c r="R4" s="30" t="s">
        <v>57</v>
      </c>
      <c r="S4" s="25" t="s">
        <v>66</v>
      </c>
      <c r="T4" s="194" t="s">
        <v>415</v>
      </c>
      <c r="U4" s="179" t="s">
        <v>62</v>
      </c>
      <c r="V4" s="179" t="s">
        <v>64</v>
      </c>
      <c r="W4" s="30" t="s">
        <v>53</v>
      </c>
      <c r="X4" s="30" t="s">
        <v>54</v>
      </c>
      <c r="Y4" s="30" t="s">
        <v>55</v>
      </c>
      <c r="Z4" s="30" t="s">
        <v>56</v>
      </c>
      <c r="AA4" s="30" t="s">
        <v>57</v>
      </c>
    </row>
    <row r="5" spans="1:27" x14ac:dyDescent="0.25">
      <c r="A5" s="12" t="s">
        <v>46</v>
      </c>
      <c r="B5" s="3">
        <v>0.75320399999999998</v>
      </c>
      <c r="C5" s="3" t="s">
        <v>42</v>
      </c>
      <c r="D5" s="3"/>
      <c r="F5" s="194"/>
      <c r="G5" s="194"/>
      <c r="H5" s="194"/>
      <c r="I5" s="194"/>
      <c r="J5" s="194"/>
      <c r="K5" s="237"/>
      <c r="L5" s="25" t="s">
        <v>63</v>
      </c>
      <c r="M5" s="25" t="s">
        <v>65</v>
      </c>
      <c r="N5" s="25" t="s">
        <v>120</v>
      </c>
      <c r="O5" s="25" t="s">
        <v>121</v>
      </c>
      <c r="P5" s="25" t="s">
        <v>122</v>
      </c>
      <c r="Q5" s="25" t="s">
        <v>123</v>
      </c>
      <c r="R5" s="25" t="s">
        <v>124</v>
      </c>
      <c r="S5" s="25" t="s">
        <v>67</v>
      </c>
      <c r="T5" s="194"/>
      <c r="U5" s="179" t="s">
        <v>63</v>
      </c>
      <c r="V5" s="179" t="s">
        <v>65</v>
      </c>
      <c r="W5" s="179" t="s">
        <v>120</v>
      </c>
      <c r="X5" s="179" t="s">
        <v>121</v>
      </c>
      <c r="Y5" s="179" t="s">
        <v>122</v>
      </c>
      <c r="Z5" s="179" t="s">
        <v>123</v>
      </c>
      <c r="AA5" s="179" t="s">
        <v>124</v>
      </c>
    </row>
    <row r="6" spans="1:27" x14ac:dyDescent="0.25">
      <c r="A6" s="3" t="s">
        <v>47</v>
      </c>
      <c r="B6" s="3">
        <v>557.03899999999999</v>
      </c>
      <c r="C6" s="3" t="s">
        <v>45</v>
      </c>
      <c r="D6" s="3"/>
      <c r="F6" s="3">
        <v>12</v>
      </c>
      <c r="G6" s="3">
        <f>100-F6</f>
        <v>88</v>
      </c>
      <c r="H6" s="3">
        <v>7.1999999999999998E-3</v>
      </c>
      <c r="I6" s="3">
        <f>1-H6</f>
        <v>0.99280000000000002</v>
      </c>
      <c r="J6" s="3">
        <f>'Fraksi Volume'!I4</f>
        <v>270.23439648232056</v>
      </c>
      <c r="K6" s="127">
        <f>'Fraksi Volume'!Q4</f>
        <v>10.576976842105262</v>
      </c>
      <c r="L6" s="17">
        <f>G6/100*H6*K6*$B$3/J6*1E-24</f>
        <v>1.4934373361529722E-4</v>
      </c>
      <c r="M6" s="17">
        <f>G6/100*I6*K6*$B$3/J6*1E-24</f>
        <v>2.0592841490731539E-2</v>
      </c>
      <c r="N6" s="17">
        <f>F6/100*$B$16*K6*$B$3/J6*1E-24</f>
        <v>1.3011007095272106E-4</v>
      </c>
      <c r="O6" s="17">
        <f>F6/100*$B$17*K6*$B$3/J6*1E-24</f>
        <v>1.4283823006766116E-3</v>
      </c>
      <c r="P6" s="17">
        <f>F6/100*$B$18*K6*$B$3/J6*1E-24</f>
        <v>6.7883515279680562E-4</v>
      </c>
      <c r="Q6" s="17">
        <f>F6/100*$B$19*K6*$B$3/J6*1E-24</f>
        <v>3.5355997541500293E-4</v>
      </c>
      <c r="R6" s="17">
        <f>F6/100*$B$20*K6*$B$3/J6*1E-24</f>
        <v>2.3759230347888196E-4</v>
      </c>
      <c r="S6" s="17">
        <f>4*$B$3*K6/J6*1E-24</f>
        <v>9.4282660110667438E-2</v>
      </c>
      <c r="T6" s="194"/>
      <c r="U6" s="24">
        <f>L6*'HD FIX'!$B$18</f>
        <v>4.4102784427991928E-5</v>
      </c>
      <c r="V6" s="24">
        <f>M6*'HD FIX'!$B$18</f>
        <v>6.0812839416819978E-3</v>
      </c>
      <c r="W6" s="24">
        <f>N6*'HD FIX'!$B$18</f>
        <v>3.8422880372871757E-5</v>
      </c>
      <c r="X6" s="24">
        <f>O6*'HD FIX'!$B$18</f>
        <v>4.2181640409348338E-4</v>
      </c>
      <c r="Y6" s="24">
        <f>P6*'HD FIX'!$B$18</f>
        <v>2.0046720194541787E-4</v>
      </c>
      <c r="Z6" s="24">
        <f>Q6*'HD FIX'!$B$18</f>
        <v>1.0441000101323848E-4</v>
      </c>
      <c r="AA6" s="24">
        <f>R6*'HD FIX'!$B$18</f>
        <v>7.0163520680896252E-5</v>
      </c>
    </row>
    <row r="7" spans="1:27" x14ac:dyDescent="0.25">
      <c r="A7" s="12" t="s">
        <v>48</v>
      </c>
      <c r="B7" s="3">
        <v>9.0273999999999997E-3</v>
      </c>
      <c r="C7" s="3" t="s">
        <v>42</v>
      </c>
      <c r="D7" s="3" t="s">
        <v>41</v>
      </c>
      <c r="Q7" s="16"/>
      <c r="R7" s="16"/>
    </row>
    <row r="8" spans="1:27" x14ac:dyDescent="0.25">
      <c r="A8" s="12" t="s">
        <v>49</v>
      </c>
      <c r="B8" s="118">
        <v>739.20935368907362</v>
      </c>
      <c r="C8" s="12" t="s">
        <v>45</v>
      </c>
      <c r="D8" s="12"/>
      <c r="F8" s="234" t="s">
        <v>68</v>
      </c>
      <c r="G8" s="235"/>
      <c r="H8" s="18" t="s">
        <v>69</v>
      </c>
      <c r="J8" s="234" t="s">
        <v>30</v>
      </c>
      <c r="K8" s="238"/>
      <c r="L8" s="18" t="s">
        <v>78</v>
      </c>
      <c r="N8" s="234" t="s">
        <v>79</v>
      </c>
      <c r="O8" s="235"/>
      <c r="P8" s="18" t="s">
        <v>80</v>
      </c>
      <c r="R8" s="16"/>
    </row>
    <row r="9" spans="1:27" x14ac:dyDescent="0.25">
      <c r="A9" s="3" t="s">
        <v>50</v>
      </c>
      <c r="B9" s="3">
        <v>1850</v>
      </c>
      <c r="C9" s="3" t="s">
        <v>51</v>
      </c>
      <c r="D9" s="3"/>
      <c r="F9" s="14" t="s">
        <v>70</v>
      </c>
      <c r="G9" s="19"/>
      <c r="H9" s="20"/>
      <c r="J9" s="14" t="s">
        <v>82</v>
      </c>
      <c r="K9" s="19"/>
      <c r="L9" s="23"/>
      <c r="M9" s="19"/>
      <c r="N9" s="14" t="s">
        <v>82</v>
      </c>
    </row>
    <row r="10" spans="1:27" x14ac:dyDescent="0.25">
      <c r="A10" s="12" t="s">
        <v>52</v>
      </c>
      <c r="B10" s="118">
        <v>645.57216968162379</v>
      </c>
      <c r="C10" s="12" t="s">
        <v>45</v>
      </c>
      <c r="D10" s="12"/>
      <c r="F10" s="3">
        <v>4.0026018980937002</v>
      </c>
      <c r="G10" s="16"/>
      <c r="H10" s="20"/>
      <c r="J10" s="3">
        <f>D32</f>
        <v>91.524026957999979</v>
      </c>
      <c r="K10" s="16"/>
      <c r="L10" s="20"/>
      <c r="N10" s="3">
        <f>D32</f>
        <v>91.524026957999979</v>
      </c>
      <c r="O10" s="16"/>
      <c r="P10" s="20"/>
    </row>
    <row r="11" spans="1:27" x14ac:dyDescent="0.25">
      <c r="F11" s="241"/>
      <c r="G11" s="242"/>
      <c r="H11" s="243"/>
      <c r="J11" s="41"/>
      <c r="K11" s="42"/>
      <c r="L11" s="43"/>
      <c r="N11" s="196"/>
      <c r="O11" s="244"/>
      <c r="P11" s="244"/>
    </row>
    <row r="12" spans="1:27" x14ac:dyDescent="0.25">
      <c r="A12" s="196" t="s">
        <v>112</v>
      </c>
      <c r="B12" s="196"/>
      <c r="C12" s="196"/>
      <c r="F12" s="14" t="s">
        <v>59</v>
      </c>
      <c r="G12" s="14" t="s">
        <v>60</v>
      </c>
      <c r="H12" s="14" t="s">
        <v>61</v>
      </c>
      <c r="J12" s="14" t="s">
        <v>59</v>
      </c>
      <c r="K12" s="14" t="s">
        <v>60</v>
      </c>
      <c r="L12" s="14" t="s">
        <v>61</v>
      </c>
      <c r="N12" s="14" t="s">
        <v>59</v>
      </c>
      <c r="O12" s="14" t="s">
        <v>60</v>
      </c>
      <c r="P12" s="14" t="s">
        <v>61</v>
      </c>
    </row>
    <row r="13" spans="1:27" x14ac:dyDescent="0.25">
      <c r="A13" s="12" t="s">
        <v>2</v>
      </c>
      <c r="B13" s="195" t="s">
        <v>113</v>
      </c>
      <c r="C13" s="195"/>
      <c r="F13" s="3" t="s">
        <v>73</v>
      </c>
      <c r="G13" s="3" t="s">
        <v>74</v>
      </c>
      <c r="H13" s="17">
        <f>B3*B7/F10*1E-24</f>
        <v>1.3582233696129912E-3</v>
      </c>
      <c r="J13" s="3" t="s">
        <v>81</v>
      </c>
      <c r="K13" s="3" t="s">
        <v>87</v>
      </c>
      <c r="L13" s="24">
        <f>$B$3*$B$24*B27*1E-24/$J$10</f>
        <v>4.2324966675679684E-2</v>
      </c>
      <c r="N13" s="3" t="s">
        <v>81</v>
      </c>
      <c r="O13" s="3" t="s">
        <v>87</v>
      </c>
      <c r="P13" s="17">
        <f>L13</f>
        <v>4.2324966675679684E-2</v>
      </c>
    </row>
    <row r="14" spans="1:27" x14ac:dyDescent="0.25">
      <c r="A14" s="12" t="s">
        <v>72</v>
      </c>
      <c r="B14" s="25"/>
      <c r="C14" s="25" t="s">
        <v>42</v>
      </c>
      <c r="J14" s="3" t="s">
        <v>83</v>
      </c>
      <c r="K14" s="3" t="s">
        <v>88</v>
      </c>
      <c r="L14" s="24">
        <f>$B$3*$B$24*B28*1E-24/$J$10</f>
        <v>6.4655779957348823E-4</v>
      </c>
      <c r="N14" s="3" t="s">
        <v>83</v>
      </c>
      <c r="O14" s="3" t="s">
        <v>88</v>
      </c>
      <c r="P14" s="17">
        <f>L14</f>
        <v>6.4655779957348823E-4</v>
      </c>
    </row>
    <row r="15" spans="1:27" x14ac:dyDescent="0.25">
      <c r="A15" s="1" t="s">
        <v>75</v>
      </c>
      <c r="B15" s="25" t="s">
        <v>76</v>
      </c>
      <c r="C15" s="25" t="s">
        <v>77</v>
      </c>
      <c r="J15" s="3" t="s">
        <v>84</v>
      </c>
      <c r="K15" s="3" t="s">
        <v>89</v>
      </c>
      <c r="L15" s="24">
        <f>$B$3*$B$24*B29*1E-24/$J$10</f>
        <v>8.6207706609798434E-5</v>
      </c>
      <c r="N15" s="3" t="s">
        <v>84</v>
      </c>
      <c r="O15" s="3" t="s">
        <v>89</v>
      </c>
      <c r="P15" s="17">
        <f>L15</f>
        <v>8.6207706609798434E-5</v>
      </c>
    </row>
    <row r="16" spans="1:27" x14ac:dyDescent="0.25">
      <c r="A16" s="12" t="s">
        <v>53</v>
      </c>
      <c r="B16" s="3">
        <f>4.6/100</f>
        <v>4.5999999999999999E-2</v>
      </c>
      <c r="C16" s="3">
        <v>238.04955989999999</v>
      </c>
      <c r="D16">
        <f>B16*C16</f>
        <v>10.950279755399999</v>
      </c>
      <c r="J16" s="3" t="s">
        <v>85</v>
      </c>
      <c r="K16" s="3" t="s">
        <v>91</v>
      </c>
      <c r="L16" s="24">
        <f>$B$3*$B$24*B30*1E-24/$J$10</f>
        <v>4.3103853304899217E-5</v>
      </c>
      <c r="N16" s="3" t="s">
        <v>85</v>
      </c>
      <c r="O16" s="3" t="s">
        <v>91</v>
      </c>
      <c r="P16" s="17">
        <f>L16</f>
        <v>4.3103853304899217E-5</v>
      </c>
    </row>
    <row r="17" spans="1:16" x14ac:dyDescent="0.25">
      <c r="A17" s="12" t="s">
        <v>54</v>
      </c>
      <c r="B17" s="3">
        <f>50.5/100</f>
        <v>0.505</v>
      </c>
      <c r="C17" s="3">
        <v>239.05216340000001</v>
      </c>
      <c r="D17">
        <f>B17*C17</f>
        <v>120.72134251700001</v>
      </c>
      <c r="J17" s="3" t="s">
        <v>86</v>
      </c>
      <c r="K17" s="3" t="s">
        <v>93</v>
      </c>
      <c r="L17" s="17">
        <f>$B$3*$B$24*B31*1E-24/$J$10</f>
        <v>3.0172697313429449E-6</v>
      </c>
      <c r="N17" s="3" t="s">
        <v>86</v>
      </c>
      <c r="O17" s="3" t="s">
        <v>93</v>
      </c>
      <c r="P17" s="17">
        <f>L17</f>
        <v>3.0172697313429449E-6</v>
      </c>
    </row>
    <row r="18" spans="1:16" x14ac:dyDescent="0.25">
      <c r="A18" s="12" t="s">
        <v>55</v>
      </c>
      <c r="B18" s="3">
        <f>24/100</f>
        <v>0.24</v>
      </c>
      <c r="C18" s="3">
        <v>240.05381349999999</v>
      </c>
      <c r="D18">
        <f>B18*C18</f>
        <v>57.612915239999992</v>
      </c>
    </row>
    <row r="19" spans="1:16" x14ac:dyDescent="0.25">
      <c r="A19" s="12" t="s">
        <v>56</v>
      </c>
      <c r="B19" s="3">
        <f>12.5/100</f>
        <v>0.125</v>
      </c>
      <c r="C19" s="40">
        <v>241.05685149999999</v>
      </c>
      <c r="D19">
        <f>B19*C19</f>
        <v>30.132106437499999</v>
      </c>
      <c r="F19" s="234" t="s">
        <v>31</v>
      </c>
      <c r="G19" s="238"/>
      <c r="H19" s="18" t="s">
        <v>95</v>
      </c>
      <c r="N19" s="234" t="s">
        <v>90</v>
      </c>
      <c r="O19" s="238"/>
      <c r="P19" s="14" t="s">
        <v>104</v>
      </c>
    </row>
    <row r="20" spans="1:16" x14ac:dyDescent="0.25">
      <c r="A20" s="12" t="s">
        <v>57</v>
      </c>
      <c r="B20" s="3">
        <f>8.4/100</f>
        <v>8.4000000000000005E-2</v>
      </c>
      <c r="C20" s="40">
        <v>242.05874259999999</v>
      </c>
      <c r="D20">
        <f>B20*C20</f>
        <v>20.332934378400001</v>
      </c>
      <c r="F20" s="14" t="s">
        <v>97</v>
      </c>
      <c r="G20" s="19"/>
      <c r="H20" s="23"/>
      <c r="N20" s="14" t="s">
        <v>106</v>
      </c>
      <c r="O20" s="16"/>
      <c r="P20" s="20"/>
    </row>
    <row r="21" spans="1:16" x14ac:dyDescent="0.25">
      <c r="D21">
        <f>SUM(D16:D20)</f>
        <v>239.7495783283</v>
      </c>
      <c r="F21" s="3">
        <f>(2*1.00790548)+15.99940493</f>
        <v>18.01521589</v>
      </c>
      <c r="G21" s="16"/>
      <c r="H21" s="20"/>
      <c r="N21" s="3">
        <f>D48</f>
        <v>55.032952715149506</v>
      </c>
      <c r="O21" s="16"/>
      <c r="P21" s="20"/>
    </row>
    <row r="22" spans="1:16" x14ac:dyDescent="0.25">
      <c r="A22" s="196" t="s">
        <v>71</v>
      </c>
      <c r="B22" s="196"/>
      <c r="C22" s="196"/>
      <c r="F22" s="241"/>
      <c r="G22" s="242"/>
      <c r="H22" s="243"/>
      <c r="N22" s="21"/>
      <c r="O22" s="16"/>
      <c r="P22" s="20"/>
    </row>
    <row r="23" spans="1:16" x14ac:dyDescent="0.25">
      <c r="A23" s="12" t="s">
        <v>2</v>
      </c>
      <c r="B23" s="239" t="s">
        <v>386</v>
      </c>
      <c r="C23" s="240"/>
      <c r="F23" s="14" t="s">
        <v>59</v>
      </c>
      <c r="G23" s="14" t="s">
        <v>60</v>
      </c>
      <c r="H23" s="14" t="s">
        <v>61</v>
      </c>
      <c r="N23" s="14" t="s">
        <v>59</v>
      </c>
      <c r="O23" s="14" t="s">
        <v>60</v>
      </c>
      <c r="P23" s="14" t="s">
        <v>61</v>
      </c>
    </row>
    <row r="24" spans="1:16" x14ac:dyDescent="0.25">
      <c r="A24" s="3" t="s">
        <v>72</v>
      </c>
      <c r="B24" s="3">
        <v>6.5508899999999999</v>
      </c>
      <c r="C24" s="3" t="s">
        <v>42</v>
      </c>
      <c r="F24" s="3" t="s">
        <v>100</v>
      </c>
      <c r="G24" s="3" t="s">
        <v>101</v>
      </c>
      <c r="H24" s="17">
        <f>2*$B$3/$F$21*$B$5*1E-24</f>
        <v>5.0356327781491024E-2</v>
      </c>
      <c r="N24" s="3" t="s">
        <v>84</v>
      </c>
      <c r="O24" s="3" t="s">
        <v>89</v>
      </c>
      <c r="P24" s="28">
        <f t="shared" ref="P24:P31" si="0">B40*$B$3*$B$37*1E-24/$N$21</f>
        <v>5.8561438956644285E-2</v>
      </c>
    </row>
    <row r="25" spans="1:16" x14ac:dyDescent="0.25">
      <c r="A25" s="21"/>
      <c r="B25" s="16"/>
      <c r="C25" s="20"/>
      <c r="F25" s="3" t="s">
        <v>66</v>
      </c>
      <c r="G25" s="3" t="s">
        <v>67</v>
      </c>
      <c r="H25" s="17">
        <f>1*$B$3/$F$21*$B$5*1E-24</f>
        <v>2.5178163890745512E-2</v>
      </c>
      <c r="N25" s="3" t="s">
        <v>98</v>
      </c>
      <c r="O25" s="3" t="s">
        <v>107</v>
      </c>
      <c r="P25" s="28">
        <f t="shared" si="0"/>
        <v>2.626269779055727E-5</v>
      </c>
    </row>
    <row r="26" spans="1:16" x14ac:dyDescent="0.25">
      <c r="A26" s="113" t="s">
        <v>75</v>
      </c>
      <c r="B26" s="111" t="s">
        <v>76</v>
      </c>
      <c r="C26" s="111" t="s">
        <v>77</v>
      </c>
      <c r="E26" s="89"/>
      <c r="F26" s="73"/>
      <c r="G26" s="88"/>
      <c r="N26" s="3" t="s">
        <v>85</v>
      </c>
      <c r="O26" s="3" t="s">
        <v>91</v>
      </c>
      <c r="P26" s="28">
        <f t="shared" si="0"/>
        <v>1.7508465193704852E-2</v>
      </c>
    </row>
    <row r="27" spans="1:16" x14ac:dyDescent="0.25">
      <c r="A27" s="125" t="s">
        <v>81</v>
      </c>
      <c r="B27" s="22">
        <v>0.98192999999999997</v>
      </c>
      <c r="C27" s="22">
        <v>91.224000000000004</v>
      </c>
      <c r="D27">
        <f>B27*C27</f>
        <v>89.575582319999995</v>
      </c>
      <c r="E27" s="74"/>
      <c r="N27" s="3" t="s">
        <v>99</v>
      </c>
      <c r="O27" s="3" t="s">
        <v>108</v>
      </c>
      <c r="P27" s="28">
        <f t="shared" si="0"/>
        <v>1.7508465193704851E-3</v>
      </c>
    </row>
    <row r="28" spans="1:16" x14ac:dyDescent="0.25">
      <c r="A28" s="109" t="s">
        <v>83</v>
      </c>
      <c r="B28" s="22">
        <v>1.4999999999999999E-2</v>
      </c>
      <c r="C28" s="22">
        <v>118.71</v>
      </c>
      <c r="D28">
        <f>B28*C28</f>
        <v>1.7806499999999998</v>
      </c>
      <c r="N28" s="3" t="s">
        <v>86</v>
      </c>
      <c r="O28" s="3" t="s">
        <v>93</v>
      </c>
      <c r="P28" s="28">
        <f t="shared" si="0"/>
        <v>8.7542325968524258E-3</v>
      </c>
    </row>
    <row r="29" spans="1:16" x14ac:dyDescent="0.25">
      <c r="A29" s="109" t="s">
        <v>84</v>
      </c>
      <c r="B29" s="22">
        <v>2E-3</v>
      </c>
      <c r="C29" s="22">
        <v>55.844999999999999</v>
      </c>
      <c r="D29">
        <f>B29*C29</f>
        <v>0.11169</v>
      </c>
      <c r="N29" s="3" t="s">
        <v>102</v>
      </c>
      <c r="O29" s="3" t="s">
        <v>109</v>
      </c>
      <c r="P29" s="28">
        <f t="shared" si="0"/>
        <v>3.9394046685835918E-5</v>
      </c>
    </row>
    <row r="30" spans="1:16" x14ac:dyDescent="0.25">
      <c r="A30" s="109" t="s">
        <v>85</v>
      </c>
      <c r="B30" s="22">
        <v>1E-3</v>
      </c>
      <c r="C30" s="22">
        <v>51.996099999999998</v>
      </c>
      <c r="D30">
        <f>B30*C30</f>
        <v>5.1996099999999996E-2</v>
      </c>
      <c r="N30" s="3" t="s">
        <v>103</v>
      </c>
      <c r="O30" s="3" t="s">
        <v>110</v>
      </c>
      <c r="P30" s="28">
        <f t="shared" si="0"/>
        <v>2.626269779055727E-5</v>
      </c>
    </row>
    <row r="31" spans="1:16" x14ac:dyDescent="0.25">
      <c r="A31" s="109" t="s">
        <v>86</v>
      </c>
      <c r="B31" s="22">
        <v>6.9999999999999994E-5</v>
      </c>
      <c r="C31" s="22">
        <v>58.693399999999997</v>
      </c>
      <c r="D31">
        <f>B31*C31</f>
        <v>4.1085379999999993E-3</v>
      </c>
      <c r="N31" s="3" t="s">
        <v>105</v>
      </c>
      <c r="O31" s="3" t="s">
        <v>111</v>
      </c>
      <c r="P31" s="28">
        <f t="shared" si="0"/>
        <v>8.7542325968524256E-4</v>
      </c>
    </row>
    <row r="32" spans="1:16" x14ac:dyDescent="0.25">
      <c r="D32">
        <f>SUM(D27:D31)</f>
        <v>91.524026957999979</v>
      </c>
    </row>
    <row r="35" spans="1:4" x14ac:dyDescent="0.25">
      <c r="A35" s="195" t="s">
        <v>90</v>
      </c>
      <c r="B35" s="195"/>
      <c r="C35" s="195"/>
    </row>
    <row r="36" spans="1:4" x14ac:dyDescent="0.25">
      <c r="A36" s="26" t="s">
        <v>2</v>
      </c>
      <c r="B36" s="195" t="s">
        <v>92</v>
      </c>
      <c r="C36" s="195"/>
    </row>
    <row r="37" spans="1:4" x14ac:dyDescent="0.25">
      <c r="A37" s="3" t="s">
        <v>72</v>
      </c>
      <c r="B37" s="3">
        <v>8</v>
      </c>
      <c r="C37" s="3" t="s">
        <v>94</v>
      </c>
    </row>
    <row r="38" spans="1:4" x14ac:dyDescent="0.25">
      <c r="A38" s="21"/>
      <c r="B38" s="16"/>
      <c r="C38" s="20"/>
    </row>
    <row r="39" spans="1:4" x14ac:dyDescent="0.25">
      <c r="A39" s="14" t="s">
        <v>96</v>
      </c>
      <c r="B39" s="14" t="s">
        <v>76</v>
      </c>
      <c r="C39" s="14" t="s">
        <v>77</v>
      </c>
    </row>
    <row r="40" spans="1:4" x14ac:dyDescent="0.25">
      <c r="A40" s="3" t="s">
        <v>84</v>
      </c>
      <c r="B40" s="3">
        <f>1-(SUM(B41:B47))</f>
        <v>0.66894999999999993</v>
      </c>
      <c r="C40" s="3">
        <v>55.845150199999999</v>
      </c>
      <c r="D40">
        <f t="shared" ref="D40:D47" si="1">C40*B40</f>
        <v>37.357613226289999</v>
      </c>
    </row>
    <row r="41" spans="1:4" x14ac:dyDescent="0.25">
      <c r="A41" s="3" t="s">
        <v>98</v>
      </c>
      <c r="B41" s="3">
        <f>0.03/100</f>
        <v>2.9999999999999997E-4</v>
      </c>
      <c r="C41" s="3">
        <v>12.0107359</v>
      </c>
      <c r="D41">
        <f t="shared" si="1"/>
        <v>3.6032207699999998E-3</v>
      </c>
    </row>
    <row r="42" spans="1:4" x14ac:dyDescent="0.25">
      <c r="A42" s="3" t="s">
        <v>85</v>
      </c>
      <c r="B42" s="3">
        <f>20/100</f>
        <v>0.2</v>
      </c>
      <c r="C42" s="3">
        <v>51.996137500000003</v>
      </c>
      <c r="D42">
        <f t="shared" si="1"/>
        <v>10.399227500000002</v>
      </c>
    </row>
    <row r="43" spans="1:4" x14ac:dyDescent="0.25">
      <c r="A43" s="3" t="s">
        <v>99</v>
      </c>
      <c r="B43" s="3">
        <f>2/100</f>
        <v>0.02</v>
      </c>
      <c r="C43" s="27">
        <v>54.938049599999999</v>
      </c>
      <c r="D43">
        <f t="shared" si="1"/>
        <v>1.0987609920000001</v>
      </c>
    </row>
    <row r="44" spans="1:4" x14ac:dyDescent="0.25">
      <c r="A44" s="3" t="s">
        <v>86</v>
      </c>
      <c r="B44" s="3">
        <f>10/100</f>
        <v>0.1</v>
      </c>
      <c r="C44" s="3">
        <v>58.693356299999998</v>
      </c>
      <c r="D44">
        <f t="shared" si="1"/>
        <v>5.8693356300000001</v>
      </c>
    </row>
    <row r="45" spans="1:4" x14ac:dyDescent="0.25">
      <c r="A45" s="3" t="s">
        <v>102</v>
      </c>
      <c r="B45" s="3">
        <f>0.045/100</f>
        <v>4.4999999999999999E-4</v>
      </c>
      <c r="C45" s="27">
        <v>30.973761509999999</v>
      </c>
      <c r="D45">
        <f t="shared" si="1"/>
        <v>1.39381926795E-2</v>
      </c>
    </row>
    <row r="46" spans="1:4" x14ac:dyDescent="0.25">
      <c r="A46" s="3" t="s">
        <v>103</v>
      </c>
      <c r="B46" s="3">
        <f>0.03/100</f>
        <v>2.9999999999999997E-4</v>
      </c>
      <c r="C46" s="3">
        <v>32.066084699999998</v>
      </c>
      <c r="D46">
        <f t="shared" si="1"/>
        <v>9.6198254099999977E-3</v>
      </c>
    </row>
    <row r="47" spans="1:4" x14ac:dyDescent="0.25">
      <c r="A47" s="3" t="s">
        <v>105</v>
      </c>
      <c r="B47" s="3">
        <f>1/100</f>
        <v>0.01</v>
      </c>
      <c r="C47" s="3">
        <v>28.0854128</v>
      </c>
      <c r="D47">
        <f t="shared" si="1"/>
        <v>0.28085412800000004</v>
      </c>
    </row>
    <row r="48" spans="1:4" x14ac:dyDescent="0.25">
      <c r="D48">
        <f>SUM(D40:D47)</f>
        <v>55.032952715149506</v>
      </c>
    </row>
  </sheetData>
  <mergeCells count="24">
    <mergeCell ref="T4:T6"/>
    <mergeCell ref="B36:C36"/>
    <mergeCell ref="F19:G19"/>
    <mergeCell ref="A22:C22"/>
    <mergeCell ref="B23:C23"/>
    <mergeCell ref="F22:H22"/>
    <mergeCell ref="A12:C12"/>
    <mergeCell ref="B13:C13"/>
    <mergeCell ref="J8:K8"/>
    <mergeCell ref="N11:P11"/>
    <mergeCell ref="A35:C35"/>
    <mergeCell ref="F11:H11"/>
    <mergeCell ref="N19:O19"/>
    <mergeCell ref="N8:O8"/>
    <mergeCell ref="A1:D1"/>
    <mergeCell ref="F8:G8"/>
    <mergeCell ref="L3:S3"/>
    <mergeCell ref="F3:I3"/>
    <mergeCell ref="F4:F5"/>
    <mergeCell ref="G4:G5"/>
    <mergeCell ref="H4:H5"/>
    <mergeCell ref="I4:I5"/>
    <mergeCell ref="J4:J5"/>
    <mergeCell ref="K4:K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7"/>
  <sheetViews>
    <sheetView topLeftCell="BB14" zoomScale="80" zoomScaleNormal="80" workbookViewId="0">
      <selection activeCell="BI24" sqref="BI24"/>
    </sheetView>
  </sheetViews>
  <sheetFormatPr defaultRowHeight="15" x14ac:dyDescent="0.25"/>
  <cols>
    <col min="1" max="1" width="26" bestFit="1" customWidth="1"/>
    <col min="2" max="2" width="13" bestFit="1" customWidth="1"/>
    <col min="3" max="3" width="13.5703125" bestFit="1" customWidth="1"/>
    <col min="4" max="4" width="13" bestFit="1" customWidth="1"/>
    <col min="6" max="6" width="9.28515625" bestFit="1" customWidth="1"/>
    <col min="7" max="7" width="11" bestFit="1" customWidth="1"/>
    <col min="8" max="8" width="14" bestFit="1" customWidth="1"/>
    <col min="9" max="9" width="9.28515625" bestFit="1" customWidth="1"/>
    <col min="10" max="10" width="13" bestFit="1" customWidth="1"/>
    <col min="11" max="11" width="15.7109375" bestFit="1" customWidth="1"/>
    <col min="12" max="14" width="13.140625" bestFit="1" customWidth="1"/>
    <col min="15" max="16" width="13.140625" customWidth="1"/>
    <col min="17" max="17" width="14" bestFit="1" customWidth="1"/>
    <col min="18" max="20" width="13.140625" bestFit="1" customWidth="1"/>
    <col min="21" max="22" width="13.140625" customWidth="1"/>
    <col min="23" max="25" width="13.140625" bestFit="1" customWidth="1"/>
    <col min="26" max="27" width="13.140625" customWidth="1"/>
    <col min="28" max="28" width="13" bestFit="1" customWidth="1"/>
    <col min="29" max="29" width="13.42578125" bestFit="1" customWidth="1"/>
    <col min="30" max="30" width="11.28515625" bestFit="1" customWidth="1"/>
    <col min="31" max="31" width="13.140625" bestFit="1" customWidth="1"/>
    <col min="32" max="32" width="13" bestFit="1" customWidth="1"/>
    <col min="33" max="33" width="10.85546875" bestFit="1" customWidth="1"/>
    <col min="34" max="34" width="13" bestFit="1" customWidth="1"/>
    <col min="35" max="35" width="13.42578125" bestFit="1" customWidth="1"/>
    <col min="36" max="36" width="11.28515625" bestFit="1" customWidth="1"/>
    <col min="37" max="37" width="14.42578125" bestFit="1" customWidth="1"/>
    <col min="38" max="38" width="13.5703125" bestFit="1" customWidth="1"/>
    <col min="42" max="42" width="10.28515625" bestFit="1" customWidth="1"/>
    <col min="43" max="43" width="13.140625" bestFit="1" customWidth="1"/>
    <col min="44" max="44" width="13" bestFit="1" customWidth="1"/>
    <col min="45" max="45" width="10.85546875" bestFit="1" customWidth="1"/>
    <col min="46" max="46" width="12" bestFit="1" customWidth="1"/>
    <col min="47" max="47" width="13.42578125" bestFit="1" customWidth="1"/>
    <col min="48" max="48" width="10.7109375" bestFit="1" customWidth="1"/>
    <col min="49" max="49" width="13.140625" bestFit="1" customWidth="1"/>
    <col min="53" max="53" width="13.42578125" bestFit="1" customWidth="1"/>
    <col min="54" max="54" width="10.7109375" bestFit="1" customWidth="1"/>
    <col min="55" max="55" width="13.140625" bestFit="1" customWidth="1"/>
    <col min="57" max="57" width="10.85546875" bestFit="1" customWidth="1"/>
    <col min="58" max="58" width="13" bestFit="1" customWidth="1"/>
    <col min="59" max="59" width="14" bestFit="1" customWidth="1"/>
    <col min="60" max="60" width="10.140625" bestFit="1" customWidth="1"/>
    <col min="61" max="61" width="13.5703125" bestFit="1" customWidth="1"/>
  </cols>
  <sheetData>
    <row r="1" spans="1:41" x14ac:dyDescent="0.25">
      <c r="A1" s="196" t="s">
        <v>34</v>
      </c>
      <c r="B1" s="196"/>
      <c r="C1" s="196"/>
      <c r="D1" s="196"/>
    </row>
    <row r="2" spans="1:41" x14ac:dyDescent="0.25">
      <c r="A2" s="1" t="s">
        <v>35</v>
      </c>
      <c r="B2" s="1" t="s">
        <v>36</v>
      </c>
      <c r="C2" s="1" t="s">
        <v>37</v>
      </c>
      <c r="D2" s="1" t="s">
        <v>38</v>
      </c>
    </row>
    <row r="3" spans="1:41" x14ac:dyDescent="0.25">
      <c r="A3" s="3" t="s">
        <v>39</v>
      </c>
      <c r="B3" s="11">
        <v>6.0221408570000002E+23</v>
      </c>
      <c r="C3" s="3" t="s">
        <v>40</v>
      </c>
      <c r="D3" s="3" t="s">
        <v>41</v>
      </c>
      <c r="F3" s="195" t="s">
        <v>27</v>
      </c>
      <c r="G3" s="195"/>
      <c r="H3" s="195"/>
      <c r="I3" s="195"/>
      <c r="J3" s="252" t="s">
        <v>58</v>
      </c>
      <c r="K3" s="253"/>
      <c r="L3" s="195" t="s">
        <v>114</v>
      </c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</row>
    <row r="4" spans="1:41" x14ac:dyDescent="0.25">
      <c r="A4" s="3" t="s">
        <v>44</v>
      </c>
      <c r="B4" s="3">
        <v>772.03899999999999</v>
      </c>
      <c r="C4" s="3" t="s">
        <v>45</v>
      </c>
      <c r="D4" s="3"/>
      <c r="F4" s="194" t="s">
        <v>118</v>
      </c>
      <c r="G4" s="194" t="s">
        <v>119</v>
      </c>
      <c r="H4" s="194" t="s">
        <v>116</v>
      </c>
      <c r="I4" s="194" t="s">
        <v>117</v>
      </c>
      <c r="J4" s="194" t="s">
        <v>144</v>
      </c>
      <c r="K4" s="236" t="s">
        <v>72</v>
      </c>
      <c r="L4" s="1" t="s">
        <v>62</v>
      </c>
      <c r="M4" s="1" t="s">
        <v>64</v>
      </c>
      <c r="N4" s="2" t="s">
        <v>53</v>
      </c>
      <c r="O4" s="2" t="s">
        <v>54</v>
      </c>
      <c r="P4" s="2" t="s">
        <v>55</v>
      </c>
      <c r="Q4" s="2" t="s">
        <v>56</v>
      </c>
      <c r="R4" s="2" t="s">
        <v>57</v>
      </c>
      <c r="S4" s="2" t="s">
        <v>130</v>
      </c>
      <c r="T4" s="2" t="s">
        <v>131</v>
      </c>
      <c r="U4" s="2" t="s">
        <v>132</v>
      </c>
      <c r="V4" s="2" t="s">
        <v>133</v>
      </c>
      <c r="W4" s="2" t="s">
        <v>134</v>
      </c>
      <c r="X4" s="2" t="s">
        <v>135</v>
      </c>
      <c r="Y4" s="2" t="s">
        <v>136</v>
      </c>
      <c r="Z4" s="1" t="s">
        <v>66</v>
      </c>
      <c r="AA4" s="247" t="s">
        <v>415</v>
      </c>
      <c r="AB4" s="180" t="s">
        <v>62</v>
      </c>
      <c r="AC4" s="180" t="s">
        <v>64</v>
      </c>
      <c r="AD4" s="2" t="s">
        <v>53</v>
      </c>
      <c r="AE4" s="2" t="s">
        <v>54</v>
      </c>
      <c r="AF4" s="2" t="s">
        <v>55</v>
      </c>
      <c r="AG4" s="2" t="s">
        <v>56</v>
      </c>
      <c r="AH4" s="2" t="s">
        <v>57</v>
      </c>
      <c r="AI4" s="183" t="s">
        <v>130</v>
      </c>
      <c r="AJ4" s="2" t="s">
        <v>131</v>
      </c>
      <c r="AK4" s="2" t="s">
        <v>132</v>
      </c>
      <c r="AL4" s="2" t="s">
        <v>133</v>
      </c>
      <c r="AM4" s="2" t="s">
        <v>134</v>
      </c>
      <c r="AN4" s="2" t="s">
        <v>135</v>
      </c>
      <c r="AO4" s="2" t="s">
        <v>136</v>
      </c>
    </row>
    <row r="5" spans="1:41" x14ac:dyDescent="0.25">
      <c r="A5" s="12" t="s">
        <v>46</v>
      </c>
      <c r="B5" s="3">
        <v>0.75320399999999998</v>
      </c>
      <c r="C5" s="3" t="s">
        <v>42</v>
      </c>
      <c r="D5" s="3"/>
      <c r="F5" s="194"/>
      <c r="G5" s="194"/>
      <c r="H5" s="194"/>
      <c r="I5" s="194"/>
      <c r="J5" s="194"/>
      <c r="K5" s="237"/>
      <c r="L5" s="1" t="s">
        <v>63</v>
      </c>
      <c r="M5" s="1" t="s">
        <v>65</v>
      </c>
      <c r="N5" s="1" t="s">
        <v>120</v>
      </c>
      <c r="O5" s="1" t="s">
        <v>121</v>
      </c>
      <c r="P5" s="1" t="s">
        <v>122</v>
      </c>
      <c r="Q5" s="1" t="s">
        <v>123</v>
      </c>
      <c r="R5" s="1" t="s">
        <v>124</v>
      </c>
      <c r="S5" s="2" t="s">
        <v>137</v>
      </c>
      <c r="T5" s="1" t="s">
        <v>138</v>
      </c>
      <c r="U5" s="1" t="s">
        <v>139</v>
      </c>
      <c r="V5" s="1" t="s">
        <v>140</v>
      </c>
      <c r="W5" s="1" t="s">
        <v>141</v>
      </c>
      <c r="X5" s="1" t="s">
        <v>142</v>
      </c>
      <c r="Y5" s="1" t="s">
        <v>143</v>
      </c>
      <c r="Z5" s="1" t="s">
        <v>67</v>
      </c>
      <c r="AA5" s="247"/>
      <c r="AB5" s="180" t="s">
        <v>63</v>
      </c>
      <c r="AC5" s="180" t="s">
        <v>65</v>
      </c>
      <c r="AD5" s="180" t="s">
        <v>120</v>
      </c>
      <c r="AE5" s="180" t="s">
        <v>121</v>
      </c>
      <c r="AF5" s="180" t="s">
        <v>122</v>
      </c>
      <c r="AG5" s="180" t="s">
        <v>123</v>
      </c>
      <c r="AH5" s="180" t="s">
        <v>124</v>
      </c>
      <c r="AI5" s="183" t="s">
        <v>137</v>
      </c>
      <c r="AJ5" s="180" t="s">
        <v>138</v>
      </c>
      <c r="AK5" s="180" t="s">
        <v>139</v>
      </c>
      <c r="AL5" s="180" t="s">
        <v>140</v>
      </c>
      <c r="AM5" s="180" t="s">
        <v>141</v>
      </c>
      <c r="AN5" s="180" t="s">
        <v>142</v>
      </c>
      <c r="AO5" s="180" t="s">
        <v>143</v>
      </c>
    </row>
    <row r="6" spans="1:41" x14ac:dyDescent="0.25">
      <c r="A6" s="3" t="s">
        <v>47</v>
      </c>
      <c r="B6" s="3">
        <v>557.03899999999999</v>
      </c>
      <c r="C6" s="3" t="s">
        <v>45</v>
      </c>
      <c r="D6" s="3"/>
      <c r="F6" s="3">
        <v>12</v>
      </c>
      <c r="G6" s="3">
        <f>100-F6</f>
        <v>88</v>
      </c>
      <c r="H6" s="3">
        <v>7.1999999999999998E-3</v>
      </c>
      <c r="I6" s="3">
        <f>1-H6</f>
        <v>0.99280000000000002</v>
      </c>
      <c r="J6" s="3">
        <f>'Fraksi Volume'!I14</f>
        <v>270.96331379065765</v>
      </c>
      <c r="K6" s="36">
        <f>'Fraksi Volume'!Q14</f>
        <v>10.536451027630475</v>
      </c>
      <c r="L6" s="36">
        <f>$B$24*G6/100*H6*K6*$B$3/J6*1E-24</f>
        <v>1.4719917827056699E-4</v>
      </c>
      <c r="M6" s="36">
        <f>$B$24*G6/100*I6*K6*$B$3/J6*1E-24</f>
        <v>2.0297131137085964E-2</v>
      </c>
      <c r="N6" s="36">
        <f>$B$24*F6/100*$B$16*K6*$B$3/J6*1E-24</f>
        <v>1.2824170834178184E-4</v>
      </c>
      <c r="O6" s="36">
        <f>$B$24*F6/100*$B$17*K6*$B$3/J6*1E-24</f>
        <v>1.4078709285347789E-3</v>
      </c>
      <c r="P6" s="36">
        <f>$B$24*F6/100*$B$18*K6*$B$3/J6*1E-24</f>
        <v>6.6908717395712275E-4</v>
      </c>
      <c r="Q6" s="36">
        <f>$B$24*F6/100*$B$19*K6*$B$3/J6*1E-24</f>
        <v>3.4848290310266812E-4</v>
      </c>
      <c r="R6" s="36">
        <f>$B$24*F6/100*$B$20*K6*$B$3/J6*1E-24</f>
        <v>2.3418051088499296E-4</v>
      </c>
      <c r="S6" s="90">
        <f>2*$B$25*$B$31*K6*$B$3/J6*1E-24</f>
        <v>7.3998318301544278E-7</v>
      </c>
      <c r="T6" s="36">
        <f>2*$B$25*$B$32*K6*$B$3/J6*1E-24</f>
        <v>8.0658166948683271E-6</v>
      </c>
      <c r="U6" s="36">
        <f>2*$B$25*$B$33*K6*$B$3/J6*1E-24</f>
        <v>5.4758755543142773E-5</v>
      </c>
      <c r="V6" s="36">
        <f>2*$B$25*$B$34*K6*$B$3/J6*1E-24</f>
        <v>7.5737278781630576E-5</v>
      </c>
      <c r="W6" s="36">
        <f>2*$B$25*$B$35*K6*$B$3/J6*1E-24</f>
        <v>5.7903684070958398E-5</v>
      </c>
      <c r="X6" s="36">
        <f>2*$B$25*$B$36*K6*$B$3/J6*1E-24</f>
        <v>9.1905911330517989E-5</v>
      </c>
      <c r="Y6" s="36">
        <f>2*$B$25*$B$37*K6*$B$3/J6*1E-24</f>
        <v>8.0880161903587892E-5</v>
      </c>
      <c r="Z6" s="36">
        <f>7*((2*$B$24)+(3*$B$25))*$B$3*K6/J6*1E-24</f>
        <v>0.32913562127332124</v>
      </c>
      <c r="AA6" s="247"/>
      <c r="AB6" s="36">
        <f>L6*'HD FIX'!$B$18</f>
        <v>4.3469474547671327E-5</v>
      </c>
      <c r="AC6" s="36">
        <f>M6*'HD FIX'!$B$18</f>
        <v>5.9939575459622366E-3</v>
      </c>
      <c r="AD6" s="36">
        <f>N6*'HD FIX'!$B$18</f>
        <v>3.787113312865305E-5</v>
      </c>
      <c r="AE6" s="36">
        <f>O6*'HD FIX'!$B$18</f>
        <v>4.1575917891238672E-4</v>
      </c>
      <c r="AF6" s="36">
        <f>P6*'HD FIX'!$B$18</f>
        <v>1.9758852067123335E-4</v>
      </c>
      <c r="AG6" s="36">
        <f>Q6*'HD FIX'!$B$18</f>
        <v>1.029106878496007E-4</v>
      </c>
      <c r="AH6" s="36">
        <f>R6*'HD FIX'!$B$18</f>
        <v>6.9155982234931666E-5</v>
      </c>
      <c r="AI6" s="36">
        <f>S6*'HD FIX'!$B$18</f>
        <v>2.1852486214745704E-7</v>
      </c>
      <c r="AJ6" s="36">
        <f>T6*'HD FIX'!$B$18</f>
        <v>2.3819209974072821E-6</v>
      </c>
      <c r="AK6" s="36">
        <f>U6*'HD FIX'!$B$18</f>
        <v>1.6170839798911824E-5</v>
      </c>
      <c r="AL6" s="36">
        <f>V6*'HD FIX'!$B$18</f>
        <v>2.236601964079223E-5</v>
      </c>
      <c r="AM6" s="36">
        <f>W6*'HD FIX'!$B$18</f>
        <v>1.7099570463038512E-5</v>
      </c>
      <c r="AN6" s="36">
        <f>X6*'HD FIX'!$B$18</f>
        <v>2.7140787878714162E-5</v>
      </c>
      <c r="AO6" s="36">
        <f>Y6*'HD FIX'!$B$18</f>
        <v>2.3884767432717052E-5</v>
      </c>
    </row>
    <row r="7" spans="1:41" x14ac:dyDescent="0.25">
      <c r="A7" s="12" t="s">
        <v>48</v>
      </c>
      <c r="B7" s="3">
        <v>9.0273999999999997E-3</v>
      </c>
      <c r="C7" s="3" t="s">
        <v>42</v>
      </c>
      <c r="D7" s="3" t="s">
        <v>41</v>
      </c>
    </row>
    <row r="8" spans="1:41" x14ac:dyDescent="0.25">
      <c r="A8" s="12" t="s">
        <v>49</v>
      </c>
      <c r="B8" s="118">
        <v>739.20935368907362</v>
      </c>
      <c r="C8" s="12" t="s">
        <v>45</v>
      </c>
      <c r="D8" s="12"/>
      <c r="F8" s="234" t="s">
        <v>68</v>
      </c>
      <c r="G8" s="235"/>
      <c r="H8" s="18" t="s">
        <v>69</v>
      </c>
      <c r="J8" s="234" t="s">
        <v>30</v>
      </c>
      <c r="K8" s="238"/>
      <c r="L8" s="18" t="s">
        <v>78</v>
      </c>
      <c r="M8" s="15"/>
      <c r="N8" s="234" t="s">
        <v>79</v>
      </c>
      <c r="O8" s="235"/>
      <c r="P8" s="18" t="s">
        <v>80</v>
      </c>
      <c r="R8" s="195" t="s">
        <v>398</v>
      </c>
      <c r="S8" s="195"/>
      <c r="T8" s="195"/>
      <c r="U8" s="195"/>
      <c r="V8" s="195"/>
    </row>
    <row r="9" spans="1:41" x14ac:dyDescent="0.25">
      <c r="A9" s="3" t="s">
        <v>50</v>
      </c>
      <c r="B9" s="3">
        <v>1850</v>
      </c>
      <c r="C9" s="3" t="s">
        <v>51</v>
      </c>
      <c r="D9" s="3"/>
      <c r="F9" s="25" t="s">
        <v>70</v>
      </c>
      <c r="G9" s="19"/>
      <c r="H9" s="20"/>
      <c r="J9" s="111" t="s">
        <v>82</v>
      </c>
      <c r="K9" s="114"/>
      <c r="L9" s="115"/>
      <c r="M9" s="19"/>
      <c r="N9" s="25" t="s">
        <v>82</v>
      </c>
      <c r="O9" s="19"/>
      <c r="P9" s="23"/>
      <c r="R9" s="3">
        <v>1000</v>
      </c>
      <c r="S9" s="3">
        <v>2000</v>
      </c>
      <c r="T9" s="156">
        <v>3000</v>
      </c>
      <c r="U9" s="156">
        <v>4000</v>
      </c>
      <c r="V9" s="156">
        <v>5000</v>
      </c>
    </row>
    <row r="10" spans="1:41" x14ac:dyDescent="0.25">
      <c r="A10" s="12" t="s">
        <v>52</v>
      </c>
      <c r="B10" s="118">
        <v>645.57216968162379</v>
      </c>
      <c r="C10" s="12" t="s">
        <v>45</v>
      </c>
      <c r="D10" s="12"/>
      <c r="F10" s="3">
        <v>4.0026018980937002</v>
      </c>
      <c r="G10" s="16"/>
      <c r="H10" s="20"/>
      <c r="J10" s="3">
        <f>D49</f>
        <v>91.524026957999979</v>
      </c>
      <c r="K10" s="16"/>
      <c r="L10" s="20"/>
      <c r="N10" s="3">
        <f>D49</f>
        <v>91.524026957999979</v>
      </c>
      <c r="O10" s="16"/>
      <c r="P10" s="20"/>
      <c r="R10" s="3">
        <v>6000</v>
      </c>
      <c r="S10" s="3">
        <v>8000</v>
      </c>
      <c r="T10" s="3">
        <v>10000</v>
      </c>
      <c r="U10" s="3">
        <v>12000</v>
      </c>
      <c r="V10" s="3">
        <v>14000</v>
      </c>
    </row>
    <row r="11" spans="1:41" x14ac:dyDescent="0.25">
      <c r="A11" s="3" t="s">
        <v>145</v>
      </c>
      <c r="B11" s="3">
        <v>7.41</v>
      </c>
      <c r="C11" s="3" t="s">
        <v>42</v>
      </c>
      <c r="D11" s="3"/>
      <c r="F11" s="241"/>
      <c r="G11" s="242"/>
      <c r="H11" s="243"/>
      <c r="J11" s="41"/>
      <c r="K11" s="42"/>
      <c r="L11" s="43"/>
      <c r="N11" s="196"/>
      <c r="O11" s="244"/>
      <c r="P11" s="244"/>
      <c r="R11" s="3">
        <v>16000</v>
      </c>
      <c r="S11" s="3">
        <v>20000</v>
      </c>
      <c r="T11" s="3">
        <v>24000</v>
      </c>
      <c r="U11" s="3">
        <v>28000</v>
      </c>
      <c r="V11" s="3">
        <v>32000</v>
      </c>
    </row>
    <row r="12" spans="1:41" x14ac:dyDescent="0.25">
      <c r="F12" s="25" t="s">
        <v>59</v>
      </c>
      <c r="G12" s="25" t="s">
        <v>60</v>
      </c>
      <c r="H12" s="25" t="s">
        <v>61</v>
      </c>
      <c r="J12" s="111" t="s">
        <v>59</v>
      </c>
      <c r="K12" s="111" t="s">
        <v>60</v>
      </c>
      <c r="L12" s="111" t="s">
        <v>61</v>
      </c>
      <c r="N12" s="25" t="s">
        <v>59</v>
      </c>
      <c r="O12" s="25" t="s">
        <v>60</v>
      </c>
      <c r="P12" s="25" t="s">
        <v>61</v>
      </c>
      <c r="R12" s="3">
        <v>40000</v>
      </c>
      <c r="S12" s="3">
        <v>48000</v>
      </c>
      <c r="T12" s="3">
        <v>56000</v>
      </c>
      <c r="U12" s="3">
        <v>64000</v>
      </c>
      <c r="V12" s="3">
        <v>72000</v>
      </c>
    </row>
    <row r="13" spans="1:41" x14ac:dyDescent="0.25">
      <c r="A13" s="196" t="s">
        <v>112</v>
      </c>
      <c r="B13" s="196"/>
      <c r="C13" s="196"/>
      <c r="F13" s="3" t="s">
        <v>73</v>
      </c>
      <c r="G13" s="3" t="s">
        <v>74</v>
      </c>
      <c r="H13" s="17">
        <f>B3*B7/F10*1E-24</f>
        <v>1.3582233696129912E-3</v>
      </c>
      <c r="J13" s="3" t="s">
        <v>81</v>
      </c>
      <c r="K13" s="3" t="s">
        <v>87</v>
      </c>
      <c r="L13" s="24">
        <f>$B$3*$B$41*B44*1E-24/$J$10</f>
        <v>4.2324966675679684E-2</v>
      </c>
      <c r="N13" s="3" t="s">
        <v>81</v>
      </c>
      <c r="O13" s="3" t="s">
        <v>87</v>
      </c>
      <c r="P13" s="17">
        <f>L13</f>
        <v>4.2324966675679684E-2</v>
      </c>
      <c r="R13" s="3">
        <v>80000</v>
      </c>
      <c r="S13" s="3">
        <v>104000</v>
      </c>
      <c r="T13" s="3">
        <v>128000</v>
      </c>
      <c r="U13" s="3">
        <v>152000</v>
      </c>
      <c r="V13" s="3">
        <v>176000</v>
      </c>
    </row>
    <row r="14" spans="1:41" x14ac:dyDescent="0.25">
      <c r="A14" s="12" t="s">
        <v>2</v>
      </c>
      <c r="B14" s="195" t="s">
        <v>113</v>
      </c>
      <c r="C14" s="195"/>
      <c r="J14" s="3" t="s">
        <v>83</v>
      </c>
      <c r="K14" s="3" t="s">
        <v>88</v>
      </c>
      <c r="L14" s="24">
        <f>$B$3*$B$41*B45*1E-24/$J$10</f>
        <v>6.4655779957348823E-4</v>
      </c>
      <c r="N14" s="3" t="s">
        <v>83</v>
      </c>
      <c r="O14" s="3" t="s">
        <v>88</v>
      </c>
      <c r="P14" s="17">
        <f>L14</f>
        <v>6.4655779957348823E-4</v>
      </c>
    </row>
    <row r="15" spans="1:41" x14ac:dyDescent="0.25">
      <c r="A15" s="1" t="s">
        <v>75</v>
      </c>
      <c r="B15" s="25" t="s">
        <v>76</v>
      </c>
      <c r="C15" s="25" t="s">
        <v>77</v>
      </c>
      <c r="J15" s="3" t="s">
        <v>84</v>
      </c>
      <c r="K15" s="3" t="s">
        <v>89</v>
      </c>
      <c r="L15" s="24">
        <f>$B$3*$B$41*B46*1E-24/$J$10</f>
        <v>8.6207706609798434E-5</v>
      </c>
      <c r="N15" s="3" t="s">
        <v>84</v>
      </c>
      <c r="O15" s="3" t="s">
        <v>89</v>
      </c>
      <c r="P15" s="17">
        <f>L15</f>
        <v>8.6207706609798434E-5</v>
      </c>
    </row>
    <row r="16" spans="1:41" x14ac:dyDescent="0.25">
      <c r="A16" s="12" t="s">
        <v>53</v>
      </c>
      <c r="B16" s="3">
        <f>4.6/100</f>
        <v>4.5999999999999999E-2</v>
      </c>
      <c r="C16" s="3">
        <v>238.04955989999999</v>
      </c>
      <c r="D16">
        <f>B16*C16</f>
        <v>10.950279755399999</v>
      </c>
      <c r="J16" s="3" t="s">
        <v>85</v>
      </c>
      <c r="K16" s="3" t="s">
        <v>91</v>
      </c>
      <c r="L16" s="24">
        <f>$B$3*$B$41*B47*1E-24/$J$10</f>
        <v>4.3103853304899217E-5</v>
      </c>
      <c r="N16" s="3" t="s">
        <v>85</v>
      </c>
      <c r="O16" s="3" t="s">
        <v>91</v>
      </c>
      <c r="P16" s="17">
        <f>L16</f>
        <v>4.3103853304899217E-5</v>
      </c>
    </row>
    <row r="17" spans="1:61" x14ac:dyDescent="0.25">
      <c r="A17" s="12" t="s">
        <v>54</v>
      </c>
      <c r="B17" s="3">
        <f>50.5/100</f>
        <v>0.505</v>
      </c>
      <c r="C17" s="3">
        <v>239.05216340000001</v>
      </c>
      <c r="D17">
        <f>B17*C17</f>
        <v>120.72134251700001</v>
      </c>
      <c r="J17" s="3" t="s">
        <v>86</v>
      </c>
      <c r="K17" s="3" t="s">
        <v>93</v>
      </c>
      <c r="L17" s="17">
        <f>$B$3*$B$41*B48*1E-24/$J$10</f>
        <v>3.0172697313429449E-6</v>
      </c>
      <c r="N17" s="3" t="s">
        <v>86</v>
      </c>
      <c r="O17" s="3" t="s">
        <v>93</v>
      </c>
      <c r="P17" s="17">
        <f>L17</f>
        <v>3.0172697313429449E-6</v>
      </c>
    </row>
    <row r="18" spans="1:61" ht="15" customHeight="1" x14ac:dyDescent="0.25">
      <c r="A18" s="12" t="s">
        <v>55</v>
      </c>
      <c r="B18" s="3">
        <f>24/100</f>
        <v>0.24</v>
      </c>
      <c r="C18" s="3">
        <v>240.05381349999999</v>
      </c>
      <c r="D18">
        <f>B18*C18</f>
        <v>57.612915239999992</v>
      </c>
    </row>
    <row r="19" spans="1:61" x14ac:dyDescent="0.25">
      <c r="A19" s="12" t="s">
        <v>56</v>
      </c>
      <c r="B19" s="3">
        <f>12.5/100</f>
        <v>0.125</v>
      </c>
      <c r="C19" s="40">
        <v>241.05685149999999</v>
      </c>
      <c r="D19">
        <f>B19*C19</f>
        <v>30.132106437499999</v>
      </c>
      <c r="F19" s="234" t="s">
        <v>31</v>
      </c>
      <c r="G19" s="238"/>
      <c r="H19" s="18" t="s">
        <v>95</v>
      </c>
      <c r="K19" s="195" t="s">
        <v>399</v>
      </c>
      <c r="L19" s="195"/>
      <c r="M19" s="195"/>
      <c r="N19" s="195" t="s">
        <v>214</v>
      </c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5"/>
      <c r="AZ19" s="195"/>
      <c r="BA19" s="195"/>
      <c r="BB19" s="195"/>
      <c r="BC19" s="195"/>
      <c r="BD19" s="195"/>
      <c r="BE19" s="195"/>
      <c r="BF19" s="195"/>
      <c r="BG19" s="195"/>
      <c r="BH19" s="195"/>
      <c r="BI19" s="195"/>
    </row>
    <row r="20" spans="1:61" x14ac:dyDescent="0.25">
      <c r="A20" s="12" t="s">
        <v>57</v>
      </c>
      <c r="B20" s="3">
        <f>8.4/100</f>
        <v>8.4000000000000005E-2</v>
      </c>
      <c r="C20" s="40">
        <v>242.05874259999999</v>
      </c>
      <c r="D20">
        <f>B20*C20</f>
        <v>20.332934378400001</v>
      </c>
      <c r="F20" s="25" t="s">
        <v>97</v>
      </c>
      <c r="G20" s="19"/>
      <c r="H20" s="23"/>
      <c r="K20" s="157" t="s">
        <v>260</v>
      </c>
      <c r="L20" s="151">
        <f>200+25+14.5</f>
        <v>239.5</v>
      </c>
      <c r="M20" s="151" t="s">
        <v>152</v>
      </c>
      <c r="N20" s="248" t="s">
        <v>388</v>
      </c>
      <c r="O20" s="249"/>
      <c r="P20" s="249"/>
      <c r="Q20" s="249"/>
      <c r="R20" s="249"/>
      <c r="S20" s="250"/>
      <c r="T20" s="251" t="s">
        <v>210</v>
      </c>
      <c r="U20" s="251"/>
      <c r="V20" s="251"/>
      <c r="W20" s="251"/>
      <c r="X20" s="251"/>
      <c r="Y20" s="251"/>
      <c r="Z20" s="195" t="s">
        <v>221</v>
      </c>
      <c r="AA20" s="195"/>
      <c r="AB20" s="195"/>
      <c r="AC20" s="195"/>
      <c r="AD20" s="195"/>
      <c r="AE20" s="195"/>
      <c r="AF20" s="195" t="s">
        <v>215</v>
      </c>
      <c r="AG20" s="195"/>
      <c r="AH20" s="195"/>
      <c r="AI20" s="195"/>
      <c r="AJ20" s="195"/>
      <c r="AK20" s="195"/>
      <c r="AL20" s="195" t="s">
        <v>226</v>
      </c>
      <c r="AM20" s="195"/>
      <c r="AN20" s="195"/>
      <c r="AO20" s="195"/>
      <c r="AP20" s="195"/>
      <c r="AQ20" s="195"/>
      <c r="AR20" s="195" t="s">
        <v>211</v>
      </c>
      <c r="AS20" s="195"/>
      <c r="AT20" s="195"/>
      <c r="AU20" s="195"/>
      <c r="AV20" s="195"/>
      <c r="AW20" s="195"/>
      <c r="AX20" s="195" t="s">
        <v>98</v>
      </c>
      <c r="AY20" s="195"/>
      <c r="AZ20" s="195"/>
      <c r="BA20" s="195"/>
      <c r="BB20" s="195"/>
      <c r="BC20" s="195"/>
      <c r="BD20" s="195" t="s">
        <v>416</v>
      </c>
      <c r="BE20" s="195"/>
      <c r="BF20" s="195"/>
      <c r="BG20" s="195"/>
      <c r="BH20" s="195"/>
      <c r="BI20" s="195"/>
    </row>
    <row r="21" spans="1:61" x14ac:dyDescent="0.25">
      <c r="D21">
        <f>SUM(D16:D20)</f>
        <v>239.7495783283</v>
      </c>
      <c r="F21" s="3">
        <f>(2*1.00790548)+15.99940493</f>
        <v>18.01521589</v>
      </c>
      <c r="G21" s="16"/>
      <c r="H21" s="20"/>
      <c r="K21" s="157" t="s">
        <v>400</v>
      </c>
      <c r="L21" s="151">
        <v>12.5</v>
      </c>
      <c r="M21" s="151" t="s">
        <v>152</v>
      </c>
      <c r="N21" s="45" t="s">
        <v>395</v>
      </c>
      <c r="O21" s="60"/>
      <c r="P21" s="240" t="s">
        <v>213</v>
      </c>
      <c r="Q21" s="239"/>
      <c r="R21" s="55"/>
      <c r="S21" s="56"/>
      <c r="T21" s="63" t="s">
        <v>235</v>
      </c>
      <c r="U21" s="61"/>
      <c r="V21" s="240" t="s">
        <v>213</v>
      </c>
      <c r="W21" s="239"/>
      <c r="X21" s="55"/>
      <c r="Y21" s="56"/>
      <c r="Z21" s="155" t="s">
        <v>232</v>
      </c>
      <c r="AA21" s="46"/>
      <c r="AB21" s="245" t="s">
        <v>213</v>
      </c>
      <c r="AC21" s="245"/>
      <c r="AD21" s="16"/>
      <c r="AE21" s="20"/>
      <c r="AF21" s="62" t="s">
        <v>233</v>
      </c>
      <c r="AG21" s="46"/>
      <c r="AH21" s="245" t="s">
        <v>213</v>
      </c>
      <c r="AI21" s="245"/>
      <c r="AJ21" s="16"/>
      <c r="AK21" s="20"/>
      <c r="AL21" s="62" t="s">
        <v>234</v>
      </c>
      <c r="AM21" s="46"/>
      <c r="AN21" s="245" t="s">
        <v>213</v>
      </c>
      <c r="AO21" s="245"/>
      <c r="AP21" s="16"/>
      <c r="AQ21" s="20"/>
      <c r="AR21" s="62" t="s">
        <v>237</v>
      </c>
      <c r="AS21" s="46"/>
      <c r="AT21" s="245" t="s">
        <v>213</v>
      </c>
      <c r="AU21" s="245"/>
      <c r="AV21" s="16"/>
      <c r="AW21" s="20"/>
      <c r="AX21" s="62" t="s">
        <v>402</v>
      </c>
      <c r="AY21" s="150"/>
      <c r="AZ21" s="245" t="s">
        <v>213</v>
      </c>
      <c r="BA21" s="245"/>
      <c r="BB21" s="16"/>
      <c r="BC21" s="20"/>
      <c r="BD21" s="62" t="s">
        <v>372</v>
      </c>
      <c r="BE21" s="153"/>
      <c r="BF21" s="245" t="s">
        <v>213</v>
      </c>
      <c r="BG21" s="245"/>
      <c r="BH21" s="16"/>
      <c r="BI21" s="20"/>
    </row>
    <row r="22" spans="1:61" x14ac:dyDescent="0.25">
      <c r="F22" s="241"/>
      <c r="G22" s="242"/>
      <c r="H22" s="243"/>
      <c r="K22" s="157" t="s">
        <v>401</v>
      </c>
      <c r="L22" s="151">
        <v>14</v>
      </c>
      <c r="M22" s="151" t="s">
        <v>152</v>
      </c>
      <c r="N22" s="59">
        <v>55.235364606774297</v>
      </c>
      <c r="O22" s="54"/>
      <c r="P22" s="232">
        <v>8</v>
      </c>
      <c r="Q22" s="231"/>
      <c r="R22" s="57"/>
      <c r="S22" s="58"/>
      <c r="T22" s="64">
        <f>SUM(W24:W25)</f>
        <v>193.49435894407458</v>
      </c>
      <c r="U22" s="54"/>
      <c r="V22" s="232">
        <v>9.5299999999999994</v>
      </c>
      <c r="W22" s="231"/>
      <c r="X22" s="57"/>
      <c r="Y22" s="58"/>
      <c r="Z22" s="53">
        <f>SUM(AC24:AC32)</f>
        <v>56.254944744770604</v>
      </c>
      <c r="AA22" s="67"/>
      <c r="AB22" s="196">
        <v>7.74</v>
      </c>
      <c r="AC22" s="196"/>
      <c r="AD22" s="67"/>
      <c r="AE22" s="43"/>
      <c r="AF22" s="3">
        <f>SUM(AI24:AI31)</f>
        <v>56.30490907442119</v>
      </c>
      <c r="AG22" s="67"/>
      <c r="AH22" s="196">
        <v>7.99</v>
      </c>
      <c r="AI22" s="196"/>
      <c r="AJ22" s="67"/>
      <c r="AK22" s="43"/>
      <c r="AL22" s="3">
        <f>SUM(AO24:AO33)</f>
        <v>91.197073234029602</v>
      </c>
      <c r="AM22" s="67"/>
      <c r="AN22" s="196">
        <v>6.57</v>
      </c>
      <c r="AO22" s="196"/>
      <c r="AP22" s="67"/>
      <c r="AQ22" s="43"/>
      <c r="AR22" s="3">
        <f>SUM(AU24:AU26)</f>
        <v>172.20646124170003</v>
      </c>
      <c r="AS22" s="67"/>
      <c r="AT22" s="196">
        <v>15.6</v>
      </c>
      <c r="AU22" s="196"/>
      <c r="AV22" s="67"/>
      <c r="AW22" s="58"/>
      <c r="AX22" s="3">
        <v>12.0107359</v>
      </c>
      <c r="AY22" s="67"/>
      <c r="AZ22" s="196">
        <v>1.7</v>
      </c>
      <c r="BA22" s="196"/>
      <c r="BB22" s="67"/>
      <c r="BC22" s="58"/>
      <c r="BD22" s="59">
        <f>BG24+BG25</f>
        <v>25.011586928358298</v>
      </c>
      <c r="BE22" s="54"/>
      <c r="BF22" s="196">
        <v>2.9931172699999999</v>
      </c>
      <c r="BG22" s="196"/>
      <c r="BH22" s="67"/>
      <c r="BI22" s="58"/>
    </row>
    <row r="23" spans="1:61" x14ac:dyDescent="0.25">
      <c r="A23" s="231" t="s">
        <v>125</v>
      </c>
      <c r="B23" s="232"/>
      <c r="F23" s="25" t="s">
        <v>59</v>
      </c>
      <c r="G23" s="25" t="s">
        <v>60</v>
      </c>
      <c r="H23" s="25" t="s">
        <v>61</v>
      </c>
      <c r="N23" s="44" t="s">
        <v>59</v>
      </c>
      <c r="O23" s="44" t="s">
        <v>76</v>
      </c>
      <c r="P23" s="44" t="s">
        <v>77</v>
      </c>
      <c r="Q23" s="44" t="s">
        <v>212</v>
      </c>
      <c r="R23" s="44" t="s">
        <v>60</v>
      </c>
      <c r="S23" s="44" t="s">
        <v>61</v>
      </c>
      <c r="T23" s="44" t="s">
        <v>59</v>
      </c>
      <c r="U23" s="62" t="s">
        <v>76</v>
      </c>
      <c r="V23" s="44" t="s">
        <v>77</v>
      </c>
      <c r="W23" s="44" t="s">
        <v>216</v>
      </c>
      <c r="X23" s="62" t="s">
        <v>60</v>
      </c>
      <c r="Y23" s="62" t="s">
        <v>61</v>
      </c>
      <c r="Z23" s="44" t="s">
        <v>59</v>
      </c>
      <c r="AA23" s="44" t="s">
        <v>76</v>
      </c>
      <c r="AB23" s="44" t="s">
        <v>77</v>
      </c>
      <c r="AC23" s="44" t="s">
        <v>216</v>
      </c>
      <c r="AD23" s="44" t="s">
        <v>60</v>
      </c>
      <c r="AE23" s="44" t="s">
        <v>61</v>
      </c>
      <c r="AF23" s="44" t="s">
        <v>59</v>
      </c>
      <c r="AG23" s="44" t="s">
        <v>76</v>
      </c>
      <c r="AH23" s="44" t="s">
        <v>77</v>
      </c>
      <c r="AI23" s="44" t="s">
        <v>216</v>
      </c>
      <c r="AJ23" s="44" t="s">
        <v>60</v>
      </c>
      <c r="AK23" s="44" t="s">
        <v>61</v>
      </c>
      <c r="AL23" s="44" t="s">
        <v>59</v>
      </c>
      <c r="AM23" s="44" t="s">
        <v>76</v>
      </c>
      <c r="AN23" s="44" t="s">
        <v>77</v>
      </c>
      <c r="AO23" s="44" t="s">
        <v>216</v>
      </c>
      <c r="AP23" s="44" t="s">
        <v>60</v>
      </c>
      <c r="AQ23" s="44" t="s">
        <v>61</v>
      </c>
      <c r="AR23" s="44" t="s">
        <v>59</v>
      </c>
      <c r="AS23" s="44" t="s">
        <v>76</v>
      </c>
      <c r="AT23" s="44" t="s">
        <v>77</v>
      </c>
      <c r="AU23" s="44" t="s">
        <v>216</v>
      </c>
      <c r="AV23" s="44" t="s">
        <v>60</v>
      </c>
      <c r="AW23" s="44" t="s">
        <v>61</v>
      </c>
      <c r="AX23" s="149" t="s">
        <v>59</v>
      </c>
      <c r="AY23" s="149" t="s">
        <v>76</v>
      </c>
      <c r="AZ23" s="149" t="s">
        <v>77</v>
      </c>
      <c r="BA23" s="149" t="s">
        <v>216</v>
      </c>
      <c r="BB23" s="149" t="s">
        <v>60</v>
      </c>
      <c r="BC23" s="149" t="s">
        <v>61</v>
      </c>
      <c r="BD23" s="158" t="s">
        <v>59</v>
      </c>
      <c r="BE23" s="158" t="s">
        <v>76</v>
      </c>
      <c r="BF23" s="158" t="s">
        <v>77</v>
      </c>
      <c r="BG23" s="158" t="s">
        <v>212</v>
      </c>
      <c r="BH23" s="158" t="s">
        <v>60</v>
      </c>
      <c r="BI23" s="158" t="s">
        <v>61</v>
      </c>
    </row>
    <row r="24" spans="1:61" x14ac:dyDescent="0.25">
      <c r="A24" s="3" t="s">
        <v>112</v>
      </c>
      <c r="B24" s="31">
        <v>0.99209999999999998</v>
      </c>
      <c r="F24" s="3" t="s">
        <v>100</v>
      </c>
      <c r="G24" s="3" t="s">
        <v>101</v>
      </c>
      <c r="H24" s="17">
        <f>2*$B$3/$F$21*$B$5*1E-24</f>
        <v>5.0356327781491024E-2</v>
      </c>
      <c r="N24" s="3" t="s">
        <v>98</v>
      </c>
      <c r="O24" s="3">
        <v>1.3999999999999999E-4</v>
      </c>
      <c r="P24" s="3">
        <f>N22</f>
        <v>55.235364606774297</v>
      </c>
      <c r="Q24" s="3">
        <f>O24*P24</f>
        <v>7.732951044948401E-3</v>
      </c>
      <c r="R24" s="3" t="s">
        <v>107</v>
      </c>
      <c r="S24" s="17">
        <f>O24*$B$3*$P$22/$N$22*1E-24</f>
        <v>1.2211013374957949E-5</v>
      </c>
      <c r="T24" t="s">
        <v>236</v>
      </c>
      <c r="U24" s="66">
        <v>0.92831799999999998</v>
      </c>
      <c r="V24" s="3">
        <v>207.2</v>
      </c>
      <c r="W24" s="3">
        <f>U24*V24</f>
        <v>192.34748959999999</v>
      </c>
      <c r="X24" t="s">
        <v>238</v>
      </c>
      <c r="Y24" s="17">
        <f>$B$3*$V$22*U24*1E-24/$T$22</f>
        <v>2.7534187986804442E-2</v>
      </c>
      <c r="Z24" s="3" t="s">
        <v>86</v>
      </c>
      <c r="AA24" s="22">
        <v>5.0000000000000001E-3</v>
      </c>
      <c r="AB24" s="3">
        <v>58.693356299999998</v>
      </c>
      <c r="AC24" s="3">
        <f>AA24*AB24</f>
        <v>0.2934667815</v>
      </c>
      <c r="AD24" s="3" t="s">
        <v>93</v>
      </c>
      <c r="AE24" s="17">
        <f t="shared" ref="AE24:AE32" si="0">$B$3*$AB$22*AA24*1E-24/$Z$22</f>
        <v>4.1428687242211657E-4</v>
      </c>
      <c r="AF24" s="3" t="s">
        <v>86</v>
      </c>
      <c r="AG24" s="22">
        <v>0.155</v>
      </c>
      <c r="AH24" s="3">
        <v>58.693356299999998</v>
      </c>
      <c r="AI24" s="3">
        <f t="shared" ref="AI24:AI31" si="1">AG24*AH24</f>
        <v>9.0974702265000005</v>
      </c>
      <c r="AJ24" s="3" t="s">
        <v>93</v>
      </c>
      <c r="AK24" s="49">
        <f t="shared" ref="AK24:AK31" si="2">$B$3*$AH$22*AG24*1E-24/$AF$22</f>
        <v>1.3245950427686256E-2</v>
      </c>
      <c r="AL24" s="3" t="s">
        <v>81</v>
      </c>
      <c r="AM24" s="22">
        <v>0.97396000000000005</v>
      </c>
      <c r="AN24" s="22">
        <v>91.224000000000004</v>
      </c>
      <c r="AO24" s="3">
        <f>AM24*AN24</f>
        <v>88.848527040000008</v>
      </c>
      <c r="AP24" s="3" t="s">
        <v>87</v>
      </c>
      <c r="AQ24" s="17">
        <f t="shared" ref="AQ24:AQ33" si="3">$B$3*$AN$22*AM24*1E-24/$AL$22</f>
        <v>4.2254843652483449E-2</v>
      </c>
      <c r="AR24" s="12" t="s">
        <v>222</v>
      </c>
      <c r="AS24" s="65">
        <v>0.93</v>
      </c>
      <c r="AT24" s="3">
        <v>183.84</v>
      </c>
      <c r="AU24" s="3">
        <f>AS24*AT24</f>
        <v>170.97120000000001</v>
      </c>
      <c r="AV24" s="12" t="s">
        <v>223</v>
      </c>
      <c r="AW24" s="17">
        <f>$B$3*$AT$22*AS24*1E-24/$AR$22</f>
        <v>5.0735157626129443E-2</v>
      </c>
      <c r="AX24" s="3" t="s">
        <v>98</v>
      </c>
      <c r="AY24" s="65">
        <v>1</v>
      </c>
      <c r="AZ24" s="3">
        <v>12.0107359</v>
      </c>
      <c r="BA24" s="3">
        <f>AY24*AZ24</f>
        <v>12.0107359</v>
      </c>
      <c r="BB24" s="3" t="s">
        <v>107</v>
      </c>
      <c r="BC24" s="17">
        <f>$B$3*$AZ$22*AY24*1E-24/$AX$22</f>
        <v>8.5237403787223387E-2</v>
      </c>
      <c r="BD24" s="3" t="s">
        <v>417</v>
      </c>
      <c r="BE24" s="3">
        <v>1</v>
      </c>
      <c r="BF24" s="3">
        <v>9.0121819999999992</v>
      </c>
      <c r="BG24" s="3">
        <f>BF24*BE24</f>
        <v>9.0121819999999992</v>
      </c>
      <c r="BH24" s="3" t="s">
        <v>419</v>
      </c>
      <c r="BI24" s="17">
        <f>BE24*$B$3*$BF$22/$BD$22*1E-24</f>
        <v>7.2066494033701106E-2</v>
      </c>
    </row>
    <row r="25" spans="1:61" x14ac:dyDescent="0.25">
      <c r="A25" s="3" t="s">
        <v>126</v>
      </c>
      <c r="B25" s="3">
        <v>7.9000000000000008E-3</v>
      </c>
      <c r="F25" s="3" t="s">
        <v>66</v>
      </c>
      <c r="G25" s="3" t="s">
        <v>67</v>
      </c>
      <c r="H25" s="17">
        <f>1*$B$3/$F$21*$B$5*1E-24</f>
        <v>2.5178163890745512E-2</v>
      </c>
      <c r="N25" s="12" t="s">
        <v>105</v>
      </c>
      <c r="O25" s="3">
        <v>5.0000000000000001E-3</v>
      </c>
      <c r="P25" s="3">
        <v>28.0854128</v>
      </c>
      <c r="Q25" s="3">
        <f t="shared" ref="Q25:Q31" si="4">O25*P25</f>
        <v>0.14042706400000002</v>
      </c>
      <c r="R25" s="3" t="s">
        <v>111</v>
      </c>
      <c r="S25" s="17">
        <f t="shared" ref="S25:S31" si="5">O25*$B$3*$P$22/$N$22*1E-24</f>
        <v>4.3610762053421259E-4</v>
      </c>
      <c r="T25" s="3" t="s">
        <v>66</v>
      </c>
      <c r="U25" s="48">
        <v>7.1681999999999996E-2</v>
      </c>
      <c r="V25" s="51">
        <v>15.999404928358299</v>
      </c>
      <c r="W25" s="3">
        <f>U25*V25</f>
        <v>1.1468693440745794</v>
      </c>
      <c r="X25" s="3" t="s">
        <v>67</v>
      </c>
      <c r="Y25" s="17">
        <f>$B$3*$V$22*U25*1E-24/$T$22</f>
        <v>2.1261094401596394E-3</v>
      </c>
      <c r="Z25" s="3" t="s">
        <v>85</v>
      </c>
      <c r="AA25" s="22">
        <v>0.12</v>
      </c>
      <c r="AB25" s="3">
        <v>51.996137500000003</v>
      </c>
      <c r="AC25" s="3">
        <f>AA25*AB25</f>
        <v>6.2395364999999998</v>
      </c>
      <c r="AD25" s="3" t="s">
        <v>91</v>
      </c>
      <c r="AE25" s="17">
        <f t="shared" si="0"/>
        <v>9.9428849381307995E-3</v>
      </c>
      <c r="AF25" s="3" t="s">
        <v>85</v>
      </c>
      <c r="AG25" s="22">
        <v>0.13500000000000001</v>
      </c>
      <c r="AH25" s="3">
        <v>51.996137500000003</v>
      </c>
      <c r="AI25" s="3">
        <f t="shared" si="1"/>
        <v>7.0194785625000007</v>
      </c>
      <c r="AJ25" s="3" t="s">
        <v>91</v>
      </c>
      <c r="AK25" s="49">
        <f t="shared" si="2"/>
        <v>1.1536795533791253E-2</v>
      </c>
      <c r="AL25" s="3" t="s">
        <v>227</v>
      </c>
      <c r="AM25" s="22">
        <v>2.5000000000000001E-2</v>
      </c>
      <c r="AN25">
        <v>92.906369999999995</v>
      </c>
      <c r="AO25" s="3">
        <f t="shared" ref="AO25:AO33" si="6">AM25*AN25</f>
        <v>2.3226592500000001</v>
      </c>
      <c r="AP25" s="3" t="s">
        <v>228</v>
      </c>
      <c r="AQ25" s="17">
        <f t="shared" si="3"/>
        <v>1.0846144516325992E-3</v>
      </c>
      <c r="AR25" s="3" t="s">
        <v>98</v>
      </c>
      <c r="AS25" s="65">
        <v>6.0999999999999999E-2</v>
      </c>
      <c r="AT25" s="3">
        <v>12.0107359</v>
      </c>
      <c r="AU25" s="3">
        <f>AS25*AT25</f>
        <v>0.73265488990000005</v>
      </c>
      <c r="AV25" s="3" t="s">
        <v>107</v>
      </c>
      <c r="AW25" s="17">
        <f>$B$3*$AT$22*AS25*1E-24/$AR$22</f>
        <v>3.3277899088106403E-3</v>
      </c>
      <c r="BD25" s="12" t="s">
        <v>66</v>
      </c>
      <c r="BE25" s="3">
        <v>1</v>
      </c>
      <c r="BF25" s="51">
        <v>15.999404928358299</v>
      </c>
      <c r="BG25" s="3">
        <f>BF25*BE25</f>
        <v>15.999404928358299</v>
      </c>
      <c r="BH25" s="3" t="s">
        <v>418</v>
      </c>
      <c r="BI25" s="17">
        <f t="shared" ref="BI25" si="7">BE25*$B$3*$BF$22/$BD$22*1E-24</f>
        <v>7.2066494033701106E-2</v>
      </c>
    </row>
    <row r="26" spans="1:61" x14ac:dyDescent="0.25">
      <c r="N26" s="12" t="s">
        <v>102</v>
      </c>
      <c r="O26" s="3">
        <v>2.3000000000000001E-4</v>
      </c>
      <c r="P26" s="27">
        <v>30.973761509999999</v>
      </c>
      <c r="Q26" s="3">
        <f t="shared" si="4"/>
        <v>7.1239651472999998E-3</v>
      </c>
      <c r="R26" s="3" t="s">
        <v>387</v>
      </c>
      <c r="S26" s="17">
        <f t="shared" si="5"/>
        <v>2.0060950544573778E-5</v>
      </c>
      <c r="Z26" s="3" t="s">
        <v>99</v>
      </c>
      <c r="AA26" s="22">
        <v>2E-3</v>
      </c>
      <c r="AB26" s="27">
        <v>54.938049599999999</v>
      </c>
      <c r="AC26" s="3">
        <f>AA26*AB26</f>
        <v>0.10987609920000001</v>
      </c>
      <c r="AD26" s="3" t="s">
        <v>108</v>
      </c>
      <c r="AE26" s="17">
        <f t="shared" si="0"/>
        <v>1.6571474896884662E-4</v>
      </c>
      <c r="AF26" s="3" t="s">
        <v>99</v>
      </c>
      <c r="AG26" s="22">
        <v>0.02</v>
      </c>
      <c r="AH26" s="27">
        <v>54.938049599999999</v>
      </c>
      <c r="AI26" s="3">
        <f t="shared" si="1"/>
        <v>1.0987609920000001</v>
      </c>
      <c r="AJ26" s="3" t="s">
        <v>108</v>
      </c>
      <c r="AK26" s="49">
        <f t="shared" si="2"/>
        <v>1.7091548938950004E-3</v>
      </c>
      <c r="AL26" s="3" t="s">
        <v>84</v>
      </c>
      <c r="AM26" s="22">
        <v>1.4999999999999999E-4</v>
      </c>
      <c r="AN26" s="3">
        <v>55.845150199999999</v>
      </c>
      <c r="AO26" s="3">
        <f>AM26*AN26</f>
        <v>8.3767725299999998E-3</v>
      </c>
      <c r="AP26" s="3" t="s">
        <v>89</v>
      </c>
      <c r="AQ26" s="17">
        <f t="shared" si="3"/>
        <v>6.5076867097955938E-6</v>
      </c>
      <c r="AR26" s="3" t="s">
        <v>84</v>
      </c>
      <c r="AS26" s="32">
        <f>1-AS24-AS25</f>
        <v>8.9999999999999525E-3</v>
      </c>
      <c r="AT26" s="3">
        <v>55.845150199999999</v>
      </c>
      <c r="AU26" s="3">
        <f>AS26*AT26</f>
        <v>0.50260635179999735</v>
      </c>
      <c r="AV26" s="3" t="s">
        <v>89</v>
      </c>
      <c r="AW26" s="17">
        <f>$B$3*$AT$22*AS26*1E-24/$AR$22</f>
        <v>4.9098539638189507E-4</v>
      </c>
    </row>
    <row r="27" spans="1:61" x14ac:dyDescent="0.25">
      <c r="A27" s="3" t="s">
        <v>127</v>
      </c>
      <c r="B27" s="3">
        <v>157.25209770539999</v>
      </c>
      <c r="C27">
        <f>2*B27</f>
        <v>314.50419541079998</v>
      </c>
      <c r="N27" s="12" t="s">
        <v>103</v>
      </c>
      <c r="O27" s="3">
        <v>1.4999999999999999E-4</v>
      </c>
      <c r="P27" s="3">
        <v>32.066084699999998</v>
      </c>
      <c r="Q27" s="3">
        <f t="shared" si="4"/>
        <v>4.8099127049999989E-3</v>
      </c>
      <c r="R27" s="3" t="s">
        <v>110</v>
      </c>
      <c r="S27" s="17">
        <f t="shared" si="5"/>
        <v>1.3083228616026375E-5</v>
      </c>
      <c r="Z27" s="3" t="s">
        <v>217</v>
      </c>
      <c r="AA27" s="22">
        <v>0.01</v>
      </c>
      <c r="AB27" s="47">
        <v>95.931291557059993</v>
      </c>
      <c r="AC27" s="3">
        <f t="shared" ref="AC27:AC32" si="8">AA27*AB27</f>
        <v>0.95931291557059994</v>
      </c>
      <c r="AD27" s="3" t="s">
        <v>218</v>
      </c>
      <c r="AE27" s="17">
        <f t="shared" si="0"/>
        <v>8.2857374484423315E-4</v>
      </c>
      <c r="AF27" s="3" t="s">
        <v>217</v>
      </c>
      <c r="AG27" s="22">
        <v>0.02</v>
      </c>
      <c r="AH27" s="47">
        <v>95.931291557059993</v>
      </c>
      <c r="AI27" s="3">
        <f t="shared" si="1"/>
        <v>1.9186258311411999</v>
      </c>
      <c r="AJ27" s="3" t="s">
        <v>218</v>
      </c>
      <c r="AK27" s="49">
        <f t="shared" si="2"/>
        <v>1.7091548938950004E-3</v>
      </c>
      <c r="AL27" s="3" t="s">
        <v>86</v>
      </c>
      <c r="AM27" s="22">
        <v>6.9999999999999994E-5</v>
      </c>
      <c r="AN27" s="3">
        <v>58.693356299999998</v>
      </c>
      <c r="AO27" s="3">
        <f>AM27*AN27</f>
        <v>4.1085349409999998E-3</v>
      </c>
      <c r="AP27" s="3" t="s">
        <v>93</v>
      </c>
      <c r="AQ27" s="17">
        <f t="shared" si="3"/>
        <v>3.0369204645712769E-6</v>
      </c>
    </row>
    <row r="28" spans="1:61" x14ac:dyDescent="0.25">
      <c r="A28" s="3" t="s">
        <v>128</v>
      </c>
      <c r="B28" s="32">
        <v>15.999404928358299</v>
      </c>
      <c r="C28">
        <f>B28*3</f>
        <v>47.998214785074893</v>
      </c>
      <c r="F28" s="234" t="s">
        <v>90</v>
      </c>
      <c r="G28" s="238"/>
      <c r="H28" s="25" t="s">
        <v>104</v>
      </c>
      <c r="N28" s="12" t="s">
        <v>85</v>
      </c>
      <c r="O28" s="3">
        <v>0.19</v>
      </c>
      <c r="P28" s="3">
        <v>51.996137500000003</v>
      </c>
      <c r="Q28" s="3">
        <f t="shared" si="4"/>
        <v>9.8792661250000009</v>
      </c>
      <c r="R28" s="3" t="s">
        <v>91</v>
      </c>
      <c r="S28" s="17">
        <f t="shared" si="5"/>
        <v>1.6572089580300077E-2</v>
      </c>
      <c r="Z28" s="3" t="s">
        <v>105</v>
      </c>
      <c r="AA28" s="22">
        <v>2.5000000000000001E-3</v>
      </c>
      <c r="AB28" s="3">
        <v>28.0854128</v>
      </c>
      <c r="AC28" s="3">
        <f t="shared" si="8"/>
        <v>7.0213532000000009E-2</v>
      </c>
      <c r="AD28" s="3" t="s">
        <v>111</v>
      </c>
      <c r="AE28" s="17">
        <f t="shared" si="0"/>
        <v>2.0714343621105829E-4</v>
      </c>
      <c r="AF28" s="3" t="s">
        <v>105</v>
      </c>
      <c r="AG28" s="22">
        <v>7.4999999999999997E-3</v>
      </c>
      <c r="AH28" s="3">
        <v>28.0854128</v>
      </c>
      <c r="AI28" s="3">
        <f t="shared" si="1"/>
        <v>0.21064059599999999</v>
      </c>
      <c r="AJ28" s="3" t="s">
        <v>111</v>
      </c>
      <c r="AK28" s="49">
        <f t="shared" si="2"/>
        <v>6.4093308521062512E-4</v>
      </c>
      <c r="AL28" s="3" t="s">
        <v>219</v>
      </c>
      <c r="AM28" s="22">
        <v>3.0000000000000001E-5</v>
      </c>
      <c r="AN28">
        <v>47.866999999999997</v>
      </c>
      <c r="AO28" s="3">
        <f t="shared" si="6"/>
        <v>1.4360099999999999E-3</v>
      </c>
      <c r="AP28" s="13" t="s">
        <v>220</v>
      </c>
      <c r="AQ28" s="17">
        <f t="shared" si="3"/>
        <v>1.3015373419591189E-6</v>
      </c>
    </row>
    <row r="29" spans="1:61" x14ac:dyDescent="0.25">
      <c r="B29" s="16"/>
      <c r="C29">
        <f>SUM(C27:C28)</f>
        <v>362.50241019587486</v>
      </c>
      <c r="F29" s="25" t="s">
        <v>106</v>
      </c>
      <c r="G29" s="16"/>
      <c r="H29" s="20"/>
      <c r="N29" s="12" t="s">
        <v>99</v>
      </c>
      <c r="O29" s="3">
        <v>0.01</v>
      </c>
      <c r="P29" s="27">
        <v>54.938049599999999</v>
      </c>
      <c r="Q29" s="3">
        <f t="shared" si="4"/>
        <v>0.54938049600000005</v>
      </c>
      <c r="R29" s="3" t="s">
        <v>108</v>
      </c>
      <c r="S29" s="17">
        <f t="shared" si="5"/>
        <v>8.7221524106842517E-4</v>
      </c>
      <c r="Z29" s="12" t="s">
        <v>222</v>
      </c>
      <c r="AA29" s="48">
        <f>0.005</f>
        <v>5.0000000000000001E-3</v>
      </c>
      <c r="AB29" s="3">
        <v>183.84</v>
      </c>
      <c r="AC29" s="3">
        <f t="shared" si="8"/>
        <v>0.91920000000000002</v>
      </c>
      <c r="AD29" s="12" t="s">
        <v>223</v>
      </c>
      <c r="AE29" s="17">
        <f t="shared" si="0"/>
        <v>4.1428687242211657E-4</v>
      </c>
      <c r="AF29" s="12" t="s">
        <v>219</v>
      </c>
      <c r="AG29" s="48">
        <v>2.5000000000000001E-3</v>
      </c>
      <c r="AH29">
        <v>47.866999999999997</v>
      </c>
      <c r="AI29" s="3">
        <f t="shared" si="1"/>
        <v>0.1196675</v>
      </c>
      <c r="AJ29" s="13" t="s">
        <v>220</v>
      </c>
      <c r="AK29" s="49">
        <f t="shared" si="2"/>
        <v>2.1364436173687505E-4</v>
      </c>
      <c r="AL29" s="3" t="s">
        <v>98</v>
      </c>
      <c r="AM29" s="48">
        <v>2.0000000000000001E-4</v>
      </c>
      <c r="AN29" s="3">
        <v>12.0107359</v>
      </c>
      <c r="AO29" s="3">
        <f t="shared" si="6"/>
        <v>2.40214718E-3</v>
      </c>
      <c r="AP29" s="3" t="s">
        <v>107</v>
      </c>
      <c r="AQ29" s="17">
        <f t="shared" si="3"/>
        <v>8.6769156130607929E-6</v>
      </c>
    </row>
    <row r="30" spans="1:61" x14ac:dyDescent="0.25">
      <c r="A30" s="25" t="s">
        <v>129</v>
      </c>
      <c r="B30" s="33" t="s">
        <v>76</v>
      </c>
      <c r="F30" s="3">
        <f>D67</f>
        <v>55.032952715149506</v>
      </c>
      <c r="G30" s="16"/>
      <c r="H30" s="20"/>
      <c r="N30" s="12" t="s">
        <v>84</v>
      </c>
      <c r="O30" s="3">
        <v>0.69447999999999999</v>
      </c>
      <c r="P30" s="3">
        <v>55.845150199999999</v>
      </c>
      <c r="Q30" s="3">
        <f t="shared" si="4"/>
        <v>38.783339910895997</v>
      </c>
      <c r="R30" s="3" t="s">
        <v>89</v>
      </c>
      <c r="S30" s="17">
        <f t="shared" si="5"/>
        <v>6.0573604061719979E-2</v>
      </c>
      <c r="Z30" s="12" t="s">
        <v>224</v>
      </c>
      <c r="AA30" s="48">
        <v>5.0000000000000001E-3</v>
      </c>
      <c r="AB30" s="3">
        <v>50.941499999999998</v>
      </c>
      <c r="AC30" s="3">
        <f t="shared" si="8"/>
        <v>0.25470749999999998</v>
      </c>
      <c r="AD30" s="3" t="s">
        <v>225</v>
      </c>
      <c r="AE30" s="17">
        <f t="shared" si="0"/>
        <v>4.1428687242211657E-4</v>
      </c>
      <c r="AF30" s="12" t="s">
        <v>98</v>
      </c>
      <c r="AG30" s="48">
        <v>4.0000000000000002E-4</v>
      </c>
      <c r="AH30" s="3">
        <v>12.0107359</v>
      </c>
      <c r="AI30" s="3">
        <f t="shared" si="1"/>
        <v>4.80429436E-3</v>
      </c>
      <c r="AJ30" s="3" t="s">
        <v>107</v>
      </c>
      <c r="AK30" s="49">
        <f t="shared" si="2"/>
        <v>3.4183097877900014E-5</v>
      </c>
      <c r="AL30" s="3" t="s">
        <v>105</v>
      </c>
      <c r="AM30" s="48">
        <v>4.0000000000000003E-5</v>
      </c>
      <c r="AN30" s="50">
        <v>28.0854128</v>
      </c>
      <c r="AO30" s="3">
        <f t="shared" si="6"/>
        <v>1.123416512E-3</v>
      </c>
      <c r="AP30" s="3" t="s">
        <v>111</v>
      </c>
      <c r="AQ30" s="17">
        <f t="shared" si="3"/>
        <v>1.7353831226121589E-6</v>
      </c>
    </row>
    <row r="31" spans="1:61" x14ac:dyDescent="0.25">
      <c r="A31" s="34" t="s">
        <v>130</v>
      </c>
      <c r="B31" s="35">
        <v>2E-3</v>
      </c>
      <c r="F31" s="21"/>
      <c r="G31" s="16"/>
      <c r="H31" s="20"/>
      <c r="N31" s="12" t="s">
        <v>86</v>
      </c>
      <c r="O31" s="3">
        <v>0.1</v>
      </c>
      <c r="P31" s="3">
        <v>58.693356299999998</v>
      </c>
      <c r="Q31" s="3">
        <f t="shared" si="4"/>
        <v>5.8693356300000001</v>
      </c>
      <c r="R31" s="3" t="s">
        <v>93</v>
      </c>
      <c r="S31" s="17">
        <f t="shared" si="5"/>
        <v>8.7221524106842509E-3</v>
      </c>
      <c r="Z31" s="12" t="s">
        <v>98</v>
      </c>
      <c r="AA31" s="48">
        <v>2E-3</v>
      </c>
      <c r="AB31" s="3">
        <v>12.0107359</v>
      </c>
      <c r="AC31" s="3">
        <f t="shared" si="8"/>
        <v>2.4021471799999999E-2</v>
      </c>
      <c r="AD31" s="3" t="s">
        <v>107</v>
      </c>
      <c r="AE31" s="17">
        <f t="shared" si="0"/>
        <v>1.6571474896884662E-4</v>
      </c>
      <c r="AF31" s="12" t="s">
        <v>84</v>
      </c>
      <c r="AG31" s="48">
        <v>0.65959999999999996</v>
      </c>
      <c r="AH31" s="3">
        <v>55.845150199999999</v>
      </c>
      <c r="AI31" s="3">
        <f t="shared" si="1"/>
        <v>36.835461071919994</v>
      </c>
      <c r="AJ31" s="3" t="s">
        <v>89</v>
      </c>
      <c r="AK31" s="49">
        <f t="shared" si="2"/>
        <v>5.6367928400657116E-2</v>
      </c>
      <c r="AL31" s="3" t="s">
        <v>66</v>
      </c>
      <c r="AM31" s="48">
        <v>5.0000000000000001E-4</v>
      </c>
      <c r="AN31" s="51">
        <v>15.999404928358299</v>
      </c>
      <c r="AO31" s="3">
        <f t="shared" si="6"/>
        <v>7.9997024641791491E-3</v>
      </c>
      <c r="AP31" s="3" t="s">
        <v>67</v>
      </c>
      <c r="AQ31" s="17">
        <f t="shared" si="3"/>
        <v>2.1692289032651981E-5</v>
      </c>
    </row>
    <row r="32" spans="1:61" x14ac:dyDescent="0.25">
      <c r="A32" s="34" t="s">
        <v>131</v>
      </c>
      <c r="B32" s="35">
        <v>2.18E-2</v>
      </c>
      <c r="F32" s="25" t="s">
        <v>59</v>
      </c>
      <c r="G32" s="25" t="s">
        <v>60</v>
      </c>
      <c r="H32" s="25" t="s">
        <v>61</v>
      </c>
      <c r="Z32" s="12" t="s">
        <v>84</v>
      </c>
      <c r="AA32" s="48">
        <v>0.84850000000000003</v>
      </c>
      <c r="AB32" s="3">
        <v>55.845150199999999</v>
      </c>
      <c r="AC32" s="3">
        <f t="shared" si="8"/>
        <v>47.384609944700003</v>
      </c>
      <c r="AD32" s="3" t="s">
        <v>89</v>
      </c>
      <c r="AE32" s="17">
        <f t="shared" si="0"/>
        <v>7.030448225003319E-2</v>
      </c>
      <c r="AL32" s="3" t="s">
        <v>229</v>
      </c>
      <c r="AM32" s="48">
        <v>3.0000000000000001E-5</v>
      </c>
      <c r="AN32" s="52">
        <v>14.006743093606977</v>
      </c>
      <c r="AO32" s="3">
        <f t="shared" si="6"/>
        <v>4.2020229280820932E-4</v>
      </c>
      <c r="AP32" s="3" t="s">
        <v>230</v>
      </c>
      <c r="AQ32" s="17">
        <f t="shared" si="3"/>
        <v>1.3015373419591189E-6</v>
      </c>
    </row>
    <row r="33" spans="1:43" x14ac:dyDescent="0.25">
      <c r="A33" s="34" t="s">
        <v>132</v>
      </c>
      <c r="B33" s="35">
        <v>0.14800000000000002</v>
      </c>
      <c r="F33" s="3" t="s">
        <v>84</v>
      </c>
      <c r="G33" s="3" t="s">
        <v>89</v>
      </c>
      <c r="H33" s="17">
        <f t="shared" ref="H33:H40" si="9">B59*$B$3*$B$56*1E-24/$F$30</f>
        <v>5.8561438956644285E-2</v>
      </c>
      <c r="AL33" s="3" t="s">
        <v>100</v>
      </c>
      <c r="AM33" s="48">
        <v>2.0000000000000002E-5</v>
      </c>
      <c r="AN33" s="52">
        <v>1.007905480049655</v>
      </c>
      <c r="AO33" s="3">
        <f t="shared" si="6"/>
        <v>2.0158109600993102E-5</v>
      </c>
      <c r="AP33" s="3" t="s">
        <v>231</v>
      </c>
      <c r="AQ33" s="17">
        <f t="shared" si="3"/>
        <v>8.6769156130607944E-7</v>
      </c>
    </row>
    <row r="34" spans="1:43" x14ac:dyDescent="0.25">
      <c r="A34" s="34" t="s">
        <v>133</v>
      </c>
      <c r="B34" s="35">
        <v>0.20469999999999999</v>
      </c>
      <c r="F34" s="3" t="s">
        <v>98</v>
      </c>
      <c r="G34" s="3" t="s">
        <v>107</v>
      </c>
      <c r="H34" s="17">
        <f t="shared" si="9"/>
        <v>2.626269779055727E-5</v>
      </c>
    </row>
    <row r="35" spans="1:43" x14ac:dyDescent="0.25">
      <c r="A35" s="34" t="s">
        <v>134</v>
      </c>
      <c r="B35" s="35">
        <v>0.1565</v>
      </c>
      <c r="F35" s="3" t="s">
        <v>85</v>
      </c>
      <c r="G35" s="3" t="s">
        <v>91</v>
      </c>
      <c r="H35" s="17">
        <f t="shared" si="9"/>
        <v>1.7508465193704852E-2</v>
      </c>
    </row>
    <row r="36" spans="1:43" x14ac:dyDescent="0.25">
      <c r="A36" s="34" t="s">
        <v>135</v>
      </c>
      <c r="B36" s="35">
        <v>0.24840000000000001</v>
      </c>
      <c r="F36" s="3" t="s">
        <v>99</v>
      </c>
      <c r="G36" s="3" t="s">
        <v>108</v>
      </c>
      <c r="H36" s="17">
        <f t="shared" si="9"/>
        <v>1.7508465193704851E-3</v>
      </c>
    </row>
    <row r="37" spans="1:43" x14ac:dyDescent="0.25">
      <c r="A37" s="34" t="s">
        <v>136</v>
      </c>
      <c r="B37" s="35">
        <v>0.21859999999999999</v>
      </c>
      <c r="F37" s="3" t="s">
        <v>86</v>
      </c>
      <c r="G37" s="3" t="s">
        <v>93</v>
      </c>
      <c r="H37" s="17">
        <f t="shared" si="9"/>
        <v>8.7542325968524258E-3</v>
      </c>
    </row>
    <row r="38" spans="1:43" x14ac:dyDescent="0.25">
      <c r="F38" s="3" t="s">
        <v>102</v>
      </c>
      <c r="G38" s="3" t="s">
        <v>109</v>
      </c>
      <c r="H38" s="17">
        <f t="shared" si="9"/>
        <v>3.9394046685835918E-5</v>
      </c>
    </row>
    <row r="39" spans="1:43" x14ac:dyDescent="0.25">
      <c r="A39" s="231" t="s">
        <v>71</v>
      </c>
      <c r="B39" s="246"/>
      <c r="C39" s="232"/>
      <c r="F39" s="3" t="s">
        <v>103</v>
      </c>
      <c r="G39" s="3" t="s">
        <v>110</v>
      </c>
      <c r="H39" s="17">
        <f t="shared" si="9"/>
        <v>2.626269779055727E-5</v>
      </c>
    </row>
    <row r="40" spans="1:43" x14ac:dyDescent="0.25">
      <c r="A40" s="12" t="s">
        <v>2</v>
      </c>
      <c r="B40" s="239" t="s">
        <v>386</v>
      </c>
      <c r="C40" s="240"/>
      <c r="F40" s="3" t="s">
        <v>105</v>
      </c>
      <c r="G40" s="3" t="s">
        <v>111</v>
      </c>
      <c r="H40" s="17">
        <f t="shared" si="9"/>
        <v>8.7542325968524256E-4</v>
      </c>
    </row>
    <row r="41" spans="1:43" x14ac:dyDescent="0.25">
      <c r="A41" s="3" t="s">
        <v>72</v>
      </c>
      <c r="B41" s="3">
        <v>6.5508899999999999</v>
      </c>
      <c r="C41" s="3" t="s">
        <v>42</v>
      </c>
    </row>
    <row r="42" spans="1:43" x14ac:dyDescent="0.25">
      <c r="A42" s="21"/>
      <c r="B42" s="16"/>
      <c r="C42" s="20"/>
    </row>
    <row r="43" spans="1:43" x14ac:dyDescent="0.25">
      <c r="A43" s="113" t="s">
        <v>75</v>
      </c>
      <c r="B43" s="111" t="s">
        <v>76</v>
      </c>
      <c r="C43" s="111" t="s">
        <v>77</v>
      </c>
    </row>
    <row r="44" spans="1:43" x14ac:dyDescent="0.25">
      <c r="A44" s="113" t="s">
        <v>81</v>
      </c>
      <c r="B44" s="22">
        <v>0.98192999999999997</v>
      </c>
      <c r="C44" s="22">
        <v>91.224000000000004</v>
      </c>
      <c r="D44">
        <f>B44*C44</f>
        <v>89.575582319999995</v>
      </c>
    </row>
    <row r="45" spans="1:43" x14ac:dyDescent="0.25">
      <c r="A45" s="109" t="s">
        <v>83</v>
      </c>
      <c r="B45" s="22">
        <v>1.4999999999999999E-2</v>
      </c>
      <c r="C45" s="22">
        <v>118.71</v>
      </c>
      <c r="D45">
        <f>B45*C45</f>
        <v>1.7806499999999998</v>
      </c>
    </row>
    <row r="46" spans="1:43" x14ac:dyDescent="0.25">
      <c r="A46" s="109" t="s">
        <v>84</v>
      </c>
      <c r="B46" s="22">
        <v>2E-3</v>
      </c>
      <c r="C46" s="22">
        <v>55.844999999999999</v>
      </c>
      <c r="D46">
        <f>B46*C46</f>
        <v>0.11169</v>
      </c>
    </row>
    <row r="47" spans="1:43" x14ac:dyDescent="0.25">
      <c r="A47" s="109" t="s">
        <v>85</v>
      </c>
      <c r="B47" s="22">
        <v>1E-3</v>
      </c>
      <c r="C47" s="22">
        <v>51.996099999999998</v>
      </c>
      <c r="D47">
        <f>B47*C47</f>
        <v>5.1996099999999996E-2</v>
      </c>
    </row>
    <row r="48" spans="1:43" x14ac:dyDescent="0.25">
      <c r="A48" s="109" t="s">
        <v>86</v>
      </c>
      <c r="B48" s="22">
        <v>6.9999999999999994E-5</v>
      </c>
      <c r="C48" s="22">
        <v>58.693399999999997</v>
      </c>
      <c r="D48">
        <f>B48*C48</f>
        <v>4.1085379999999993E-3</v>
      </c>
    </row>
    <row r="49" spans="1:4" x14ac:dyDescent="0.25">
      <c r="D49">
        <f>SUM(D44:D48)</f>
        <v>91.524026957999979</v>
      </c>
    </row>
    <row r="54" spans="1:4" x14ac:dyDescent="0.25">
      <c r="A54" s="195" t="s">
        <v>90</v>
      </c>
      <c r="B54" s="195"/>
      <c r="C54" s="195"/>
    </row>
    <row r="55" spans="1:4" x14ac:dyDescent="0.25">
      <c r="A55" s="26" t="s">
        <v>2</v>
      </c>
      <c r="B55" s="195" t="s">
        <v>92</v>
      </c>
      <c r="C55" s="195"/>
    </row>
    <row r="56" spans="1:4" x14ac:dyDescent="0.25">
      <c r="A56" s="3" t="s">
        <v>72</v>
      </c>
      <c r="B56" s="3">
        <v>8</v>
      </c>
      <c r="C56" s="3" t="s">
        <v>94</v>
      </c>
    </row>
    <row r="57" spans="1:4" x14ac:dyDescent="0.25">
      <c r="A57" s="21"/>
      <c r="B57" s="16"/>
      <c r="C57" s="20"/>
    </row>
    <row r="58" spans="1:4" x14ac:dyDescent="0.25">
      <c r="A58" s="25" t="s">
        <v>96</v>
      </c>
      <c r="B58" s="25" t="s">
        <v>76</v>
      </c>
      <c r="C58" s="25" t="s">
        <v>77</v>
      </c>
    </row>
    <row r="59" spans="1:4" x14ac:dyDescent="0.25">
      <c r="A59" s="3" t="s">
        <v>84</v>
      </c>
      <c r="B59" s="3">
        <f>1-(SUM(B60:B66))</f>
        <v>0.66894999999999993</v>
      </c>
      <c r="C59" s="3">
        <v>55.845150199999999</v>
      </c>
      <c r="D59">
        <f t="shared" ref="D59:D66" si="10">C59*B59</f>
        <v>37.357613226289999</v>
      </c>
    </row>
    <row r="60" spans="1:4" x14ac:dyDescent="0.25">
      <c r="A60" s="3" t="s">
        <v>98</v>
      </c>
      <c r="B60" s="3">
        <f>0.03/100</f>
        <v>2.9999999999999997E-4</v>
      </c>
      <c r="C60" s="3">
        <v>12.0107359</v>
      </c>
      <c r="D60">
        <f t="shared" si="10"/>
        <v>3.6032207699999998E-3</v>
      </c>
    </row>
    <row r="61" spans="1:4" x14ac:dyDescent="0.25">
      <c r="A61" s="3" t="s">
        <v>85</v>
      </c>
      <c r="B61" s="3">
        <f>20/100</f>
        <v>0.2</v>
      </c>
      <c r="C61" s="3">
        <v>51.996137500000003</v>
      </c>
      <c r="D61">
        <f t="shared" si="10"/>
        <v>10.399227500000002</v>
      </c>
    </row>
    <row r="62" spans="1:4" x14ac:dyDescent="0.25">
      <c r="A62" s="3" t="s">
        <v>99</v>
      </c>
      <c r="B62" s="3">
        <f>2/100</f>
        <v>0.02</v>
      </c>
      <c r="C62" s="27">
        <v>54.938049599999999</v>
      </c>
      <c r="D62">
        <f t="shared" si="10"/>
        <v>1.0987609920000001</v>
      </c>
    </row>
    <row r="63" spans="1:4" x14ac:dyDescent="0.25">
      <c r="A63" s="3" t="s">
        <v>86</v>
      </c>
      <c r="B63" s="3">
        <f>10/100</f>
        <v>0.1</v>
      </c>
      <c r="C63" s="3">
        <v>58.693356299999998</v>
      </c>
      <c r="D63">
        <f t="shared" si="10"/>
        <v>5.8693356300000001</v>
      </c>
    </row>
    <row r="64" spans="1:4" x14ac:dyDescent="0.25">
      <c r="A64" s="3" t="s">
        <v>102</v>
      </c>
      <c r="B64" s="3">
        <f>0.045/100</f>
        <v>4.4999999999999999E-4</v>
      </c>
      <c r="C64" s="27">
        <v>30.973761509999999</v>
      </c>
      <c r="D64">
        <f t="shared" si="10"/>
        <v>1.39381926795E-2</v>
      </c>
    </row>
    <row r="65" spans="1:4" x14ac:dyDescent="0.25">
      <c r="A65" s="3" t="s">
        <v>103</v>
      </c>
      <c r="B65" s="3">
        <f>0.03/100</f>
        <v>2.9999999999999997E-4</v>
      </c>
      <c r="C65" s="3">
        <v>32.066084699999998</v>
      </c>
      <c r="D65">
        <f t="shared" si="10"/>
        <v>9.6198254099999977E-3</v>
      </c>
    </row>
    <row r="66" spans="1:4" x14ac:dyDescent="0.25">
      <c r="A66" s="3" t="s">
        <v>105</v>
      </c>
      <c r="B66" s="3">
        <f>1/100</f>
        <v>0.01</v>
      </c>
      <c r="C66" s="3">
        <v>28.0854128</v>
      </c>
      <c r="D66">
        <f t="shared" si="10"/>
        <v>0.28085412800000004</v>
      </c>
    </row>
    <row r="67" spans="1:4" x14ac:dyDescent="0.25">
      <c r="D67">
        <f>SUM(D59:D66)</f>
        <v>55.032952715149506</v>
      </c>
    </row>
  </sheetData>
  <mergeCells count="53">
    <mergeCell ref="BF21:BG21"/>
    <mergeCell ref="BF22:BG22"/>
    <mergeCell ref="N19:BI19"/>
    <mergeCell ref="A1:D1"/>
    <mergeCell ref="A13:C13"/>
    <mergeCell ref="B14:C14"/>
    <mergeCell ref="AB22:AC22"/>
    <mergeCell ref="AN21:AO21"/>
    <mergeCell ref="AN22:AO22"/>
    <mergeCell ref="V21:W21"/>
    <mergeCell ref="V22:W22"/>
    <mergeCell ref="L3:Z3"/>
    <mergeCell ref="T20:Y20"/>
    <mergeCell ref="J3:K3"/>
    <mergeCell ref="F3:I3"/>
    <mergeCell ref="I4:I5"/>
    <mergeCell ref="BD20:BI20"/>
    <mergeCell ref="N8:O8"/>
    <mergeCell ref="N11:P11"/>
    <mergeCell ref="J8:K8"/>
    <mergeCell ref="N20:S20"/>
    <mergeCell ref="AX20:BC20"/>
    <mergeCell ref="R8:V8"/>
    <mergeCell ref="K19:M19"/>
    <mergeCell ref="AL20:AQ20"/>
    <mergeCell ref="AR20:AW20"/>
    <mergeCell ref="AF20:AK20"/>
    <mergeCell ref="K4:K5"/>
    <mergeCell ref="F8:G8"/>
    <mergeCell ref="F11:H11"/>
    <mergeCell ref="F19:G19"/>
    <mergeCell ref="AB21:AC21"/>
    <mergeCell ref="Z20:AE20"/>
    <mergeCell ref="F4:F5"/>
    <mergeCell ref="G4:G5"/>
    <mergeCell ref="H4:H5"/>
    <mergeCell ref="J4:J5"/>
    <mergeCell ref="AA4:AA6"/>
    <mergeCell ref="B55:C55"/>
    <mergeCell ref="A23:B23"/>
    <mergeCell ref="A39:C39"/>
    <mergeCell ref="F28:G28"/>
    <mergeCell ref="F22:H22"/>
    <mergeCell ref="A54:C54"/>
    <mergeCell ref="AZ21:BA21"/>
    <mergeCell ref="AZ22:BA22"/>
    <mergeCell ref="B40:C40"/>
    <mergeCell ref="AT22:AU22"/>
    <mergeCell ref="AH22:AI22"/>
    <mergeCell ref="P21:Q21"/>
    <mergeCell ref="AH21:AI21"/>
    <mergeCell ref="AT21:AU21"/>
    <mergeCell ref="P22:Q2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75"/>
  <sheetViews>
    <sheetView topLeftCell="B51" zoomScaleNormal="100" workbookViewId="0">
      <selection activeCell="L32" sqref="L32"/>
    </sheetView>
  </sheetViews>
  <sheetFormatPr defaultRowHeight="15" x14ac:dyDescent="0.25"/>
  <cols>
    <col min="7" max="7" width="14.28515625" bestFit="1" customWidth="1"/>
    <col min="8" max="8" width="12" bestFit="1" customWidth="1"/>
    <col min="9" max="14" width="15.28515625" bestFit="1" customWidth="1"/>
    <col min="15" max="16" width="15.28515625" customWidth="1"/>
    <col min="25" max="25" width="14.28515625" bestFit="1" customWidth="1"/>
    <col min="26" max="26" width="12" bestFit="1" customWidth="1"/>
    <col min="27" max="32" width="15.28515625" bestFit="1" customWidth="1"/>
    <col min="33" max="34" width="15.28515625" customWidth="1"/>
    <col min="37" max="37" width="10.7109375" bestFit="1" customWidth="1"/>
    <col min="38" max="38" width="10.85546875" bestFit="1" customWidth="1"/>
    <col min="40" max="46" width="11.28515625" bestFit="1" customWidth="1"/>
    <col min="49" max="49" width="3" bestFit="1" customWidth="1"/>
    <col min="50" max="50" width="10.85546875" bestFit="1" customWidth="1"/>
    <col min="51" max="51" width="13.42578125" bestFit="1" customWidth="1"/>
    <col min="52" max="52" width="3" bestFit="1" customWidth="1"/>
    <col min="53" max="53" width="10.85546875" bestFit="1" customWidth="1"/>
    <col min="54" max="54" width="13.42578125" bestFit="1" customWidth="1"/>
    <col min="55" max="55" width="3" bestFit="1" customWidth="1"/>
    <col min="56" max="56" width="10.85546875" bestFit="1" customWidth="1"/>
    <col min="57" max="57" width="13.42578125" bestFit="1" customWidth="1"/>
    <col min="58" max="58" width="3" bestFit="1" customWidth="1"/>
    <col min="59" max="59" width="10.85546875" bestFit="1" customWidth="1"/>
    <col min="60" max="60" width="13.42578125" bestFit="1" customWidth="1"/>
    <col min="61" max="61" width="3" bestFit="1" customWidth="1"/>
    <col min="63" max="63" width="13.42578125" bestFit="1" customWidth="1"/>
    <col min="64" max="64" width="12.5703125" bestFit="1" customWidth="1"/>
    <col min="65" max="65" width="7.5703125" bestFit="1" customWidth="1"/>
    <col min="66" max="66" width="12.5703125" bestFit="1" customWidth="1"/>
    <col min="67" max="71" width="13.42578125" bestFit="1" customWidth="1"/>
    <col min="75" max="75" width="13.42578125" bestFit="1" customWidth="1"/>
    <col min="81" max="81" width="8" bestFit="1" customWidth="1"/>
    <col min="82" max="82" width="10.85546875" bestFit="1" customWidth="1"/>
    <col min="83" max="84" width="9.5703125" bestFit="1" customWidth="1"/>
    <col min="87" max="87" width="15.28515625" bestFit="1" customWidth="1"/>
    <col min="88" max="89" width="9.5703125" bestFit="1" customWidth="1"/>
    <col min="90" max="90" width="15.140625" bestFit="1" customWidth="1"/>
  </cols>
  <sheetData>
    <row r="1" spans="1:90" x14ac:dyDescent="0.25">
      <c r="G1" s="26" t="s">
        <v>286</v>
      </c>
      <c r="H1" s="69" t="s">
        <v>388</v>
      </c>
      <c r="I1" s="161" t="s">
        <v>388</v>
      </c>
      <c r="J1" s="160" t="s">
        <v>210</v>
      </c>
      <c r="K1" s="69" t="s">
        <v>258</v>
      </c>
      <c r="L1" s="69" t="s">
        <v>257</v>
      </c>
      <c r="M1" s="69" t="s">
        <v>226</v>
      </c>
      <c r="N1" s="129" t="s">
        <v>211</v>
      </c>
      <c r="O1" s="160" t="s">
        <v>287</v>
      </c>
      <c r="P1" s="160" t="s">
        <v>420</v>
      </c>
      <c r="Q1" s="16"/>
      <c r="R1" s="16"/>
      <c r="Y1" s="26" t="s">
        <v>286</v>
      </c>
      <c r="Z1" s="160" t="s">
        <v>388</v>
      </c>
      <c r="AA1" s="161" t="s">
        <v>388</v>
      </c>
      <c r="AB1" s="160" t="s">
        <v>210</v>
      </c>
      <c r="AC1" s="160" t="s">
        <v>258</v>
      </c>
      <c r="AD1" s="160" t="s">
        <v>257</v>
      </c>
      <c r="AE1" s="160" t="s">
        <v>226</v>
      </c>
      <c r="AF1" s="160" t="s">
        <v>211</v>
      </c>
      <c r="AG1" s="160" t="s">
        <v>287</v>
      </c>
      <c r="AH1" s="160" t="s">
        <v>420</v>
      </c>
    </row>
    <row r="2" spans="1:90" x14ac:dyDescent="0.25">
      <c r="G2" s="68" t="s">
        <v>256</v>
      </c>
      <c r="H2" s="69" t="s">
        <v>168</v>
      </c>
      <c r="I2" s="161" t="s">
        <v>168</v>
      </c>
      <c r="J2" s="160" t="s">
        <v>168</v>
      </c>
      <c r="K2" s="128" t="s">
        <v>168</v>
      </c>
      <c r="L2" s="128" t="s">
        <v>168</v>
      </c>
      <c r="M2" s="128" t="s">
        <v>168</v>
      </c>
      <c r="N2" s="128" t="s">
        <v>168</v>
      </c>
      <c r="O2" s="159" t="s">
        <v>168</v>
      </c>
      <c r="P2" s="186" t="s">
        <v>168</v>
      </c>
      <c r="Q2" s="74"/>
      <c r="R2" s="74"/>
      <c r="S2" s="74"/>
      <c r="Y2" s="68" t="s">
        <v>256</v>
      </c>
      <c r="Z2" s="160" t="s">
        <v>168</v>
      </c>
      <c r="AA2" s="161" t="s">
        <v>168</v>
      </c>
      <c r="AB2" s="160" t="s">
        <v>168</v>
      </c>
      <c r="AC2" s="160" t="s">
        <v>168</v>
      </c>
      <c r="AD2" s="160" t="s">
        <v>168</v>
      </c>
      <c r="AE2" s="160" t="s">
        <v>168</v>
      </c>
      <c r="AF2" s="160" t="s">
        <v>168</v>
      </c>
      <c r="AG2" s="160" t="s">
        <v>168</v>
      </c>
      <c r="AH2" s="187" t="s">
        <v>168</v>
      </c>
    </row>
    <row r="3" spans="1:90" x14ac:dyDescent="0.25">
      <c r="G3" s="68" t="s">
        <v>259</v>
      </c>
      <c r="H3" s="12">
        <v>0</v>
      </c>
      <c r="I3" s="10">
        <v>10</v>
      </c>
      <c r="J3" s="12">
        <v>14</v>
      </c>
      <c r="K3" s="12">
        <v>14</v>
      </c>
      <c r="L3" s="12">
        <v>14</v>
      </c>
      <c r="M3" s="12">
        <v>14</v>
      </c>
      <c r="N3" s="12">
        <v>14</v>
      </c>
      <c r="O3" s="12">
        <v>14</v>
      </c>
      <c r="P3" s="12">
        <v>14</v>
      </c>
      <c r="Y3" s="68" t="s">
        <v>259</v>
      </c>
      <c r="Z3" s="12">
        <v>0</v>
      </c>
      <c r="AA3" s="10">
        <v>14</v>
      </c>
      <c r="AB3" s="12">
        <v>14</v>
      </c>
      <c r="AC3" s="12">
        <v>14</v>
      </c>
      <c r="AD3" s="12">
        <v>14</v>
      </c>
      <c r="AE3" s="12">
        <v>14</v>
      </c>
      <c r="AF3" s="12">
        <v>14</v>
      </c>
      <c r="AG3" s="12">
        <v>14</v>
      </c>
      <c r="AH3" s="12">
        <v>14</v>
      </c>
    </row>
    <row r="4" spans="1:90" x14ac:dyDescent="0.25">
      <c r="G4" s="70" t="s">
        <v>150</v>
      </c>
      <c r="H4" s="75">
        <v>165</v>
      </c>
      <c r="I4" s="162">
        <v>165</v>
      </c>
      <c r="J4" s="75">
        <v>165</v>
      </c>
      <c r="K4" s="75">
        <v>165</v>
      </c>
      <c r="L4" s="75">
        <v>165</v>
      </c>
      <c r="M4" s="75">
        <v>165</v>
      </c>
      <c r="N4" s="75">
        <v>165</v>
      </c>
      <c r="O4" s="75">
        <v>165</v>
      </c>
      <c r="P4" s="75">
        <v>165</v>
      </c>
      <c r="Y4" s="70" t="s">
        <v>150</v>
      </c>
      <c r="Z4" s="75">
        <v>165</v>
      </c>
      <c r="AA4" s="162">
        <v>165</v>
      </c>
      <c r="AB4" s="75">
        <v>165</v>
      </c>
      <c r="AC4" s="75">
        <v>165</v>
      </c>
      <c r="AD4" s="75">
        <v>165</v>
      </c>
      <c r="AE4" s="75">
        <v>165</v>
      </c>
      <c r="AF4" s="75">
        <v>165</v>
      </c>
      <c r="AG4" s="75">
        <v>165</v>
      </c>
      <c r="AH4" s="75">
        <v>165</v>
      </c>
    </row>
    <row r="5" spans="1:90" x14ac:dyDescent="0.25">
      <c r="A5" s="76"/>
      <c r="B5" s="76"/>
      <c r="C5" s="76"/>
      <c r="D5" s="76"/>
      <c r="E5" s="76"/>
      <c r="F5" s="76"/>
      <c r="G5" s="70" t="s">
        <v>260</v>
      </c>
      <c r="H5" s="77">
        <v>200</v>
      </c>
      <c r="I5" s="162">
        <v>200</v>
      </c>
      <c r="J5" s="75">
        <v>200</v>
      </c>
      <c r="K5" s="75">
        <v>200</v>
      </c>
      <c r="L5" s="75">
        <v>200</v>
      </c>
      <c r="M5" s="75">
        <v>200</v>
      </c>
      <c r="N5" s="75">
        <v>200</v>
      </c>
      <c r="O5" s="75">
        <v>200</v>
      </c>
      <c r="P5" s="75">
        <v>200</v>
      </c>
      <c r="Y5" s="70" t="s">
        <v>260</v>
      </c>
      <c r="Z5" s="77">
        <v>200</v>
      </c>
      <c r="AA5" s="162">
        <v>200</v>
      </c>
      <c r="AB5" s="75">
        <v>200</v>
      </c>
      <c r="AC5" s="75">
        <v>200</v>
      </c>
      <c r="AD5" s="75">
        <v>200</v>
      </c>
      <c r="AE5" s="75">
        <v>200</v>
      </c>
      <c r="AF5" s="75">
        <v>200</v>
      </c>
      <c r="AG5" s="75">
        <v>200</v>
      </c>
      <c r="AH5" s="75">
        <v>200</v>
      </c>
    </row>
    <row r="6" spans="1:90" x14ac:dyDescent="0.25">
      <c r="A6" s="76"/>
      <c r="B6" s="76"/>
      <c r="C6" s="76"/>
      <c r="D6" s="76"/>
      <c r="E6" s="76"/>
      <c r="F6" s="76"/>
      <c r="G6" s="70" t="s">
        <v>247</v>
      </c>
      <c r="H6" s="77">
        <f t="shared" ref="H6:N6" si="0">H5/H4</f>
        <v>1.2121212121212122</v>
      </c>
      <c r="I6" s="163">
        <f t="shared" si="0"/>
        <v>1.2121212121212122</v>
      </c>
      <c r="J6" s="77">
        <f t="shared" si="0"/>
        <v>1.2121212121212122</v>
      </c>
      <c r="K6" s="77">
        <f t="shared" si="0"/>
        <v>1.2121212121212122</v>
      </c>
      <c r="L6" s="77">
        <f t="shared" si="0"/>
        <v>1.2121212121212122</v>
      </c>
      <c r="M6" s="77">
        <f t="shared" si="0"/>
        <v>1.2121212121212122</v>
      </c>
      <c r="N6" s="77">
        <f t="shared" si="0"/>
        <v>1.2121212121212122</v>
      </c>
      <c r="O6" s="77">
        <f t="shared" ref="O6:P6" si="1">O5/O4</f>
        <v>1.2121212121212122</v>
      </c>
      <c r="P6" s="77">
        <f t="shared" si="1"/>
        <v>1.2121212121212122</v>
      </c>
      <c r="Y6" s="70" t="s">
        <v>247</v>
      </c>
      <c r="Z6" s="77">
        <f t="shared" ref="Z6:AH6" si="2">Z5/Z4</f>
        <v>1.2121212121212122</v>
      </c>
      <c r="AA6" s="163">
        <f t="shared" si="2"/>
        <v>1.2121212121212122</v>
      </c>
      <c r="AB6" s="77">
        <f t="shared" si="2"/>
        <v>1.2121212121212122</v>
      </c>
      <c r="AC6" s="77">
        <f t="shared" si="2"/>
        <v>1.2121212121212122</v>
      </c>
      <c r="AD6" s="77">
        <f t="shared" si="2"/>
        <v>1.2121212121212122</v>
      </c>
      <c r="AE6" s="77">
        <f t="shared" si="2"/>
        <v>1.2121212121212122</v>
      </c>
      <c r="AF6" s="77">
        <f t="shared" si="2"/>
        <v>1.2121212121212122</v>
      </c>
      <c r="AG6" s="77">
        <f t="shared" si="2"/>
        <v>1.2121212121212122</v>
      </c>
      <c r="AH6" s="77">
        <f t="shared" si="2"/>
        <v>1.2121212121212122</v>
      </c>
      <c r="CC6" s="3" t="s">
        <v>266</v>
      </c>
      <c r="CD6" s="190" t="s">
        <v>271</v>
      </c>
      <c r="CE6" s="160" t="s">
        <v>388</v>
      </c>
      <c r="CF6" s="160" t="s">
        <v>210</v>
      </c>
      <c r="CG6" s="160" t="s">
        <v>258</v>
      </c>
      <c r="CH6" s="160" t="s">
        <v>257</v>
      </c>
      <c r="CI6" s="160" t="s">
        <v>226</v>
      </c>
      <c r="CJ6" s="160" t="s">
        <v>211</v>
      </c>
      <c r="CK6" s="160" t="s">
        <v>287</v>
      </c>
      <c r="CL6" s="160" t="s">
        <v>420</v>
      </c>
    </row>
    <row r="7" spans="1:90" x14ac:dyDescent="0.25">
      <c r="G7" s="70" t="s">
        <v>245</v>
      </c>
      <c r="H7" s="3">
        <v>23</v>
      </c>
      <c r="I7" s="10">
        <v>23</v>
      </c>
      <c r="J7" s="12">
        <v>23</v>
      </c>
      <c r="K7" s="12">
        <v>23</v>
      </c>
      <c r="L7" s="12">
        <v>23</v>
      </c>
      <c r="M7" s="12">
        <v>23</v>
      </c>
      <c r="N7" s="12">
        <v>23</v>
      </c>
      <c r="O7" s="12">
        <v>23</v>
      </c>
      <c r="P7" s="12">
        <v>23</v>
      </c>
      <c r="Y7" s="70" t="s">
        <v>245</v>
      </c>
      <c r="Z7" s="12">
        <v>23</v>
      </c>
      <c r="AA7" s="10">
        <v>23</v>
      </c>
      <c r="AB7" s="12">
        <v>23</v>
      </c>
      <c r="AC7" s="12">
        <v>23</v>
      </c>
      <c r="AD7" s="12">
        <v>23</v>
      </c>
      <c r="AE7" s="12">
        <v>23</v>
      </c>
      <c r="AF7" s="12">
        <v>23</v>
      </c>
      <c r="AG7" s="12">
        <v>23</v>
      </c>
      <c r="AH7" s="12">
        <v>23</v>
      </c>
      <c r="CC7" s="3">
        <v>365.25</v>
      </c>
      <c r="CD7" s="3">
        <v>1.0850519000000001</v>
      </c>
      <c r="CE7" s="3">
        <v>1.0430387000000001</v>
      </c>
      <c r="CF7" s="3">
        <v>1.0430187</v>
      </c>
      <c r="CG7" s="3">
        <v>1.0429989</v>
      </c>
      <c r="CH7" s="3">
        <v>1.0430360000000001</v>
      </c>
      <c r="CI7" s="3">
        <v>1.0429907</v>
      </c>
      <c r="CJ7" s="3">
        <v>1.0428816000000001</v>
      </c>
      <c r="CK7" s="3">
        <v>1.0431629</v>
      </c>
      <c r="CL7" s="3">
        <v>1.0434608000000001</v>
      </c>
    </row>
    <row r="8" spans="1:90" x14ac:dyDescent="0.25">
      <c r="A8" s="67"/>
      <c r="B8" s="67"/>
      <c r="C8" s="67"/>
      <c r="D8" s="67"/>
      <c r="E8" s="67"/>
      <c r="F8" s="67"/>
      <c r="G8" s="70" t="s">
        <v>246</v>
      </c>
      <c r="H8" s="3">
        <v>14</v>
      </c>
      <c r="I8" s="10">
        <v>14</v>
      </c>
      <c r="J8" s="12">
        <v>14</v>
      </c>
      <c r="K8" s="12">
        <v>14</v>
      </c>
      <c r="L8" s="12">
        <v>14</v>
      </c>
      <c r="M8" s="12">
        <v>14</v>
      </c>
      <c r="N8" s="12">
        <v>14</v>
      </c>
      <c r="O8" s="12">
        <v>14</v>
      </c>
      <c r="P8" s="12">
        <v>14</v>
      </c>
      <c r="Q8" s="16"/>
      <c r="S8" s="67"/>
      <c r="T8" s="67"/>
      <c r="U8" s="67"/>
      <c r="V8" s="67"/>
      <c r="W8" s="67"/>
      <c r="X8" s="58"/>
      <c r="Y8" s="70" t="s">
        <v>246</v>
      </c>
      <c r="Z8" s="12">
        <v>14</v>
      </c>
      <c r="AA8" s="10">
        <v>14</v>
      </c>
      <c r="AB8" s="12">
        <v>14</v>
      </c>
      <c r="AC8" s="12">
        <v>14</v>
      </c>
      <c r="AD8" s="12">
        <v>14</v>
      </c>
      <c r="AE8" s="12">
        <v>14</v>
      </c>
      <c r="AF8" s="12">
        <v>14</v>
      </c>
      <c r="AG8" s="12">
        <v>14</v>
      </c>
      <c r="AH8" s="12">
        <v>14</v>
      </c>
      <c r="AW8" s="257" t="s">
        <v>407</v>
      </c>
      <c r="AX8" s="257"/>
      <c r="AY8" s="257"/>
      <c r="AZ8" s="257"/>
      <c r="BA8" s="257"/>
      <c r="BB8" s="257"/>
      <c r="BC8" s="257"/>
      <c r="BD8" s="257"/>
      <c r="BE8" s="257"/>
      <c r="BF8" s="257"/>
      <c r="BG8" s="257"/>
      <c r="BH8" s="257"/>
      <c r="BI8" s="257"/>
      <c r="BJ8" s="257"/>
      <c r="BK8" s="257"/>
      <c r="BL8" s="257"/>
      <c r="BM8" s="257"/>
      <c r="BN8" s="257"/>
      <c r="BO8" s="257"/>
      <c r="BP8" s="257"/>
      <c r="BQ8" s="257"/>
      <c r="BR8" s="257"/>
      <c r="BS8" s="257"/>
      <c r="CC8" s="3">
        <v>730.5</v>
      </c>
      <c r="CD8" s="80">
        <v>1.0540456</v>
      </c>
      <c r="CE8" s="3">
        <v>1.0332698</v>
      </c>
      <c r="CF8" s="3">
        <v>1.0332387999999999</v>
      </c>
      <c r="CG8" s="3">
        <v>1.0332029</v>
      </c>
      <c r="CH8" s="3">
        <v>1.0332608999999999</v>
      </c>
      <c r="CI8" s="3">
        <v>1.0331904000000001</v>
      </c>
      <c r="CJ8" s="3">
        <v>1.0329832000000001</v>
      </c>
      <c r="CK8" s="3">
        <v>1.0334951999999999</v>
      </c>
      <c r="CL8" s="3">
        <v>1.0339887000000001</v>
      </c>
    </row>
    <row r="9" spans="1:90" ht="15" customHeight="1" x14ac:dyDescent="0.25">
      <c r="A9" s="261" t="s">
        <v>262</v>
      </c>
      <c r="B9" s="54"/>
      <c r="C9" s="261" t="s">
        <v>263</v>
      </c>
      <c r="D9" s="237" t="s">
        <v>264</v>
      </c>
      <c r="E9" s="261" t="s">
        <v>265</v>
      </c>
      <c r="F9" s="261" t="s">
        <v>266</v>
      </c>
      <c r="G9" s="202" t="s">
        <v>267</v>
      </c>
      <c r="H9" s="195" t="s">
        <v>268</v>
      </c>
      <c r="I9" s="195"/>
      <c r="J9" s="195"/>
      <c r="K9" s="195"/>
      <c r="L9" s="195"/>
      <c r="M9" s="195"/>
      <c r="N9" s="195"/>
      <c r="O9" s="195"/>
      <c r="P9" s="195"/>
      <c r="S9" s="262" t="s">
        <v>262</v>
      </c>
      <c r="T9" s="54"/>
      <c r="U9" s="262" t="s">
        <v>263</v>
      </c>
      <c r="V9" s="236" t="s">
        <v>264</v>
      </c>
      <c r="W9" s="262" t="s">
        <v>265</v>
      </c>
      <c r="X9" s="262" t="s">
        <v>266</v>
      </c>
      <c r="Y9" s="262" t="s">
        <v>267</v>
      </c>
      <c r="Z9" s="263" t="s">
        <v>269</v>
      </c>
      <c r="AA9" s="264"/>
      <c r="AB9" s="264"/>
      <c r="AC9" s="264"/>
      <c r="AD9" s="264"/>
      <c r="AE9" s="264"/>
      <c r="AF9" s="264"/>
      <c r="AG9" s="264"/>
      <c r="AH9" s="264"/>
      <c r="AI9" s="78"/>
      <c r="AJ9" s="78"/>
      <c r="AL9" s="202" t="s">
        <v>261</v>
      </c>
      <c r="AM9" s="202"/>
      <c r="AN9" s="202"/>
      <c r="AO9" s="202"/>
      <c r="AP9" s="202"/>
      <c r="AQ9" s="202"/>
      <c r="AR9" s="202"/>
      <c r="AS9" s="202"/>
      <c r="AT9" s="202"/>
      <c r="AW9" s="257" t="s">
        <v>296</v>
      </c>
      <c r="AX9" s="257"/>
      <c r="AY9" s="257"/>
      <c r="AZ9" s="257"/>
      <c r="BA9" s="257"/>
      <c r="BB9" s="257"/>
      <c r="BC9" s="257"/>
      <c r="BD9" s="257"/>
      <c r="BE9" s="257"/>
      <c r="BF9" s="257"/>
      <c r="BG9" s="257"/>
      <c r="BH9" s="257"/>
      <c r="BI9" s="257"/>
      <c r="BJ9" s="257"/>
      <c r="BK9" s="257"/>
      <c r="BN9" s="202" t="s">
        <v>297</v>
      </c>
      <c r="BO9" s="202"/>
      <c r="BP9" s="202"/>
      <c r="BQ9" s="202"/>
      <c r="BR9" s="202"/>
      <c r="BS9" s="202"/>
      <c r="CC9" s="3">
        <v>1095.75</v>
      </c>
      <c r="CD9" s="80">
        <v>1.0250367</v>
      </c>
      <c r="CE9" s="3">
        <v>1.0173752</v>
      </c>
      <c r="CF9" s="3">
        <v>1.017385</v>
      </c>
      <c r="CG9" s="3">
        <v>1.0172759</v>
      </c>
      <c r="CH9" s="3">
        <v>1.0173810999999999</v>
      </c>
      <c r="CI9" s="3">
        <v>1.0173368</v>
      </c>
      <c r="CJ9" s="3">
        <v>1.0170192</v>
      </c>
      <c r="CK9" s="3">
        <v>1.0177783</v>
      </c>
      <c r="CL9" s="3">
        <v>1.0184728999999999</v>
      </c>
    </row>
    <row r="10" spans="1:90" x14ac:dyDescent="0.25">
      <c r="A10" s="202"/>
      <c r="B10" s="70"/>
      <c r="C10" s="202"/>
      <c r="D10" s="194"/>
      <c r="E10" s="202"/>
      <c r="F10" s="202"/>
      <c r="G10" s="202"/>
      <c r="H10" s="70" t="s">
        <v>271</v>
      </c>
      <c r="I10" s="164" t="s">
        <v>280</v>
      </c>
      <c r="J10" s="2" t="s">
        <v>281</v>
      </c>
      <c r="K10" s="70" t="s">
        <v>282</v>
      </c>
      <c r="L10" s="70" t="s">
        <v>283</v>
      </c>
      <c r="M10" s="70" t="s">
        <v>284</v>
      </c>
      <c r="N10" s="2" t="s">
        <v>285</v>
      </c>
      <c r="O10" s="152" t="s">
        <v>403</v>
      </c>
      <c r="P10" s="2" t="s">
        <v>421</v>
      </c>
      <c r="Q10" s="79" t="s">
        <v>272</v>
      </c>
      <c r="S10" s="261"/>
      <c r="T10" s="70"/>
      <c r="U10" s="261"/>
      <c r="V10" s="237"/>
      <c r="W10" s="261"/>
      <c r="X10" s="261"/>
      <c r="Y10" s="261"/>
      <c r="Z10" s="2" t="s">
        <v>271</v>
      </c>
      <c r="AA10" s="164" t="s">
        <v>280</v>
      </c>
      <c r="AB10" s="2" t="s">
        <v>281</v>
      </c>
      <c r="AC10" s="2" t="s">
        <v>282</v>
      </c>
      <c r="AD10" s="2" t="s">
        <v>283</v>
      </c>
      <c r="AE10" s="2" t="s">
        <v>284</v>
      </c>
      <c r="AF10" s="2" t="s">
        <v>285</v>
      </c>
      <c r="AG10" s="2" t="s">
        <v>403</v>
      </c>
      <c r="AH10" s="2" t="s">
        <v>421</v>
      </c>
      <c r="AI10" s="79" t="s">
        <v>272</v>
      </c>
      <c r="AJ10" s="78"/>
      <c r="AL10" s="262" t="s">
        <v>262</v>
      </c>
      <c r="AM10" s="262" t="s">
        <v>267</v>
      </c>
      <c r="AN10" s="202" t="s">
        <v>270</v>
      </c>
      <c r="AO10" s="202"/>
      <c r="AP10" s="202"/>
      <c r="AQ10" s="202"/>
      <c r="AR10" s="202"/>
      <c r="AS10" s="202"/>
      <c r="AT10" s="202"/>
      <c r="AX10" s="181" t="s">
        <v>405</v>
      </c>
      <c r="AY10" s="17">
        <v>131.11959999999999</v>
      </c>
      <c r="BA10" s="181" t="s">
        <v>405</v>
      </c>
      <c r="BB10" s="17">
        <v>103.6721</v>
      </c>
      <c r="BD10" s="176" t="s">
        <v>405</v>
      </c>
      <c r="BE10" s="17">
        <v>79.897580000000005</v>
      </c>
      <c r="BF10" s="170"/>
      <c r="BG10" s="176" t="s">
        <v>405</v>
      </c>
      <c r="BH10" s="17">
        <v>66.338999999999999</v>
      </c>
      <c r="BJ10" s="176" t="s">
        <v>405</v>
      </c>
      <c r="BK10" s="17">
        <v>58.737050000000004</v>
      </c>
      <c r="BN10" s="174" t="s">
        <v>298</v>
      </c>
      <c r="BO10" s="174" t="s">
        <v>406</v>
      </c>
      <c r="BP10" s="174" t="s">
        <v>276</v>
      </c>
      <c r="BQ10" s="174" t="s">
        <v>278</v>
      </c>
      <c r="BR10" s="174" t="s">
        <v>279</v>
      </c>
      <c r="BS10" s="174" t="s">
        <v>412</v>
      </c>
      <c r="BV10" s="196" t="s">
        <v>410</v>
      </c>
      <c r="BW10" s="196"/>
      <c r="CC10" s="190">
        <v>1521</v>
      </c>
      <c r="CD10" s="3">
        <v>0.9936526</v>
      </c>
      <c r="CE10" s="80">
        <v>1.0002622999999999</v>
      </c>
      <c r="CF10" s="80">
        <v>1.0001842999999999</v>
      </c>
      <c r="CG10" s="12">
        <v>1.0000180000000001</v>
      </c>
      <c r="CH10" s="12">
        <v>1.0000948000000001</v>
      </c>
      <c r="CI10" s="12">
        <v>1.0001462999999999</v>
      </c>
      <c r="CJ10" s="80">
        <v>0.99966480000000002</v>
      </c>
      <c r="CK10" s="80">
        <v>1.0006193999999999</v>
      </c>
      <c r="CL10" s="3">
        <v>1.0014927</v>
      </c>
    </row>
    <row r="11" spans="1:90" x14ac:dyDescent="0.25">
      <c r="A11" s="3" t="s">
        <v>274</v>
      </c>
      <c r="B11" s="3">
        <v>1</v>
      </c>
      <c r="C11" s="3">
        <v>1</v>
      </c>
      <c r="D11" s="3">
        <v>0</v>
      </c>
      <c r="E11" s="3">
        <f>D11</f>
        <v>0</v>
      </c>
      <c r="F11" s="3">
        <f>E11</f>
        <v>0</v>
      </c>
      <c r="G11" s="3">
        <f>F11/365.25</f>
        <v>0</v>
      </c>
      <c r="H11" s="3">
        <v>1.1035820999999999</v>
      </c>
      <c r="I11" s="173">
        <v>1.0745932</v>
      </c>
      <c r="J11" s="81">
        <v>1.0745597</v>
      </c>
      <c r="K11" s="12">
        <v>1.0745594999999999</v>
      </c>
      <c r="L11" s="87">
        <v>1.0745906000000001</v>
      </c>
      <c r="M11" s="87">
        <v>1.0745506</v>
      </c>
      <c r="N11" s="82">
        <v>1.0744640000000001</v>
      </c>
      <c r="O11" s="80">
        <v>1.0746794</v>
      </c>
      <c r="P11" s="3">
        <v>1.0748827000000001</v>
      </c>
      <c r="Q11" t="s">
        <v>275</v>
      </c>
      <c r="S11" s="3" t="s">
        <v>274</v>
      </c>
      <c r="T11" s="3">
        <v>1</v>
      </c>
      <c r="U11" s="3">
        <v>1</v>
      </c>
      <c r="V11" s="3">
        <v>0</v>
      </c>
      <c r="W11" s="3">
        <f>V11</f>
        <v>0</v>
      </c>
      <c r="X11" s="3">
        <f>W11</f>
        <v>0</v>
      </c>
      <c r="Y11" s="3">
        <f>X11/365.25</f>
        <v>0</v>
      </c>
      <c r="Z11" s="11">
        <v>0.45779999999999998</v>
      </c>
      <c r="AA11" s="143">
        <v>0.622004</v>
      </c>
      <c r="AB11" s="83">
        <v>0.62196899999999999</v>
      </c>
      <c r="AC11" s="91">
        <v>0.62208699999999995</v>
      </c>
      <c r="AD11" s="91">
        <v>0.62200900000000003</v>
      </c>
      <c r="AE11" s="91">
        <v>0.62204099999999996</v>
      </c>
      <c r="AF11" s="91">
        <v>0.62229299999999999</v>
      </c>
      <c r="AG11" s="91">
        <v>0.62161500000000003</v>
      </c>
      <c r="AH11" s="91">
        <v>0.62084899999999998</v>
      </c>
      <c r="AI11" t="s">
        <v>275</v>
      </c>
      <c r="AL11" s="261"/>
      <c r="AM11" s="261"/>
      <c r="AN11" s="171" t="s">
        <v>62</v>
      </c>
      <c r="AO11" s="171" t="s">
        <v>273</v>
      </c>
      <c r="AP11" s="171" t="s">
        <v>64</v>
      </c>
      <c r="AQ11" s="171" t="s">
        <v>54</v>
      </c>
      <c r="AR11" s="171" t="s">
        <v>55</v>
      </c>
      <c r="AS11" s="171" t="s">
        <v>56</v>
      </c>
      <c r="AT11" s="171" t="s">
        <v>57</v>
      </c>
      <c r="AX11" s="181" t="s">
        <v>298</v>
      </c>
      <c r="AY11" s="181" t="s">
        <v>406</v>
      </c>
      <c r="AZ11" s="182"/>
      <c r="BA11" s="181" t="s">
        <v>298</v>
      </c>
      <c r="BB11" s="181" t="s">
        <v>276</v>
      </c>
      <c r="BC11" s="178"/>
      <c r="BD11" s="176" t="s">
        <v>298</v>
      </c>
      <c r="BE11" s="176" t="s">
        <v>278</v>
      </c>
      <c r="BF11" s="177"/>
      <c r="BG11" s="176" t="s">
        <v>298</v>
      </c>
      <c r="BH11" s="176" t="s">
        <v>279</v>
      </c>
      <c r="BI11" s="178"/>
      <c r="BJ11" s="176" t="s">
        <v>298</v>
      </c>
      <c r="BK11" s="176" t="s">
        <v>412</v>
      </c>
      <c r="BM11" s="107" t="s">
        <v>299</v>
      </c>
      <c r="BN11" s="130">
        <v>0</v>
      </c>
      <c r="BO11" s="17">
        <f>$AY$10*AY12</f>
        <v>0</v>
      </c>
      <c r="BP11" s="17">
        <f>$BB$10*BB12</f>
        <v>0</v>
      </c>
      <c r="BQ11" s="17">
        <f>$BE$10*BE12</f>
        <v>0</v>
      </c>
      <c r="BR11" s="17">
        <f>$BH$10*BH12</f>
        <v>0</v>
      </c>
      <c r="BS11" s="17">
        <f>$BK$10*BK12</f>
        <v>0</v>
      </c>
      <c r="BV11" s="3" t="s">
        <v>267</v>
      </c>
      <c r="BW11" s="3" t="s">
        <v>408</v>
      </c>
    </row>
    <row r="12" spans="1:90" x14ac:dyDescent="0.25">
      <c r="A12" s="3"/>
      <c r="B12" s="3">
        <v>2</v>
      </c>
      <c r="C12" s="3">
        <v>2</v>
      </c>
      <c r="D12" s="3">
        <v>24</v>
      </c>
      <c r="E12" s="3">
        <f>E11+D12</f>
        <v>24</v>
      </c>
      <c r="F12" s="3">
        <f>E12/24</f>
        <v>1</v>
      </c>
      <c r="G12" s="3">
        <f>F12/365.25</f>
        <v>2.7378507871321013E-3</v>
      </c>
      <c r="H12" s="3">
        <v>1.0720516</v>
      </c>
      <c r="I12" s="141">
        <v>1.0656914</v>
      </c>
      <c r="J12" s="81">
        <v>1.0656767</v>
      </c>
      <c r="K12" s="12">
        <v>1.0656475000000001</v>
      </c>
      <c r="L12" s="87">
        <v>1.0656888</v>
      </c>
      <c r="M12" s="87">
        <v>1.0656383</v>
      </c>
      <c r="N12" s="82">
        <v>1.0655467999999999</v>
      </c>
      <c r="O12" s="80">
        <v>1.0657973999999999</v>
      </c>
      <c r="P12" s="3">
        <v>1.0660525999999999</v>
      </c>
      <c r="S12" s="3"/>
      <c r="T12" s="3">
        <v>2</v>
      </c>
      <c r="U12" s="3">
        <v>2</v>
      </c>
      <c r="V12" s="3">
        <v>24</v>
      </c>
      <c r="W12" s="3">
        <f>W11+V12</f>
        <v>24</v>
      </c>
      <c r="X12" s="3">
        <f>W12/24</f>
        <v>1</v>
      </c>
      <c r="Y12" s="3">
        <f>X12/365.25</f>
        <v>2.7378507871321013E-3</v>
      </c>
      <c r="Z12" s="11">
        <v>0.46750000000000003</v>
      </c>
      <c r="AA12" s="144">
        <v>0.62578400000000001</v>
      </c>
      <c r="AB12" s="83">
        <v>0.62574099999999999</v>
      </c>
      <c r="AC12" s="91">
        <v>0.62587199999999998</v>
      </c>
      <c r="AD12" s="91">
        <v>0.62578999999999996</v>
      </c>
      <c r="AE12" s="91">
        <v>0.62582899999999997</v>
      </c>
      <c r="AF12" s="91">
        <v>0.62609199999999998</v>
      </c>
      <c r="AG12" s="91">
        <v>0.62537299999999996</v>
      </c>
      <c r="AH12" s="91">
        <v>0.62455899999999998</v>
      </c>
      <c r="AK12" s="175">
        <f>AN12/(AN12+AP12)</f>
        <v>4.1862521150138353E-2</v>
      </c>
      <c r="AL12" s="213" t="s">
        <v>271</v>
      </c>
      <c r="AM12" s="3">
        <v>0</v>
      </c>
      <c r="AN12" s="184">
        <v>390170</v>
      </c>
      <c r="AO12" s="185">
        <v>0</v>
      </c>
      <c r="AP12" s="185">
        <v>8930100</v>
      </c>
      <c r="AQ12" s="184">
        <v>0</v>
      </c>
      <c r="AR12" s="185">
        <v>0</v>
      </c>
      <c r="AS12" s="185">
        <v>0</v>
      </c>
      <c r="AT12" s="185">
        <v>0</v>
      </c>
      <c r="AW12" s="104">
        <v>1</v>
      </c>
      <c r="AX12" s="131">
        <v>0</v>
      </c>
      <c r="AY12" s="132">
        <v>0</v>
      </c>
      <c r="AZ12" s="104">
        <v>1</v>
      </c>
      <c r="BA12" s="131">
        <v>0</v>
      </c>
      <c r="BB12" s="133">
        <v>0</v>
      </c>
      <c r="BC12" s="104">
        <v>1</v>
      </c>
      <c r="BD12" s="131">
        <v>0</v>
      </c>
      <c r="BE12" s="135">
        <v>0</v>
      </c>
      <c r="BF12" s="104">
        <v>1</v>
      </c>
      <c r="BG12" s="131">
        <v>0</v>
      </c>
      <c r="BH12" s="135">
        <v>0</v>
      </c>
      <c r="BI12" s="104">
        <v>1</v>
      </c>
      <c r="BJ12" s="131">
        <v>0</v>
      </c>
      <c r="BK12" s="133">
        <v>0</v>
      </c>
      <c r="BN12" s="132">
        <f>14.7624/2</f>
        <v>7.3811999999999998</v>
      </c>
      <c r="BO12" s="17">
        <f t="shared" ref="BO12:BO49" si="3">$AY$10*AY13</f>
        <v>0</v>
      </c>
      <c r="BP12" s="17">
        <f t="shared" ref="BP12:BP49" si="4">$BB$10*BB13</f>
        <v>0</v>
      </c>
      <c r="BQ12" s="17">
        <f t="shared" ref="BQ12:BQ49" si="5">$BE$10*BE13</f>
        <v>0</v>
      </c>
      <c r="BR12" s="17">
        <f t="shared" ref="BR12:BR49" si="6">$BH$10*BH13</f>
        <v>0</v>
      </c>
      <c r="BS12" s="17">
        <f t="shared" ref="BS12:BS49" si="7">$BK$10*BK13</f>
        <v>0</v>
      </c>
      <c r="BV12" s="3">
        <v>0</v>
      </c>
      <c r="BW12" s="17">
        <f>BO50</f>
        <v>192.38365966480001</v>
      </c>
    </row>
    <row r="13" spans="1:90" x14ac:dyDescent="0.25">
      <c r="A13" s="3"/>
      <c r="B13" s="3">
        <v>3</v>
      </c>
      <c r="C13" s="3">
        <v>3</v>
      </c>
      <c r="D13" s="3">
        <v>96</v>
      </c>
      <c r="E13" s="3">
        <f t="shared" ref="E13:E75" si="8">E12+D13</f>
        <v>120</v>
      </c>
      <c r="F13" s="3">
        <f t="shared" ref="F13:F75" si="9">E13/24</f>
        <v>5</v>
      </c>
      <c r="G13" s="3">
        <f t="shared" ref="G13:G75" si="10">F13/365.25</f>
        <v>1.3689253935660506E-2</v>
      </c>
      <c r="H13" s="3">
        <v>1.0714644</v>
      </c>
      <c r="I13" s="141">
        <v>1.0656106000000001</v>
      </c>
      <c r="J13" s="81">
        <v>1.0655922</v>
      </c>
      <c r="K13" s="12">
        <v>1.0655701</v>
      </c>
      <c r="L13" s="87">
        <v>1.0656080000000001</v>
      </c>
      <c r="M13" s="87">
        <v>1.0655589999999999</v>
      </c>
      <c r="N13" s="82">
        <v>1.0654675</v>
      </c>
      <c r="O13" s="80">
        <v>1.0657177</v>
      </c>
      <c r="P13" s="3">
        <v>1.0659711000000001</v>
      </c>
      <c r="S13" s="3"/>
      <c r="T13" s="3">
        <v>3</v>
      </c>
      <c r="U13" s="3">
        <v>3</v>
      </c>
      <c r="V13" s="3">
        <v>96</v>
      </c>
      <c r="W13" s="3">
        <f t="shared" ref="W13:W75" si="11">W12+V13</f>
        <v>120</v>
      </c>
      <c r="X13" s="3">
        <f t="shared" ref="X13:X22" si="12">W13/24</f>
        <v>5</v>
      </c>
      <c r="Y13" s="3">
        <f t="shared" ref="Y13:Y75" si="13">X13/365.25</f>
        <v>1.3689253935660506E-2</v>
      </c>
      <c r="Z13" s="11">
        <v>0.46768999999999999</v>
      </c>
      <c r="AA13" s="144">
        <v>0.62583999999999995</v>
      </c>
      <c r="AB13" s="83">
        <v>0.62579799999999997</v>
      </c>
      <c r="AC13" s="91">
        <v>0.62592800000000004</v>
      </c>
      <c r="AD13" s="91">
        <v>0.62584600000000001</v>
      </c>
      <c r="AE13" s="91">
        <v>0.625884</v>
      </c>
      <c r="AF13" s="91">
        <v>0.62614599999999998</v>
      </c>
      <c r="AG13" s="91">
        <v>0.62542799999999998</v>
      </c>
      <c r="AH13" s="91">
        <v>0.62461599999999995</v>
      </c>
      <c r="AL13" s="214"/>
      <c r="AM13" s="3">
        <v>1</v>
      </c>
      <c r="AN13" s="185">
        <v>334300</v>
      </c>
      <c r="AO13" s="185">
        <v>10651</v>
      </c>
      <c r="AP13" s="185">
        <v>8895500</v>
      </c>
      <c r="AQ13" s="185">
        <v>21006</v>
      </c>
      <c r="AR13" s="185">
        <v>2309</v>
      </c>
      <c r="AS13" s="185">
        <v>865.22</v>
      </c>
      <c r="AT13" s="185">
        <v>72.168999999999997</v>
      </c>
      <c r="AW13" s="105">
        <v>2</v>
      </c>
      <c r="AX13" s="131">
        <f>14.7624/2</f>
        <v>7.3811999999999998</v>
      </c>
      <c r="AY13" s="134">
        <v>0</v>
      </c>
      <c r="AZ13" s="106"/>
      <c r="BA13" s="132">
        <f>14.7624/2</f>
        <v>7.3811999999999998</v>
      </c>
      <c r="BB13" s="11">
        <v>0</v>
      </c>
      <c r="BC13" s="106">
        <v>2</v>
      </c>
      <c r="BD13" s="132">
        <f>14.7624/2</f>
        <v>7.3811999999999998</v>
      </c>
      <c r="BE13" s="135">
        <v>0</v>
      </c>
      <c r="BF13" s="106">
        <v>2</v>
      </c>
      <c r="BG13" s="132">
        <f>14.7624/2</f>
        <v>7.3811999999999998</v>
      </c>
      <c r="BH13" s="135">
        <v>0</v>
      </c>
      <c r="BI13" s="106">
        <v>2</v>
      </c>
      <c r="BJ13" s="132">
        <f>14.7624/2</f>
        <v>7.3811999999999998</v>
      </c>
      <c r="BK13" s="134">
        <v>0</v>
      </c>
      <c r="BN13" s="132">
        <f>2*BN12</f>
        <v>14.7624</v>
      </c>
      <c r="BO13" s="17">
        <f t="shared" si="3"/>
        <v>0</v>
      </c>
      <c r="BP13" s="17">
        <f t="shared" si="4"/>
        <v>0</v>
      </c>
      <c r="BQ13" s="17">
        <f t="shared" si="5"/>
        <v>0</v>
      </c>
      <c r="BR13" s="17">
        <f t="shared" si="6"/>
        <v>0</v>
      </c>
      <c r="BS13" s="17">
        <f t="shared" si="7"/>
        <v>0</v>
      </c>
      <c r="BV13" s="3">
        <v>1</v>
      </c>
      <c r="BW13" s="17">
        <f>BP50</f>
        <v>140.43764783929998</v>
      </c>
    </row>
    <row r="14" spans="1:90" x14ac:dyDescent="0.25">
      <c r="A14" s="3"/>
      <c r="B14" s="3">
        <v>4</v>
      </c>
      <c r="C14" s="3">
        <v>4</v>
      </c>
      <c r="D14" s="3">
        <v>120</v>
      </c>
      <c r="E14" s="3">
        <f t="shared" si="8"/>
        <v>240</v>
      </c>
      <c r="F14" s="3">
        <f t="shared" si="9"/>
        <v>10</v>
      </c>
      <c r="G14" s="3">
        <f t="shared" si="10"/>
        <v>2.7378507871321012E-2</v>
      </c>
      <c r="H14" s="3">
        <v>1.0695281999999999</v>
      </c>
      <c r="I14" s="141">
        <v>1.0648196000000001</v>
      </c>
      <c r="J14" s="81">
        <v>1.0647941000000001</v>
      </c>
      <c r="K14" s="12">
        <v>1.0647770999999999</v>
      </c>
      <c r="L14" s="87">
        <v>1.0648169999999999</v>
      </c>
      <c r="M14" s="87">
        <v>1.0647671000000001</v>
      </c>
      <c r="N14" s="82">
        <v>1.0646605</v>
      </c>
      <c r="O14" s="80">
        <v>1.0649301</v>
      </c>
      <c r="P14" s="3">
        <v>1.0651885000000001</v>
      </c>
      <c r="S14" s="3"/>
      <c r="T14" s="3">
        <v>4</v>
      </c>
      <c r="U14" s="3">
        <v>4</v>
      </c>
      <c r="V14" s="3">
        <v>120</v>
      </c>
      <c r="W14" s="3">
        <f t="shared" si="11"/>
        <v>240</v>
      </c>
      <c r="X14" s="3">
        <f t="shared" si="12"/>
        <v>10</v>
      </c>
      <c r="Y14" s="3">
        <f t="shared" si="13"/>
        <v>2.7378507871321012E-2</v>
      </c>
      <c r="Z14" s="11">
        <v>0.46812199999999998</v>
      </c>
      <c r="AA14" s="144">
        <v>0.62611899999999998</v>
      </c>
      <c r="AB14" s="83">
        <v>0.626081</v>
      </c>
      <c r="AC14" s="91">
        <v>0.62620900000000002</v>
      </c>
      <c r="AD14" s="91">
        <v>0.62612500000000004</v>
      </c>
      <c r="AE14" s="91">
        <v>0.62616300000000003</v>
      </c>
      <c r="AF14" s="91">
        <v>0.62643099999999996</v>
      </c>
      <c r="AG14" s="91">
        <v>0.62570599999999998</v>
      </c>
      <c r="AH14" s="91">
        <v>0.624888</v>
      </c>
      <c r="AL14" s="214"/>
      <c r="AM14" s="3">
        <v>3</v>
      </c>
      <c r="AN14" s="145">
        <v>242380</v>
      </c>
      <c r="AO14" s="145">
        <v>27145</v>
      </c>
      <c r="AP14" s="145">
        <v>8819700</v>
      </c>
      <c r="AQ14" s="145">
        <v>43225</v>
      </c>
      <c r="AR14" s="145">
        <v>9752.7000000000007</v>
      </c>
      <c r="AS14" s="145">
        <v>5417.8</v>
      </c>
      <c r="AT14" s="145">
        <v>1097.9000000000001</v>
      </c>
      <c r="AW14" s="104">
        <v>3</v>
      </c>
      <c r="AX14" s="131">
        <f>2*AX13</f>
        <v>14.7624</v>
      </c>
      <c r="AY14" s="134">
        <v>0</v>
      </c>
      <c r="AZ14" s="104"/>
      <c r="BA14" s="132">
        <f>2*BA13</f>
        <v>14.7624</v>
      </c>
      <c r="BB14" s="11">
        <v>0</v>
      </c>
      <c r="BC14" s="104">
        <v>3</v>
      </c>
      <c r="BD14" s="132">
        <f>2*BD13</f>
        <v>14.7624</v>
      </c>
      <c r="BE14" s="135">
        <v>0</v>
      </c>
      <c r="BF14" s="104">
        <v>3</v>
      </c>
      <c r="BG14" s="132">
        <f>2*BG13</f>
        <v>14.7624</v>
      </c>
      <c r="BH14" s="135">
        <v>0</v>
      </c>
      <c r="BI14" s="104">
        <v>3</v>
      </c>
      <c r="BJ14" s="132">
        <f>2*BJ13</f>
        <v>14.7624</v>
      </c>
      <c r="BK14" s="134">
        <v>0</v>
      </c>
      <c r="BN14" s="132">
        <f>BN13+5.2376</f>
        <v>20</v>
      </c>
      <c r="BO14" s="17">
        <f t="shared" si="3"/>
        <v>0</v>
      </c>
      <c r="BP14" s="17">
        <f t="shared" si="4"/>
        <v>0</v>
      </c>
      <c r="BQ14" s="17">
        <f t="shared" si="5"/>
        <v>0</v>
      </c>
      <c r="BR14" s="17">
        <f t="shared" si="6"/>
        <v>0</v>
      </c>
      <c r="BS14" s="17">
        <f t="shared" si="7"/>
        <v>0</v>
      </c>
      <c r="BV14" s="3">
        <v>3</v>
      </c>
      <c r="BW14" s="17">
        <f>BQ50</f>
        <v>97.371580233900005</v>
      </c>
    </row>
    <row r="15" spans="1:90" x14ac:dyDescent="0.25">
      <c r="A15" s="3"/>
      <c r="B15" s="3">
        <v>5</v>
      </c>
      <c r="C15" s="3">
        <v>5</v>
      </c>
      <c r="D15" s="3">
        <v>240</v>
      </c>
      <c r="E15" s="3">
        <f t="shared" si="8"/>
        <v>480</v>
      </c>
      <c r="F15" s="3">
        <f t="shared" si="9"/>
        <v>20</v>
      </c>
      <c r="G15" s="3">
        <f t="shared" si="10"/>
        <v>5.4757015742642023E-2</v>
      </c>
      <c r="H15" s="3">
        <v>1.0671405</v>
      </c>
      <c r="I15" s="141">
        <v>1.0638406</v>
      </c>
      <c r="J15" s="81">
        <v>1.0638181</v>
      </c>
      <c r="K15" s="12">
        <v>1.0637968</v>
      </c>
      <c r="L15" s="87">
        <v>1.0638375</v>
      </c>
      <c r="M15" s="87">
        <v>1.063787</v>
      </c>
      <c r="N15" s="82">
        <v>1.0636786</v>
      </c>
      <c r="O15" s="80">
        <v>1.0639525999999999</v>
      </c>
      <c r="P15" s="3">
        <v>1.0642194</v>
      </c>
      <c r="S15" s="3"/>
      <c r="T15" s="3">
        <v>5</v>
      </c>
      <c r="U15" s="3">
        <v>5</v>
      </c>
      <c r="V15" s="3">
        <v>240</v>
      </c>
      <c r="W15" s="3">
        <f t="shared" si="11"/>
        <v>480</v>
      </c>
      <c r="X15" s="3">
        <f t="shared" si="12"/>
        <v>20</v>
      </c>
      <c r="Y15" s="3">
        <f t="shared" si="13"/>
        <v>5.4757015742642023E-2</v>
      </c>
      <c r="Z15" s="11">
        <v>0.46866799999999997</v>
      </c>
      <c r="AA15" s="144">
        <v>0.62646999999999997</v>
      </c>
      <c r="AB15" s="83">
        <v>0.62643199999999999</v>
      </c>
      <c r="AC15" s="91">
        <v>0.62656000000000001</v>
      </c>
      <c r="AD15" s="91">
        <v>0.62647600000000003</v>
      </c>
      <c r="AE15" s="91">
        <v>0.62651400000000002</v>
      </c>
      <c r="AF15" s="91">
        <v>0.62678500000000004</v>
      </c>
      <c r="AG15" s="91">
        <v>0.62605299999999997</v>
      </c>
      <c r="AH15" s="91">
        <v>0.62522900000000003</v>
      </c>
      <c r="AL15" s="215"/>
      <c r="AM15" s="3">
        <v>5</v>
      </c>
      <c r="AN15" s="145">
        <v>167840</v>
      </c>
      <c r="AO15" s="145">
        <v>39480</v>
      </c>
      <c r="AP15" s="145">
        <v>8740200</v>
      </c>
      <c r="AQ15" s="145">
        <v>54287</v>
      </c>
      <c r="AR15" s="145">
        <v>16925</v>
      </c>
      <c r="AS15" s="145">
        <v>10355</v>
      </c>
      <c r="AT15" s="145">
        <v>3044.1</v>
      </c>
      <c r="AW15" s="105">
        <v>4</v>
      </c>
      <c r="AX15" s="131">
        <f>AX14+5.2376</f>
        <v>20</v>
      </c>
      <c r="AY15" s="134">
        <v>0</v>
      </c>
      <c r="AZ15" s="106"/>
      <c r="BA15" s="132">
        <f>BA14+5.2376</f>
        <v>20</v>
      </c>
      <c r="BB15" s="11">
        <v>0</v>
      </c>
      <c r="BC15" s="106">
        <v>4</v>
      </c>
      <c r="BD15" s="132">
        <f>BD14+5.2376</f>
        <v>20</v>
      </c>
      <c r="BE15" s="135">
        <v>0</v>
      </c>
      <c r="BF15" s="106">
        <v>4</v>
      </c>
      <c r="BG15" s="132">
        <f>BG14+5.2376</f>
        <v>20</v>
      </c>
      <c r="BH15" s="135">
        <v>0</v>
      </c>
      <c r="BI15" s="106">
        <v>4</v>
      </c>
      <c r="BJ15" s="132">
        <f>BJ14+5.2376</f>
        <v>20</v>
      </c>
      <c r="BK15" s="134">
        <v>0</v>
      </c>
      <c r="BN15" s="136">
        <f>BN14+6.25</f>
        <v>26.25</v>
      </c>
      <c r="BO15" s="17">
        <f t="shared" si="3"/>
        <v>33.781850423400002</v>
      </c>
      <c r="BP15" s="17">
        <f t="shared" si="4"/>
        <v>31.260237945790003</v>
      </c>
      <c r="BQ15" s="17">
        <f t="shared" si="5"/>
        <v>30.408395746876</v>
      </c>
      <c r="BR15" s="17">
        <f t="shared" si="6"/>
        <v>28.671662728800001</v>
      </c>
      <c r="BS15" s="17">
        <f t="shared" si="7"/>
        <v>28.114765046635</v>
      </c>
      <c r="BV15" s="3">
        <v>5</v>
      </c>
      <c r="BW15" s="17">
        <f>BR50</f>
        <v>84.872723480999994</v>
      </c>
    </row>
    <row r="16" spans="1:90" x14ac:dyDescent="0.25">
      <c r="A16" s="3"/>
      <c r="B16" s="3">
        <v>6</v>
      </c>
      <c r="C16" s="3">
        <v>6</v>
      </c>
      <c r="D16" s="3">
        <v>240</v>
      </c>
      <c r="E16" s="3">
        <f t="shared" si="8"/>
        <v>720</v>
      </c>
      <c r="F16" s="3">
        <f t="shared" si="9"/>
        <v>30</v>
      </c>
      <c r="G16" s="3">
        <f t="shared" si="10"/>
        <v>8.2135523613963035E-2</v>
      </c>
      <c r="H16" s="3">
        <v>1.0629377</v>
      </c>
      <c r="I16" s="141">
        <v>1.0618764999999999</v>
      </c>
      <c r="J16" s="81">
        <v>1.0618544000000001</v>
      </c>
      <c r="K16" s="12">
        <v>1.0618308999999999</v>
      </c>
      <c r="L16" s="87">
        <v>1.0618737</v>
      </c>
      <c r="M16" s="87">
        <v>1.0618219</v>
      </c>
      <c r="N16" s="82">
        <v>1.0617179000000001</v>
      </c>
      <c r="O16" s="80">
        <v>1.0619954</v>
      </c>
      <c r="P16" s="3">
        <v>1.0622725</v>
      </c>
      <c r="S16" s="3"/>
      <c r="T16" s="3">
        <v>6</v>
      </c>
      <c r="U16" s="3">
        <v>6</v>
      </c>
      <c r="V16" s="3">
        <v>240</v>
      </c>
      <c r="W16" s="3">
        <f t="shared" si="11"/>
        <v>720</v>
      </c>
      <c r="X16" s="3">
        <f t="shared" si="12"/>
        <v>30</v>
      </c>
      <c r="Y16" s="3">
        <f t="shared" si="13"/>
        <v>8.2135523613963035E-2</v>
      </c>
      <c r="Z16" s="11">
        <v>0.46968700000000002</v>
      </c>
      <c r="AA16" s="144">
        <v>0.62717800000000001</v>
      </c>
      <c r="AB16" s="83">
        <v>0.62713799999999997</v>
      </c>
      <c r="AC16" s="91">
        <v>0.62726899999999997</v>
      </c>
      <c r="AD16" s="91">
        <v>0.62718399999999996</v>
      </c>
      <c r="AE16" s="91">
        <v>0.627224</v>
      </c>
      <c r="AF16" s="91">
        <v>0.62749600000000005</v>
      </c>
      <c r="AG16" s="91">
        <v>0.62675400000000003</v>
      </c>
      <c r="AH16" s="91">
        <v>0.625919</v>
      </c>
      <c r="AK16" s="175">
        <f>AN16/(AN16+AP16)</f>
        <v>7.1097419012093373E-3</v>
      </c>
      <c r="AL16" s="258" t="s">
        <v>280</v>
      </c>
      <c r="AM16" s="3">
        <v>0</v>
      </c>
      <c r="AN16" s="184">
        <v>58577</v>
      </c>
      <c r="AO16" s="185">
        <v>0</v>
      </c>
      <c r="AP16" s="185">
        <v>8180400</v>
      </c>
      <c r="AQ16" s="185">
        <v>569810</v>
      </c>
      <c r="AR16" s="185">
        <v>271930</v>
      </c>
      <c r="AS16" s="185">
        <v>142220</v>
      </c>
      <c r="AT16" s="185">
        <v>95972</v>
      </c>
      <c r="AW16" s="104">
        <v>5</v>
      </c>
      <c r="AX16" s="137">
        <f>AX15+6.25</f>
        <v>26.25</v>
      </c>
      <c r="AY16" s="134">
        <v>0.25764150000000002</v>
      </c>
      <c r="AZ16" s="104"/>
      <c r="BA16" s="136">
        <f>BA15+6.25</f>
        <v>26.25</v>
      </c>
      <c r="BB16" s="11">
        <v>0.30152990000000002</v>
      </c>
      <c r="BC16" s="104">
        <v>5</v>
      </c>
      <c r="BD16" s="136">
        <f>BD15+6.25</f>
        <v>26.25</v>
      </c>
      <c r="BE16" s="135">
        <v>0.38059219999999999</v>
      </c>
      <c r="BF16" s="104">
        <v>5</v>
      </c>
      <c r="BG16" s="136">
        <f>BG15+6.25</f>
        <v>26.25</v>
      </c>
      <c r="BH16" s="135">
        <v>0.43219920000000001</v>
      </c>
      <c r="BI16" s="104">
        <v>5</v>
      </c>
      <c r="BJ16" s="136">
        <f>BJ15+6.25</f>
        <v>26.25</v>
      </c>
      <c r="BK16" s="134">
        <v>0.47865469999999999</v>
      </c>
      <c r="BN16" s="84">
        <f t="shared" ref="BN16:BN46" si="14">BN15+6.25</f>
        <v>32.5</v>
      </c>
      <c r="BO16" s="17">
        <f t="shared" si="3"/>
        <v>44.795215001479995</v>
      </c>
      <c r="BP16" s="17">
        <f t="shared" si="4"/>
        <v>41.144107881170001</v>
      </c>
      <c r="BQ16" s="17">
        <f t="shared" si="5"/>
        <v>41.137761867496003</v>
      </c>
      <c r="BR16" s="17">
        <f t="shared" si="6"/>
        <v>38.908274605199999</v>
      </c>
      <c r="BS16" s="17">
        <f t="shared" si="7"/>
        <v>38.239681514485</v>
      </c>
      <c r="BV16" s="3">
        <v>7</v>
      </c>
      <c r="BW16" s="17">
        <f>BS50</f>
        <v>75.354407552550001</v>
      </c>
    </row>
    <row r="17" spans="1:71" x14ac:dyDescent="0.25">
      <c r="A17" s="3"/>
      <c r="B17" s="3">
        <v>7</v>
      </c>
      <c r="C17" s="3">
        <v>7</v>
      </c>
      <c r="D17" s="3">
        <v>720</v>
      </c>
      <c r="E17" s="3">
        <f t="shared" si="8"/>
        <v>1440</v>
      </c>
      <c r="F17" s="3">
        <f t="shared" si="9"/>
        <v>60</v>
      </c>
      <c r="G17" s="3">
        <f t="shared" si="10"/>
        <v>0.16427104722792607</v>
      </c>
      <c r="H17" s="3">
        <v>1.0602526999999999</v>
      </c>
      <c r="I17" s="141">
        <v>1.0602205</v>
      </c>
      <c r="J17" s="81">
        <v>1.0601986999999999</v>
      </c>
      <c r="K17" s="12">
        <v>1.0601798</v>
      </c>
      <c r="L17" s="87">
        <v>1.0602175</v>
      </c>
      <c r="M17" s="87">
        <v>1.0601661</v>
      </c>
      <c r="N17" s="82">
        <v>1.0600533000000001</v>
      </c>
      <c r="O17" s="80">
        <v>1.0603340000000001</v>
      </c>
      <c r="P17" s="3">
        <v>1.0606234000000001</v>
      </c>
      <c r="S17" s="3"/>
      <c r="T17" s="3">
        <v>7</v>
      </c>
      <c r="U17" s="3">
        <v>7</v>
      </c>
      <c r="V17" s="3">
        <v>720</v>
      </c>
      <c r="W17" s="3">
        <f t="shared" si="11"/>
        <v>1440</v>
      </c>
      <c r="X17" s="3">
        <f t="shared" si="12"/>
        <v>60</v>
      </c>
      <c r="Y17" s="3">
        <f t="shared" si="13"/>
        <v>0.16427104722792607</v>
      </c>
      <c r="Z17" s="11">
        <v>0.47053800000000001</v>
      </c>
      <c r="AA17" s="144">
        <v>0.62783299999999997</v>
      </c>
      <c r="AB17" s="83">
        <v>0.62779300000000005</v>
      </c>
      <c r="AC17" s="91">
        <v>0.62792400000000004</v>
      </c>
      <c r="AD17" s="91">
        <v>0.62783999999999995</v>
      </c>
      <c r="AE17" s="91">
        <v>0.62787800000000005</v>
      </c>
      <c r="AF17" s="91">
        <v>0.62815600000000005</v>
      </c>
      <c r="AG17" s="91">
        <v>0.62740799999999997</v>
      </c>
      <c r="AH17" s="91">
        <v>0.62656299999999998</v>
      </c>
      <c r="AK17" s="175"/>
      <c r="AL17" s="259"/>
      <c r="AM17" s="3">
        <v>1</v>
      </c>
      <c r="AN17" s="145">
        <v>55569</v>
      </c>
      <c r="AO17" s="145">
        <v>841.77</v>
      </c>
      <c r="AP17" s="145">
        <v>8150700</v>
      </c>
      <c r="AQ17" s="145">
        <v>542470</v>
      </c>
      <c r="AR17" s="145">
        <v>269920</v>
      </c>
      <c r="AS17" s="145">
        <v>144380</v>
      </c>
      <c r="AT17" s="145">
        <v>95936</v>
      </c>
      <c r="AW17" s="105">
        <v>6</v>
      </c>
      <c r="AX17" s="137">
        <f t="shared" ref="AX17:AX47" si="15">AX16+6.25</f>
        <v>32.5</v>
      </c>
      <c r="AY17" s="134">
        <v>0.3416363</v>
      </c>
      <c r="AZ17" s="106"/>
      <c r="BA17" s="84">
        <f t="shared" ref="BA17:BA47" si="16">BA16+6.25</f>
        <v>32.5</v>
      </c>
      <c r="BB17" s="11">
        <v>0.39686769999999999</v>
      </c>
      <c r="BC17" s="106">
        <v>6</v>
      </c>
      <c r="BD17" s="84">
        <f t="shared" ref="BD17:BD47" si="17">BD16+6.25</f>
        <v>32.5</v>
      </c>
      <c r="BE17" s="135">
        <v>0.51488120000000004</v>
      </c>
      <c r="BF17" s="106">
        <v>6</v>
      </c>
      <c r="BG17" s="84">
        <f t="shared" ref="BG17:BG47" si="18">BG16+6.25</f>
        <v>32.5</v>
      </c>
      <c r="BH17" s="135">
        <v>0.58650679999999999</v>
      </c>
      <c r="BI17" s="106">
        <v>6</v>
      </c>
      <c r="BJ17" s="84">
        <f t="shared" ref="BJ17:BJ47" si="19">BJ16+6.25</f>
        <v>32.5</v>
      </c>
      <c r="BK17" s="134">
        <v>0.65103169999999999</v>
      </c>
      <c r="BN17" s="84">
        <f t="shared" si="14"/>
        <v>38.75</v>
      </c>
      <c r="BO17" s="17">
        <f t="shared" si="3"/>
        <v>60.695433295480001</v>
      </c>
      <c r="BP17" s="17">
        <f t="shared" si="4"/>
        <v>55.35078300304</v>
      </c>
      <c r="BQ17" s="17">
        <f t="shared" si="5"/>
        <v>54.546948749622004</v>
      </c>
      <c r="BR17" s="17">
        <f t="shared" si="6"/>
        <v>51.332169552300002</v>
      </c>
      <c r="BS17" s="17">
        <f t="shared" si="7"/>
        <v>50.296107134535006</v>
      </c>
    </row>
    <row r="18" spans="1:71" x14ac:dyDescent="0.25">
      <c r="A18" s="3"/>
      <c r="B18" s="3">
        <v>8</v>
      </c>
      <c r="C18" s="3">
        <v>8</v>
      </c>
      <c r="D18" s="3">
        <v>720</v>
      </c>
      <c r="E18" s="3">
        <f t="shared" si="8"/>
        <v>2160</v>
      </c>
      <c r="F18" s="3">
        <f t="shared" si="9"/>
        <v>90</v>
      </c>
      <c r="G18" s="3">
        <f t="shared" si="10"/>
        <v>0.24640657084188911</v>
      </c>
      <c r="H18" s="3">
        <v>1.0544766999999999</v>
      </c>
      <c r="I18" s="141">
        <v>1.0562358000000001</v>
      </c>
      <c r="J18" s="81">
        <v>1.0562085999999999</v>
      </c>
      <c r="K18" s="12">
        <v>1.0561908</v>
      </c>
      <c r="L18" s="87">
        <v>1.0562323</v>
      </c>
      <c r="M18" s="87">
        <v>1.0561882</v>
      </c>
      <c r="N18" s="82">
        <v>1.0560560000000001</v>
      </c>
      <c r="O18" s="80">
        <v>1.0563560999999999</v>
      </c>
      <c r="P18" s="3">
        <v>1.0566572000000001</v>
      </c>
      <c r="S18" s="3"/>
      <c r="T18" s="3">
        <v>8</v>
      </c>
      <c r="U18" s="3">
        <v>8</v>
      </c>
      <c r="V18" s="3">
        <v>720</v>
      </c>
      <c r="W18" s="3">
        <f t="shared" si="11"/>
        <v>2160</v>
      </c>
      <c r="X18" s="3">
        <f t="shared" si="12"/>
        <v>90</v>
      </c>
      <c r="Y18" s="3">
        <f t="shared" si="13"/>
        <v>0.24640657084188911</v>
      </c>
      <c r="Z18" s="11">
        <v>0.47313899999999998</v>
      </c>
      <c r="AA18" s="144">
        <v>0.62948499999999996</v>
      </c>
      <c r="AB18" s="83">
        <v>0.62944199999999995</v>
      </c>
      <c r="AC18" s="91">
        <v>0.62957700000000005</v>
      </c>
      <c r="AD18" s="91">
        <v>0.62949100000000002</v>
      </c>
      <c r="AE18" s="91">
        <v>0.62952900000000001</v>
      </c>
      <c r="AF18" s="91">
        <v>0.62981500000000001</v>
      </c>
      <c r="AG18" s="91">
        <v>0.62905</v>
      </c>
      <c r="AH18" s="91">
        <v>0.62818700000000005</v>
      </c>
      <c r="AL18" s="259"/>
      <c r="AM18" s="3">
        <v>3</v>
      </c>
      <c r="AN18" s="145">
        <v>49639</v>
      </c>
      <c r="AO18" s="145">
        <v>2399.5</v>
      </c>
      <c r="AP18" s="145">
        <v>8086700</v>
      </c>
      <c r="AQ18" s="145">
        <v>490500</v>
      </c>
      <c r="AR18" s="145">
        <v>264380</v>
      </c>
      <c r="AS18" s="145">
        <v>146560</v>
      </c>
      <c r="AT18" s="145">
        <v>96482</v>
      </c>
      <c r="AW18" s="104">
        <v>7</v>
      </c>
      <c r="AX18" s="137">
        <f t="shared" si="15"/>
        <v>38.75</v>
      </c>
      <c r="AY18" s="134">
        <v>0.46290130000000002</v>
      </c>
      <c r="AZ18" s="104"/>
      <c r="BA18" s="84">
        <f t="shared" si="16"/>
        <v>38.75</v>
      </c>
      <c r="BB18" s="11">
        <v>0.5339024</v>
      </c>
      <c r="BC18" s="104">
        <v>7</v>
      </c>
      <c r="BD18" s="84">
        <f t="shared" si="17"/>
        <v>38.75</v>
      </c>
      <c r="BE18" s="135">
        <v>0.68271090000000001</v>
      </c>
      <c r="BF18" s="104">
        <v>7</v>
      </c>
      <c r="BG18" s="84">
        <f t="shared" si="18"/>
        <v>38.75</v>
      </c>
      <c r="BH18" s="135">
        <v>0.77378570000000002</v>
      </c>
      <c r="BI18" s="104">
        <v>7</v>
      </c>
      <c r="BJ18" s="84">
        <f t="shared" si="19"/>
        <v>38.75</v>
      </c>
      <c r="BK18" s="134">
        <v>0.85629270000000002</v>
      </c>
      <c r="BN18" s="84">
        <f t="shared" si="14"/>
        <v>45</v>
      </c>
      <c r="BO18" s="17">
        <f t="shared" si="3"/>
        <v>76.247909298319996</v>
      </c>
      <c r="BP18" s="17">
        <f t="shared" si="4"/>
        <v>68.878934597620002</v>
      </c>
      <c r="BQ18" s="17">
        <f t="shared" si="5"/>
        <v>66.329804411332006</v>
      </c>
      <c r="BR18" s="17">
        <f t="shared" si="6"/>
        <v>61.908198288299999</v>
      </c>
      <c r="BS18" s="17">
        <f t="shared" si="7"/>
        <v>60.351672767450012</v>
      </c>
    </row>
    <row r="19" spans="1:71" x14ac:dyDescent="0.25">
      <c r="A19" s="3"/>
      <c r="B19" s="3">
        <v>9</v>
      </c>
      <c r="C19" s="3">
        <v>9</v>
      </c>
      <c r="D19" s="3">
        <v>720</v>
      </c>
      <c r="E19" s="3">
        <f t="shared" si="8"/>
        <v>2880</v>
      </c>
      <c r="F19" s="3">
        <f t="shared" si="9"/>
        <v>120</v>
      </c>
      <c r="G19" s="3">
        <f t="shared" si="10"/>
        <v>0.32854209445585214</v>
      </c>
      <c r="H19" s="3">
        <v>1.0504937999999999</v>
      </c>
      <c r="I19" s="141">
        <v>1.0532428</v>
      </c>
      <c r="J19" s="81">
        <v>1.0532238</v>
      </c>
      <c r="K19" s="12">
        <v>1.0531955</v>
      </c>
      <c r="L19" s="87">
        <v>1.0532391999999999</v>
      </c>
      <c r="M19" s="87">
        <v>1.0531961999999999</v>
      </c>
      <c r="N19" s="82">
        <v>1.0530744000000001</v>
      </c>
      <c r="O19" s="80">
        <v>1.0533781</v>
      </c>
      <c r="P19" s="3">
        <v>1.0536733</v>
      </c>
      <c r="S19" s="3"/>
      <c r="T19" s="3">
        <v>9</v>
      </c>
      <c r="U19" s="3">
        <v>9</v>
      </c>
      <c r="V19" s="3">
        <v>720</v>
      </c>
      <c r="W19" s="3">
        <f t="shared" si="11"/>
        <v>2880</v>
      </c>
      <c r="X19" s="3">
        <f t="shared" si="12"/>
        <v>120</v>
      </c>
      <c r="Y19" s="3">
        <f t="shared" si="13"/>
        <v>0.32854209445585214</v>
      </c>
      <c r="Z19" s="11">
        <v>0.476165</v>
      </c>
      <c r="AA19" s="144">
        <v>0.63078100000000004</v>
      </c>
      <c r="AB19" s="83">
        <v>0.63073800000000002</v>
      </c>
      <c r="AC19" s="91">
        <v>0.63087599999999999</v>
      </c>
      <c r="AD19" s="91">
        <v>0.63078800000000002</v>
      </c>
      <c r="AE19" s="91">
        <v>0.630826</v>
      </c>
      <c r="AF19" s="91">
        <v>0.63111399999999995</v>
      </c>
      <c r="AG19" s="91">
        <v>0.63033700000000004</v>
      </c>
      <c r="AH19" s="91">
        <v>0.62946800000000003</v>
      </c>
      <c r="AL19" s="260"/>
      <c r="AM19" s="3">
        <v>5</v>
      </c>
      <c r="AN19" s="145">
        <v>44144</v>
      </c>
      <c r="AO19" s="145">
        <v>3737.7</v>
      </c>
      <c r="AP19" s="145">
        <v>8021000</v>
      </c>
      <c r="AQ19" s="145">
        <v>443360</v>
      </c>
      <c r="AR19" s="145">
        <v>257360</v>
      </c>
      <c r="AS19" s="145">
        <v>146570</v>
      </c>
      <c r="AT19" s="145">
        <v>97560</v>
      </c>
      <c r="AW19" s="105">
        <v>8</v>
      </c>
      <c r="AX19" s="137">
        <f t="shared" si="15"/>
        <v>45</v>
      </c>
      <c r="AY19" s="134">
        <v>0.58151419999999998</v>
      </c>
      <c r="AZ19" s="106"/>
      <c r="BA19" s="84">
        <f t="shared" si="16"/>
        <v>45</v>
      </c>
      <c r="BB19" s="11">
        <v>0.66439219999999999</v>
      </c>
      <c r="BC19" s="106">
        <v>8</v>
      </c>
      <c r="BD19" s="84">
        <f t="shared" si="17"/>
        <v>45</v>
      </c>
      <c r="BE19" s="135">
        <v>0.83018539999999996</v>
      </c>
      <c r="BF19" s="106">
        <v>8</v>
      </c>
      <c r="BG19" s="84">
        <f t="shared" si="18"/>
        <v>45</v>
      </c>
      <c r="BH19" s="135">
        <v>0.93320970000000003</v>
      </c>
      <c r="BI19" s="106">
        <v>8</v>
      </c>
      <c r="BJ19" s="84">
        <f t="shared" si="19"/>
        <v>45</v>
      </c>
      <c r="BK19" s="134">
        <v>1.0274890000000001</v>
      </c>
      <c r="BN19" s="84">
        <f t="shared" si="14"/>
        <v>51.25</v>
      </c>
      <c r="BO19" s="17">
        <f t="shared" si="3"/>
        <v>91.271999537079992</v>
      </c>
      <c r="BP19" s="17">
        <f t="shared" si="4"/>
        <v>81.444573681380007</v>
      </c>
      <c r="BQ19" s="17">
        <f t="shared" si="5"/>
        <v>76.118656168982</v>
      </c>
      <c r="BR19" s="17">
        <f t="shared" si="6"/>
        <v>70.282057481999999</v>
      </c>
      <c r="BS19" s="17">
        <f t="shared" si="7"/>
        <v>68.076534635250013</v>
      </c>
    </row>
    <row r="20" spans="1:71" x14ac:dyDescent="0.25">
      <c r="A20" s="3"/>
      <c r="B20" s="3">
        <v>10</v>
      </c>
      <c r="C20" s="3">
        <v>10</v>
      </c>
      <c r="D20" s="3">
        <v>720</v>
      </c>
      <c r="E20" s="3">
        <f t="shared" si="8"/>
        <v>3600</v>
      </c>
      <c r="F20" s="3">
        <f t="shared" si="9"/>
        <v>150</v>
      </c>
      <c r="G20" s="3">
        <f t="shared" si="10"/>
        <v>0.41067761806981518</v>
      </c>
      <c r="H20" s="3">
        <v>1.0487412</v>
      </c>
      <c r="I20" s="141">
        <v>1.0508776</v>
      </c>
      <c r="J20" s="81">
        <v>1.0508580999999999</v>
      </c>
      <c r="K20" s="12">
        <v>1.0508466999999999</v>
      </c>
      <c r="L20" s="87">
        <v>1.0508738</v>
      </c>
      <c r="M20" s="87">
        <v>1.0508299999999999</v>
      </c>
      <c r="N20" s="82">
        <v>1.0506896999999999</v>
      </c>
      <c r="O20" s="80">
        <v>1.0510138</v>
      </c>
      <c r="P20" s="3">
        <v>1.0513142</v>
      </c>
      <c r="S20" s="3"/>
      <c r="T20" s="3">
        <v>10</v>
      </c>
      <c r="U20" s="3">
        <v>10</v>
      </c>
      <c r="V20" s="3">
        <v>720</v>
      </c>
      <c r="W20" s="3">
        <f t="shared" si="11"/>
        <v>3600</v>
      </c>
      <c r="X20" s="3">
        <f t="shared" si="12"/>
        <v>150</v>
      </c>
      <c r="Y20" s="3">
        <f t="shared" si="13"/>
        <v>0.41067761806981518</v>
      </c>
      <c r="Z20" s="11">
        <v>0.47926999999999997</v>
      </c>
      <c r="AA20" s="144">
        <v>0.63183</v>
      </c>
      <c r="AB20" s="83">
        <v>0.63178599999999996</v>
      </c>
      <c r="AC20" s="91">
        <v>0.63192400000000004</v>
      </c>
      <c r="AD20" s="91">
        <v>0.63183800000000001</v>
      </c>
      <c r="AE20" s="91">
        <v>0.63187400000000005</v>
      </c>
      <c r="AF20" s="91">
        <v>0.63217100000000004</v>
      </c>
      <c r="AG20" s="91">
        <v>0.63138099999999997</v>
      </c>
      <c r="AH20" s="91">
        <v>0.63050399999999995</v>
      </c>
      <c r="AK20" s="175">
        <f>AN20/(AN20+AP20)</f>
        <v>7.1097419012093373E-3</v>
      </c>
      <c r="AL20" s="213" t="s">
        <v>281</v>
      </c>
      <c r="AM20" s="3">
        <v>0</v>
      </c>
      <c r="AN20" s="145">
        <v>58577</v>
      </c>
      <c r="AO20" s="145">
        <v>0</v>
      </c>
      <c r="AP20" s="145">
        <v>8180400</v>
      </c>
      <c r="AQ20" s="145">
        <v>569810</v>
      </c>
      <c r="AR20" s="145">
        <v>271930</v>
      </c>
      <c r="AS20" s="145">
        <v>142220</v>
      </c>
      <c r="AT20" s="145">
        <v>95972</v>
      </c>
      <c r="AW20" s="104">
        <v>9</v>
      </c>
      <c r="AX20" s="137">
        <f t="shared" si="15"/>
        <v>51.25</v>
      </c>
      <c r="AY20" s="134">
        <v>0.69609730000000003</v>
      </c>
      <c r="AZ20" s="104"/>
      <c r="BA20" s="84">
        <f t="shared" si="16"/>
        <v>51.25</v>
      </c>
      <c r="BB20" s="11">
        <v>0.78559780000000001</v>
      </c>
      <c r="BC20" s="104">
        <v>9</v>
      </c>
      <c r="BD20" s="84">
        <f t="shared" si="17"/>
        <v>51.25</v>
      </c>
      <c r="BE20" s="135">
        <v>0.95270290000000002</v>
      </c>
      <c r="BF20" s="104">
        <v>9</v>
      </c>
      <c r="BG20" s="84">
        <f t="shared" si="18"/>
        <v>51.25</v>
      </c>
      <c r="BH20" s="135">
        <v>1.0594380000000001</v>
      </c>
      <c r="BI20" s="104">
        <v>9</v>
      </c>
      <c r="BJ20" s="84">
        <f t="shared" si="19"/>
        <v>51.25</v>
      </c>
      <c r="BK20" s="134">
        <v>1.1590050000000001</v>
      </c>
      <c r="BN20" s="84">
        <f t="shared" si="14"/>
        <v>57.5</v>
      </c>
      <c r="BO20" s="17">
        <f t="shared" si="3"/>
        <v>105.65397087072</v>
      </c>
      <c r="BP20" s="17">
        <f t="shared" si="4"/>
        <v>92.804319632359991</v>
      </c>
      <c r="BQ20" s="17">
        <f t="shared" si="5"/>
        <v>83.589407479060014</v>
      </c>
      <c r="BR20" s="17">
        <f t="shared" si="6"/>
        <v>76.124931245999989</v>
      </c>
      <c r="BS20" s="17">
        <f t="shared" si="7"/>
        <v>73.1660412807</v>
      </c>
    </row>
    <row r="21" spans="1:71" x14ac:dyDescent="0.25">
      <c r="A21" s="3"/>
      <c r="B21" s="3">
        <v>11</v>
      </c>
      <c r="C21" s="3">
        <v>11</v>
      </c>
      <c r="D21" s="3">
        <v>720</v>
      </c>
      <c r="E21" s="3">
        <f t="shared" si="8"/>
        <v>4320</v>
      </c>
      <c r="F21" s="3">
        <f t="shared" si="9"/>
        <v>180</v>
      </c>
      <c r="G21" s="3">
        <f t="shared" si="10"/>
        <v>0.49281314168377821</v>
      </c>
      <c r="H21" s="3">
        <v>1.0501573</v>
      </c>
      <c r="I21" s="141">
        <v>1.0489609</v>
      </c>
      <c r="J21" s="81">
        <v>1.0489425999999999</v>
      </c>
      <c r="K21" s="12">
        <v>1.0489265999999999</v>
      </c>
      <c r="L21" s="87">
        <v>1.0489568</v>
      </c>
      <c r="M21" s="87">
        <v>1.0489142</v>
      </c>
      <c r="N21" s="82">
        <v>1.0487918000000001</v>
      </c>
      <c r="O21" s="80">
        <v>1.0490984999999999</v>
      </c>
      <c r="P21" s="3">
        <v>1.0493983</v>
      </c>
      <c r="S21" s="3"/>
      <c r="T21" s="3">
        <v>11</v>
      </c>
      <c r="U21" s="3">
        <v>11</v>
      </c>
      <c r="V21" s="3">
        <v>720</v>
      </c>
      <c r="W21" s="3">
        <f t="shared" si="11"/>
        <v>4320</v>
      </c>
      <c r="X21" s="3">
        <f t="shared" si="12"/>
        <v>180</v>
      </c>
      <c r="Y21" s="3">
        <f t="shared" si="13"/>
        <v>0.49281314168377821</v>
      </c>
      <c r="Z21" s="11">
        <v>0.481964</v>
      </c>
      <c r="AA21" s="144">
        <v>0.63271200000000005</v>
      </c>
      <c r="AB21" s="83">
        <v>0.63266500000000003</v>
      </c>
      <c r="AC21" s="91">
        <v>0.63280499999999995</v>
      </c>
      <c r="AD21" s="91">
        <v>0.63271900000000003</v>
      </c>
      <c r="AE21" s="91">
        <v>0.63275599999999999</v>
      </c>
      <c r="AF21" s="91">
        <v>0.63305</v>
      </c>
      <c r="AG21" s="91">
        <v>0.63225900000000002</v>
      </c>
      <c r="AH21" s="91">
        <v>0.63137600000000005</v>
      </c>
      <c r="AL21" s="214"/>
      <c r="AM21" s="3">
        <v>1</v>
      </c>
      <c r="AN21" s="145">
        <v>55569</v>
      </c>
      <c r="AO21" s="145">
        <v>841.78</v>
      </c>
      <c r="AP21" s="145">
        <v>8150700</v>
      </c>
      <c r="AQ21" s="145">
        <v>542480</v>
      </c>
      <c r="AR21" s="145">
        <v>269920</v>
      </c>
      <c r="AS21" s="145">
        <v>144380</v>
      </c>
      <c r="AT21" s="145">
        <v>95936</v>
      </c>
      <c r="AW21" s="105">
        <v>10</v>
      </c>
      <c r="AX21" s="137">
        <f t="shared" si="15"/>
        <v>57.5</v>
      </c>
      <c r="AY21" s="134">
        <v>0.80578320000000003</v>
      </c>
      <c r="AZ21" s="106"/>
      <c r="BA21" s="84">
        <f t="shared" si="16"/>
        <v>57.5</v>
      </c>
      <c r="BB21" s="11">
        <v>0.89517159999999996</v>
      </c>
      <c r="BC21" s="106">
        <v>10</v>
      </c>
      <c r="BD21" s="84">
        <f t="shared" si="17"/>
        <v>57.5</v>
      </c>
      <c r="BE21" s="135">
        <v>1.0462070000000001</v>
      </c>
      <c r="BF21" s="106">
        <v>10</v>
      </c>
      <c r="BG21" s="84">
        <f t="shared" si="18"/>
        <v>57.5</v>
      </c>
      <c r="BH21" s="135">
        <v>1.1475139999999999</v>
      </c>
      <c r="BI21" s="106">
        <v>10</v>
      </c>
      <c r="BJ21" s="84">
        <f t="shared" si="19"/>
        <v>57.5</v>
      </c>
      <c r="BK21" s="134">
        <v>1.245654</v>
      </c>
      <c r="BN21" s="84">
        <f t="shared" si="14"/>
        <v>63.75</v>
      </c>
      <c r="BO21" s="17">
        <f t="shared" si="3"/>
        <v>119.28083753992</v>
      </c>
      <c r="BP21" s="17">
        <f t="shared" si="4"/>
        <v>102.67151909406</v>
      </c>
      <c r="BQ21" s="17">
        <f t="shared" si="5"/>
        <v>88.463958834859994</v>
      </c>
      <c r="BR21" s="17">
        <f t="shared" si="6"/>
        <v>79.143289407000012</v>
      </c>
      <c r="BS21" s="17">
        <f t="shared" si="7"/>
        <v>75.354407552550001</v>
      </c>
    </row>
    <row r="22" spans="1:71" x14ac:dyDescent="0.25">
      <c r="A22" s="3"/>
      <c r="B22" s="3">
        <v>12</v>
      </c>
      <c r="C22" s="3">
        <v>12</v>
      </c>
      <c r="D22" s="3">
        <v>720</v>
      </c>
      <c r="E22" s="3">
        <f t="shared" si="8"/>
        <v>5040</v>
      </c>
      <c r="F22" s="3">
        <f t="shared" si="9"/>
        <v>210</v>
      </c>
      <c r="G22" s="3">
        <f t="shared" si="10"/>
        <v>0.57494866529774125</v>
      </c>
      <c r="H22" s="3">
        <v>1.0563487</v>
      </c>
      <c r="I22" s="141">
        <v>1.0474032</v>
      </c>
      <c r="J22" s="81">
        <v>1.0473676000000001</v>
      </c>
      <c r="K22" s="12">
        <v>1.0473504</v>
      </c>
      <c r="L22" s="87">
        <v>1.0473806000000001</v>
      </c>
      <c r="M22" s="87">
        <v>1.0473391000000001</v>
      </c>
      <c r="N22" s="82">
        <v>1.0472094000000001</v>
      </c>
      <c r="O22" s="80">
        <v>1.0475227</v>
      </c>
      <c r="P22" s="3">
        <v>1.0478194000000001</v>
      </c>
      <c r="S22" s="3"/>
      <c r="T22" s="3">
        <v>12</v>
      </c>
      <c r="U22" s="3">
        <v>12</v>
      </c>
      <c r="V22" s="3">
        <v>720</v>
      </c>
      <c r="W22" s="3">
        <f t="shared" si="11"/>
        <v>5040</v>
      </c>
      <c r="X22" s="3">
        <f t="shared" si="12"/>
        <v>210</v>
      </c>
      <c r="Y22" s="3">
        <f t="shared" si="13"/>
        <v>0.57494866529774125</v>
      </c>
      <c r="Z22" s="11">
        <v>0.48386400000000002</v>
      </c>
      <c r="AA22" s="144">
        <v>0.63344900000000004</v>
      </c>
      <c r="AB22" s="83">
        <v>0.63340300000000005</v>
      </c>
      <c r="AC22" s="91">
        <v>0.63354699999999997</v>
      </c>
      <c r="AD22" s="91">
        <v>0.63346100000000005</v>
      </c>
      <c r="AE22" s="91">
        <v>0.63349599999999995</v>
      </c>
      <c r="AF22" s="91">
        <v>0.633795</v>
      </c>
      <c r="AG22" s="91">
        <v>0.63299700000000003</v>
      </c>
      <c r="AH22" s="91">
        <v>0.63210999999999995</v>
      </c>
      <c r="AK22" s="175"/>
      <c r="AL22" s="214"/>
      <c r="AM22" s="3">
        <v>3</v>
      </c>
      <c r="AN22" s="145">
        <v>49639</v>
      </c>
      <c r="AO22" s="145">
        <v>2399.6</v>
      </c>
      <c r="AP22" s="145">
        <v>8086700</v>
      </c>
      <c r="AQ22" s="145">
        <v>490500</v>
      </c>
      <c r="AR22" s="145">
        <v>264380</v>
      </c>
      <c r="AS22" s="145">
        <v>146560</v>
      </c>
      <c r="AT22" s="145">
        <v>96482</v>
      </c>
      <c r="AW22" s="104">
        <v>11</v>
      </c>
      <c r="AX22" s="137">
        <f t="shared" si="15"/>
        <v>63.75</v>
      </c>
      <c r="AY22" s="134">
        <v>0.90971020000000002</v>
      </c>
      <c r="AZ22" s="104"/>
      <c r="BA22" s="84">
        <f t="shared" si="16"/>
        <v>63.75</v>
      </c>
      <c r="BB22" s="11">
        <v>0.99034860000000002</v>
      </c>
      <c r="BC22" s="104">
        <v>11</v>
      </c>
      <c r="BD22" s="84">
        <f t="shared" si="17"/>
        <v>63.75</v>
      </c>
      <c r="BE22" s="135">
        <v>1.1072169999999999</v>
      </c>
      <c r="BF22" s="104">
        <v>11</v>
      </c>
      <c r="BG22" s="84">
        <f t="shared" si="18"/>
        <v>63.75</v>
      </c>
      <c r="BH22" s="135">
        <v>1.1930130000000001</v>
      </c>
      <c r="BI22" s="104">
        <v>11</v>
      </c>
      <c r="BJ22" s="84">
        <f t="shared" si="19"/>
        <v>63.75</v>
      </c>
      <c r="BK22" s="134">
        <v>1.2829109999999999</v>
      </c>
      <c r="BN22" s="84">
        <f t="shared" si="14"/>
        <v>70</v>
      </c>
      <c r="BO22" s="17">
        <f t="shared" si="3"/>
        <v>132.04333758199999</v>
      </c>
      <c r="BP22" s="17">
        <f t="shared" si="4"/>
        <v>110.7091548038</v>
      </c>
      <c r="BQ22" s="17">
        <f t="shared" si="5"/>
        <v>90.607291315940003</v>
      </c>
      <c r="BR22" s="17">
        <f t="shared" si="6"/>
        <v>79.138645677</v>
      </c>
      <c r="BS22" s="17">
        <f t="shared" si="7"/>
        <v>74.463425241099998</v>
      </c>
    </row>
    <row r="23" spans="1:71" x14ac:dyDescent="0.25">
      <c r="A23" s="3"/>
      <c r="B23" s="3">
        <v>13</v>
      </c>
      <c r="C23" s="3">
        <v>13</v>
      </c>
      <c r="D23" s="3">
        <v>720</v>
      </c>
      <c r="E23" s="3">
        <f t="shared" si="8"/>
        <v>5760</v>
      </c>
      <c r="F23" s="3">
        <f>E23/24</f>
        <v>240</v>
      </c>
      <c r="G23" s="3">
        <f t="shared" si="10"/>
        <v>0.65708418891170428</v>
      </c>
      <c r="H23" s="3">
        <v>1.0669028</v>
      </c>
      <c r="I23" s="141">
        <v>1.0461530999999999</v>
      </c>
      <c r="J23" s="81">
        <v>1.0461228</v>
      </c>
      <c r="K23" s="12">
        <v>1.0461038</v>
      </c>
      <c r="L23" s="87">
        <v>1.0461501</v>
      </c>
      <c r="M23" s="87">
        <v>1.0460940999999999</v>
      </c>
      <c r="N23" s="82">
        <v>1.0459875000000001</v>
      </c>
      <c r="O23" s="80">
        <v>1.0462825</v>
      </c>
      <c r="P23" s="3">
        <v>1.0465658</v>
      </c>
      <c r="S23" s="3"/>
      <c r="T23" s="3">
        <v>13</v>
      </c>
      <c r="U23" s="3">
        <v>13</v>
      </c>
      <c r="V23" s="3">
        <v>720</v>
      </c>
      <c r="W23" s="3">
        <f t="shared" si="11"/>
        <v>5760</v>
      </c>
      <c r="X23" s="3">
        <f>W23/24</f>
        <v>240</v>
      </c>
      <c r="Y23" s="3">
        <f t="shared" si="13"/>
        <v>0.65708418891170428</v>
      </c>
      <c r="Z23" s="11">
        <v>0.48480299999999998</v>
      </c>
      <c r="AA23" s="144">
        <v>0.63407599999999997</v>
      </c>
      <c r="AB23" s="83">
        <v>0.63402899999999995</v>
      </c>
      <c r="AC23" s="91">
        <v>0.63417500000000004</v>
      </c>
      <c r="AD23" s="91">
        <v>0.63408299999999995</v>
      </c>
      <c r="AE23" s="91">
        <v>0.63412199999999996</v>
      </c>
      <c r="AF23" s="91">
        <v>0.63441099999999995</v>
      </c>
      <c r="AG23" s="91">
        <v>0.63361999999999996</v>
      </c>
      <c r="AH23" s="91">
        <v>0.63273400000000002</v>
      </c>
      <c r="AL23" s="215"/>
      <c r="AM23" s="3">
        <v>5</v>
      </c>
      <c r="AN23" s="145">
        <v>44143</v>
      </c>
      <c r="AO23" s="145">
        <v>3738.1</v>
      </c>
      <c r="AP23" s="145">
        <v>8021000</v>
      </c>
      <c r="AQ23" s="145">
        <v>443350</v>
      </c>
      <c r="AR23" s="145">
        <v>257360</v>
      </c>
      <c r="AS23" s="145">
        <v>146570</v>
      </c>
      <c r="AT23" s="145">
        <v>97559</v>
      </c>
      <c r="AW23" s="105">
        <v>12</v>
      </c>
      <c r="AX23" s="137">
        <f t="shared" si="15"/>
        <v>70</v>
      </c>
      <c r="AY23" s="134">
        <v>1.007045</v>
      </c>
      <c r="AZ23" s="106"/>
      <c r="BA23" s="84">
        <f t="shared" si="16"/>
        <v>70</v>
      </c>
      <c r="BB23" s="11">
        <v>1.0678780000000001</v>
      </c>
      <c r="BC23" s="106">
        <v>12</v>
      </c>
      <c r="BD23" s="84">
        <f t="shared" si="17"/>
        <v>70</v>
      </c>
      <c r="BE23" s="135">
        <v>1.1340429999999999</v>
      </c>
      <c r="BF23" s="106">
        <v>12</v>
      </c>
      <c r="BG23" s="84">
        <f t="shared" si="18"/>
        <v>70</v>
      </c>
      <c r="BH23" s="135">
        <v>1.1929430000000001</v>
      </c>
      <c r="BI23" s="106">
        <v>12</v>
      </c>
      <c r="BJ23" s="84">
        <f t="shared" si="19"/>
        <v>70</v>
      </c>
      <c r="BK23" s="134">
        <v>1.2677419999999999</v>
      </c>
      <c r="BN23" s="84">
        <f t="shared" si="14"/>
        <v>76.25</v>
      </c>
      <c r="BO23" s="17">
        <f t="shared" si="3"/>
        <v>143.83610328639998</v>
      </c>
      <c r="BP23" s="17">
        <f t="shared" si="4"/>
        <v>113.2467367955</v>
      </c>
      <c r="BQ23" s="17">
        <f t="shared" si="5"/>
        <v>89.25518456959999</v>
      </c>
      <c r="BR23" s="17">
        <f t="shared" si="6"/>
        <v>72.750199976999994</v>
      </c>
      <c r="BS23" s="17">
        <f t="shared" si="7"/>
        <v>67.144436388800003</v>
      </c>
    </row>
    <row r="24" spans="1:71" x14ac:dyDescent="0.25">
      <c r="A24" s="3"/>
      <c r="B24" s="3">
        <v>14</v>
      </c>
      <c r="C24" s="3">
        <v>14</v>
      </c>
      <c r="D24" s="3">
        <v>720</v>
      </c>
      <c r="E24" s="3">
        <f t="shared" si="8"/>
        <v>6480</v>
      </c>
      <c r="F24" s="3">
        <f t="shared" si="9"/>
        <v>270</v>
      </c>
      <c r="G24" s="3">
        <f t="shared" si="10"/>
        <v>0.73921971252566732</v>
      </c>
      <c r="H24" s="3">
        <v>1.0802451</v>
      </c>
      <c r="I24" s="141">
        <v>1.0451379000000001</v>
      </c>
      <c r="J24" s="81">
        <v>1.0451082</v>
      </c>
      <c r="K24" s="12">
        <v>1.0450888</v>
      </c>
      <c r="L24" s="87">
        <v>1.0451347</v>
      </c>
      <c r="M24" s="87">
        <v>1.0450794000000001</v>
      </c>
      <c r="N24" s="82">
        <v>1.0449657000000001</v>
      </c>
      <c r="O24" s="80">
        <v>1.0452679</v>
      </c>
      <c r="P24" s="3">
        <v>1.0455475000000001</v>
      </c>
      <c r="S24" s="3"/>
      <c r="T24" s="3">
        <v>14</v>
      </c>
      <c r="U24" s="3">
        <v>14</v>
      </c>
      <c r="V24" s="3">
        <v>720</v>
      </c>
      <c r="W24" s="3">
        <f t="shared" si="11"/>
        <v>6480</v>
      </c>
      <c r="X24" s="3">
        <f t="shared" ref="X24:X75" si="20">W24/24</f>
        <v>270</v>
      </c>
      <c r="Y24" s="3">
        <f t="shared" si="13"/>
        <v>0.73921971252566732</v>
      </c>
      <c r="Z24" s="11">
        <v>0.48515399999999997</v>
      </c>
      <c r="AA24" s="144">
        <v>0.63461999999999996</v>
      </c>
      <c r="AB24" s="83">
        <v>0.63457300000000005</v>
      </c>
      <c r="AC24" s="91">
        <v>0.63471900000000003</v>
      </c>
      <c r="AD24" s="91">
        <v>0.63462600000000002</v>
      </c>
      <c r="AE24" s="91">
        <v>0.63466400000000001</v>
      </c>
      <c r="AF24" s="91">
        <v>0.63495999999999997</v>
      </c>
      <c r="AG24" s="91">
        <v>0.63416099999999997</v>
      </c>
      <c r="AH24" s="91">
        <v>0.63327299999999997</v>
      </c>
      <c r="AK24" s="175">
        <f>AN24/(AN24+AP24)</f>
        <v>7.1097419012093373E-3</v>
      </c>
      <c r="AL24" s="254" t="s">
        <v>282</v>
      </c>
      <c r="AM24" s="3">
        <v>0</v>
      </c>
      <c r="AN24" s="145">
        <v>58577</v>
      </c>
      <c r="AO24" s="145">
        <v>0</v>
      </c>
      <c r="AP24" s="145">
        <v>8180400</v>
      </c>
      <c r="AQ24" s="145">
        <v>569810</v>
      </c>
      <c r="AR24" s="145">
        <v>271930</v>
      </c>
      <c r="AS24" s="145">
        <v>142220</v>
      </c>
      <c r="AT24" s="145">
        <v>95972</v>
      </c>
      <c r="AW24" s="104">
        <v>13</v>
      </c>
      <c r="AX24" s="137">
        <f t="shared" si="15"/>
        <v>76.25</v>
      </c>
      <c r="AY24" s="134">
        <v>1.096984</v>
      </c>
      <c r="AZ24" s="104"/>
      <c r="BA24" s="84">
        <f t="shared" si="16"/>
        <v>76.25</v>
      </c>
      <c r="BB24" s="11">
        <v>1.092355</v>
      </c>
      <c r="BC24" s="104">
        <v>13</v>
      </c>
      <c r="BD24" s="84">
        <f t="shared" si="17"/>
        <v>76.25</v>
      </c>
      <c r="BE24" s="135">
        <v>1.1171199999999999</v>
      </c>
      <c r="BF24" s="104">
        <v>13</v>
      </c>
      <c r="BG24" s="84">
        <f t="shared" si="18"/>
        <v>76.25</v>
      </c>
      <c r="BH24" s="135">
        <v>1.096643</v>
      </c>
      <c r="BI24" s="104">
        <v>13</v>
      </c>
      <c r="BJ24" s="84">
        <f t="shared" si="19"/>
        <v>76.25</v>
      </c>
      <c r="BK24" s="134">
        <v>1.1431359999999999</v>
      </c>
      <c r="BN24" s="84">
        <f t="shared" si="14"/>
        <v>82.5</v>
      </c>
      <c r="BO24" s="17">
        <f t="shared" si="3"/>
        <v>154.55814633719999</v>
      </c>
      <c r="BP24" s="17">
        <f t="shared" si="4"/>
        <v>118.84347511399999</v>
      </c>
      <c r="BQ24" s="17">
        <f t="shared" si="5"/>
        <v>88.852740459139994</v>
      </c>
      <c r="BR24" s="17">
        <f t="shared" si="6"/>
        <v>70.515637100999996</v>
      </c>
      <c r="BS24" s="17">
        <f t="shared" si="7"/>
        <v>64.101093617150013</v>
      </c>
    </row>
    <row r="25" spans="1:71" x14ac:dyDescent="0.25">
      <c r="A25" s="3"/>
      <c r="B25" s="3">
        <v>15</v>
      </c>
      <c r="C25" s="3">
        <v>15</v>
      </c>
      <c r="D25" s="3">
        <v>720</v>
      </c>
      <c r="E25" s="3">
        <f t="shared" si="8"/>
        <v>7200</v>
      </c>
      <c r="F25" s="3">
        <f t="shared" si="9"/>
        <v>300</v>
      </c>
      <c r="G25" s="3">
        <f t="shared" si="10"/>
        <v>0.82135523613963035</v>
      </c>
      <c r="H25" s="3">
        <v>1.0899519</v>
      </c>
      <c r="I25" s="141">
        <v>1.0442697000000001</v>
      </c>
      <c r="J25" s="81">
        <v>1.0442426</v>
      </c>
      <c r="K25" s="12">
        <v>1.0442228</v>
      </c>
      <c r="L25" s="87">
        <v>1.0442628</v>
      </c>
      <c r="M25" s="87">
        <v>1.0442144</v>
      </c>
      <c r="N25" s="82">
        <v>1.0440921999999999</v>
      </c>
      <c r="O25" s="80">
        <v>1.0443966</v>
      </c>
      <c r="P25" s="3">
        <v>1.044673</v>
      </c>
      <c r="S25" s="3"/>
      <c r="T25" s="3">
        <v>15</v>
      </c>
      <c r="U25" s="3">
        <v>15</v>
      </c>
      <c r="V25" s="3">
        <v>720</v>
      </c>
      <c r="W25" s="3">
        <f t="shared" si="11"/>
        <v>7200</v>
      </c>
      <c r="X25" s="3">
        <f t="shared" si="20"/>
        <v>300</v>
      </c>
      <c r="Y25" s="3">
        <f t="shared" si="13"/>
        <v>0.82135523613963035</v>
      </c>
      <c r="Z25" s="11">
        <v>0.48647699999999999</v>
      </c>
      <c r="AA25" s="144">
        <v>0.6351</v>
      </c>
      <c r="AB25" s="83">
        <v>0.63504799999999995</v>
      </c>
      <c r="AC25" s="91">
        <v>0.63519800000000004</v>
      </c>
      <c r="AD25" s="91">
        <v>0.63510800000000001</v>
      </c>
      <c r="AE25" s="91">
        <v>0.63514199999999998</v>
      </c>
      <c r="AF25" s="91">
        <v>0.63544400000000001</v>
      </c>
      <c r="AG25" s="91">
        <v>0.63463800000000004</v>
      </c>
      <c r="AH25" s="91">
        <v>0.63375000000000004</v>
      </c>
      <c r="AI25" s="85"/>
      <c r="AL25" s="255"/>
      <c r="AM25" s="3">
        <v>1</v>
      </c>
      <c r="AN25" s="145">
        <v>55569</v>
      </c>
      <c r="AO25" s="145">
        <v>841.74</v>
      </c>
      <c r="AP25" s="145">
        <v>8150700</v>
      </c>
      <c r="AQ25" s="145">
        <v>542480</v>
      </c>
      <c r="AR25" s="145">
        <v>269920</v>
      </c>
      <c r="AS25" s="145">
        <v>144380</v>
      </c>
      <c r="AT25" s="145">
        <v>95936</v>
      </c>
      <c r="AW25" s="105">
        <v>14</v>
      </c>
      <c r="AX25" s="137">
        <f t="shared" si="15"/>
        <v>82.5</v>
      </c>
      <c r="AY25" s="134">
        <v>1.1787570000000001</v>
      </c>
      <c r="AZ25" s="106"/>
      <c r="BA25" s="84">
        <f t="shared" si="16"/>
        <v>82.5</v>
      </c>
      <c r="BB25" s="11">
        <v>1.1463399999999999</v>
      </c>
      <c r="BC25" s="106">
        <v>14</v>
      </c>
      <c r="BD25" s="84">
        <f t="shared" si="17"/>
        <v>82.5</v>
      </c>
      <c r="BE25" s="135">
        <v>1.1120829999999999</v>
      </c>
      <c r="BF25" s="106">
        <v>14</v>
      </c>
      <c r="BG25" s="84">
        <f t="shared" si="18"/>
        <v>82.5</v>
      </c>
      <c r="BH25" s="135">
        <v>1.062959</v>
      </c>
      <c r="BI25" s="106">
        <v>14</v>
      </c>
      <c r="BJ25" s="84">
        <f t="shared" si="19"/>
        <v>82.5</v>
      </c>
      <c r="BK25" s="134">
        <v>1.091323</v>
      </c>
      <c r="BN25" s="84">
        <f t="shared" si="14"/>
        <v>88.75</v>
      </c>
      <c r="BO25" s="17">
        <f t="shared" si="3"/>
        <v>164.1130938284</v>
      </c>
      <c r="BP25" s="17">
        <f t="shared" si="4"/>
        <v>124.12235477390001</v>
      </c>
      <c r="BQ25" s="17">
        <f t="shared" si="5"/>
        <v>88.681599842780017</v>
      </c>
      <c r="BR25" s="17">
        <f t="shared" si="6"/>
        <v>68.915606760000003</v>
      </c>
      <c r="BS25" s="17">
        <f t="shared" si="7"/>
        <v>61.726824582050007</v>
      </c>
    </row>
    <row r="26" spans="1:71" x14ac:dyDescent="0.25">
      <c r="A26" s="3"/>
      <c r="B26" s="3">
        <v>16</v>
      </c>
      <c r="C26" s="3">
        <v>16</v>
      </c>
      <c r="D26" s="3">
        <v>720</v>
      </c>
      <c r="E26" s="3">
        <f t="shared" si="8"/>
        <v>7920</v>
      </c>
      <c r="F26" s="3">
        <f t="shared" si="9"/>
        <v>330</v>
      </c>
      <c r="G26" s="3">
        <f t="shared" si="10"/>
        <v>0.90349075975359339</v>
      </c>
      <c r="H26" s="3">
        <v>1.0890678</v>
      </c>
      <c r="I26" s="141">
        <v>1.0436566</v>
      </c>
      <c r="J26" s="81">
        <v>1.0436437999999999</v>
      </c>
      <c r="K26" s="12">
        <v>1.0436192</v>
      </c>
      <c r="L26" s="87">
        <v>1.0436562</v>
      </c>
      <c r="M26" s="87">
        <v>1.0436155</v>
      </c>
      <c r="N26" s="82">
        <v>1.0435055</v>
      </c>
      <c r="O26" s="80">
        <v>1.0437947999999999</v>
      </c>
      <c r="P26" s="3">
        <v>1.0440547</v>
      </c>
      <c r="S26" s="3"/>
      <c r="T26" s="3">
        <v>16</v>
      </c>
      <c r="U26" s="3">
        <v>16</v>
      </c>
      <c r="V26" s="3">
        <v>720</v>
      </c>
      <c r="W26" s="3">
        <f t="shared" si="11"/>
        <v>7920</v>
      </c>
      <c r="X26" s="3">
        <f t="shared" si="20"/>
        <v>330</v>
      </c>
      <c r="Y26" s="3">
        <f t="shared" si="13"/>
        <v>0.90349075975359339</v>
      </c>
      <c r="Z26" s="11">
        <v>0.49041499999999999</v>
      </c>
      <c r="AA26" s="144">
        <v>0.63549299999999997</v>
      </c>
      <c r="AB26" s="83">
        <v>0.63543799999999995</v>
      </c>
      <c r="AC26" s="91">
        <v>0.63558800000000004</v>
      </c>
      <c r="AD26" s="91">
        <v>0.63549999999999995</v>
      </c>
      <c r="AE26" s="91">
        <v>0.63553099999999996</v>
      </c>
      <c r="AF26" s="91">
        <v>0.63582799999999995</v>
      </c>
      <c r="AG26" s="91">
        <v>0.63502599999999998</v>
      </c>
      <c r="AH26" s="91">
        <v>0.63414300000000001</v>
      </c>
      <c r="AL26" s="255"/>
      <c r="AM26" s="3">
        <v>3</v>
      </c>
      <c r="AN26" s="145">
        <v>49639</v>
      </c>
      <c r="AO26" s="145">
        <v>2399.3000000000002</v>
      </c>
      <c r="AP26" s="145">
        <v>8086700</v>
      </c>
      <c r="AQ26" s="145">
        <v>490500</v>
      </c>
      <c r="AR26" s="145">
        <v>264380</v>
      </c>
      <c r="AS26" s="145">
        <v>146550</v>
      </c>
      <c r="AT26" s="145">
        <v>96483</v>
      </c>
      <c r="AW26" s="104">
        <v>15</v>
      </c>
      <c r="AX26" s="137">
        <f t="shared" si="15"/>
        <v>88.75</v>
      </c>
      <c r="AY26" s="134">
        <v>1.2516290000000001</v>
      </c>
      <c r="AZ26" s="104"/>
      <c r="BA26" s="84">
        <f t="shared" si="16"/>
        <v>88.75</v>
      </c>
      <c r="BB26" s="11">
        <v>1.1972590000000001</v>
      </c>
      <c r="BC26" s="104">
        <v>15</v>
      </c>
      <c r="BD26" s="84">
        <f t="shared" si="17"/>
        <v>88.75</v>
      </c>
      <c r="BE26" s="135">
        <v>1.1099410000000001</v>
      </c>
      <c r="BF26" s="104">
        <v>15</v>
      </c>
      <c r="BG26" s="84">
        <f t="shared" si="18"/>
        <v>88.75</v>
      </c>
      <c r="BH26" s="135">
        <v>1.03884</v>
      </c>
      <c r="BI26" s="104">
        <v>15</v>
      </c>
      <c r="BJ26" s="84">
        <f t="shared" si="19"/>
        <v>88.75</v>
      </c>
      <c r="BK26" s="134">
        <v>1.0509010000000001</v>
      </c>
      <c r="BN26" s="84">
        <f t="shared" si="14"/>
        <v>95</v>
      </c>
      <c r="BO26" s="17">
        <f t="shared" si="3"/>
        <v>172.41034211639999</v>
      </c>
      <c r="BP26" s="17">
        <f t="shared" si="4"/>
        <v>128.8817335407</v>
      </c>
      <c r="BQ26" s="17">
        <f t="shared" si="5"/>
        <v>88.738886407639995</v>
      </c>
      <c r="BR26" s="17">
        <f t="shared" si="6"/>
        <v>67.831494821999996</v>
      </c>
      <c r="BS26" s="17">
        <f t="shared" si="7"/>
        <v>59.894933466650009</v>
      </c>
    </row>
    <row r="27" spans="1:71" x14ac:dyDescent="0.25">
      <c r="A27" s="3" t="s">
        <v>276</v>
      </c>
      <c r="B27" s="3">
        <v>17</v>
      </c>
      <c r="C27" s="3">
        <v>17</v>
      </c>
      <c r="D27" s="3">
        <v>846</v>
      </c>
      <c r="E27" s="3">
        <f t="shared" si="8"/>
        <v>8766</v>
      </c>
      <c r="F27" s="3">
        <f t="shared" si="9"/>
        <v>365.25</v>
      </c>
      <c r="G27" s="3">
        <f t="shared" si="10"/>
        <v>1</v>
      </c>
      <c r="H27" s="3">
        <v>1.0850519000000001</v>
      </c>
      <c r="I27" s="141">
        <v>1.0430387000000001</v>
      </c>
      <c r="J27" s="81">
        <v>1.0430187</v>
      </c>
      <c r="K27" s="12">
        <v>1.0429989</v>
      </c>
      <c r="L27" s="87">
        <v>1.0430360000000001</v>
      </c>
      <c r="M27" s="87">
        <v>1.0429907</v>
      </c>
      <c r="N27" s="82">
        <v>1.0428816000000001</v>
      </c>
      <c r="O27" s="80">
        <v>1.0431629</v>
      </c>
      <c r="P27" s="3">
        <v>1.0434608000000001</v>
      </c>
      <c r="S27" s="3" t="s">
        <v>276</v>
      </c>
      <c r="T27" s="3">
        <v>17</v>
      </c>
      <c r="U27" s="3">
        <v>17</v>
      </c>
      <c r="V27" s="3">
        <v>846</v>
      </c>
      <c r="W27" s="3">
        <f t="shared" si="11"/>
        <v>8766</v>
      </c>
      <c r="X27" s="3">
        <f t="shared" si="20"/>
        <v>365.25</v>
      </c>
      <c r="Y27" s="3">
        <f t="shared" si="13"/>
        <v>1</v>
      </c>
      <c r="Z27" s="11">
        <v>0.494755</v>
      </c>
      <c r="AA27" s="144">
        <v>0.63588199999999995</v>
      </c>
      <c r="AB27" s="83">
        <v>0.635826</v>
      </c>
      <c r="AC27" s="91">
        <v>0.63597599999999999</v>
      </c>
      <c r="AD27" s="91">
        <v>0.63588900000000004</v>
      </c>
      <c r="AE27" s="91">
        <v>0.63592000000000004</v>
      </c>
      <c r="AF27" s="91">
        <v>0.63621899999999998</v>
      </c>
      <c r="AG27" s="91">
        <v>0.63541499999999995</v>
      </c>
      <c r="AH27" s="91">
        <v>0.63451599999999997</v>
      </c>
      <c r="AK27" s="175"/>
      <c r="AL27" s="256"/>
      <c r="AM27" s="3">
        <v>5</v>
      </c>
      <c r="AN27" s="145">
        <v>44145</v>
      </c>
      <c r="AO27" s="145">
        <v>3737.1</v>
      </c>
      <c r="AP27" s="145">
        <v>8021000</v>
      </c>
      <c r="AQ27" s="145">
        <v>443370</v>
      </c>
      <c r="AR27" s="145">
        <v>257360</v>
      </c>
      <c r="AS27" s="145">
        <v>146560</v>
      </c>
      <c r="AT27" s="145">
        <v>97561</v>
      </c>
      <c r="AW27" s="105">
        <v>16</v>
      </c>
      <c r="AX27" s="137">
        <f t="shared" si="15"/>
        <v>95</v>
      </c>
      <c r="AY27" s="134">
        <v>1.3149090000000001</v>
      </c>
      <c r="AZ27" s="106"/>
      <c r="BA27" s="84">
        <f t="shared" si="16"/>
        <v>95</v>
      </c>
      <c r="BB27" s="11">
        <v>1.2431669999999999</v>
      </c>
      <c r="BC27" s="106">
        <v>16</v>
      </c>
      <c r="BD27" s="84">
        <f t="shared" si="17"/>
        <v>95</v>
      </c>
      <c r="BE27" s="135">
        <v>1.1106579999999999</v>
      </c>
      <c r="BF27" s="106">
        <v>16</v>
      </c>
      <c r="BG27" s="84">
        <f t="shared" si="18"/>
        <v>95</v>
      </c>
      <c r="BH27" s="135">
        <v>1.0224979999999999</v>
      </c>
      <c r="BI27" s="106">
        <v>16</v>
      </c>
      <c r="BJ27" s="84">
        <f t="shared" si="19"/>
        <v>95</v>
      </c>
      <c r="BK27" s="134">
        <v>1.0197130000000001</v>
      </c>
      <c r="BN27" s="84">
        <f t="shared" si="14"/>
        <v>101.25</v>
      </c>
      <c r="BO27" s="17">
        <f t="shared" si="3"/>
        <v>179.36558129839997</v>
      </c>
      <c r="BP27" s="17">
        <f t="shared" si="4"/>
        <v>132.96931709949999</v>
      </c>
      <c r="BQ27" s="17">
        <f t="shared" si="5"/>
        <v>88.943344314859999</v>
      </c>
      <c r="BR27" s="17">
        <f t="shared" si="6"/>
        <v>67.142365290000001</v>
      </c>
      <c r="BS27" s="17">
        <f t="shared" si="7"/>
        <v>58.496715612515004</v>
      </c>
    </row>
    <row r="28" spans="1:71" x14ac:dyDescent="0.25">
      <c r="A28" s="3"/>
      <c r="B28" s="3">
        <v>1</v>
      </c>
      <c r="C28" s="3">
        <v>18</v>
      </c>
      <c r="D28" s="3">
        <v>720</v>
      </c>
      <c r="E28" s="3">
        <f t="shared" si="8"/>
        <v>9486</v>
      </c>
      <c r="F28" s="3">
        <f t="shared" si="9"/>
        <v>395.25</v>
      </c>
      <c r="G28" s="3">
        <f t="shared" si="10"/>
        <v>1.0821355236139631</v>
      </c>
      <c r="H28" s="3">
        <v>1.0851443000000001</v>
      </c>
      <c r="I28" s="141">
        <v>1.0430428</v>
      </c>
      <c r="J28" s="81">
        <v>1.043023</v>
      </c>
      <c r="K28" s="12">
        <v>1.0430029999999999</v>
      </c>
      <c r="L28" s="87">
        <v>1.0430398999999999</v>
      </c>
      <c r="M28" s="87">
        <v>1.0429952</v>
      </c>
      <c r="N28" s="82">
        <v>1.042886</v>
      </c>
      <c r="O28" s="80">
        <v>1.0431675</v>
      </c>
      <c r="P28" s="3">
        <v>1.0434644</v>
      </c>
      <c r="Q28" t="s">
        <v>277</v>
      </c>
      <c r="S28" s="3"/>
      <c r="T28" s="3">
        <v>1</v>
      </c>
      <c r="U28" s="3">
        <v>18</v>
      </c>
      <c r="V28" s="3">
        <v>720</v>
      </c>
      <c r="W28" s="3">
        <f t="shared" si="11"/>
        <v>9486</v>
      </c>
      <c r="X28" s="3">
        <f t="shared" si="20"/>
        <v>395.25</v>
      </c>
      <c r="Y28" s="3">
        <f t="shared" si="13"/>
        <v>1.0821355236139631</v>
      </c>
      <c r="Z28" s="11">
        <v>0.49478699999999998</v>
      </c>
      <c r="AA28" s="144">
        <v>0.63588</v>
      </c>
      <c r="AB28" s="83">
        <v>0.63582399999999994</v>
      </c>
      <c r="AC28" s="91">
        <v>0.63597400000000004</v>
      </c>
      <c r="AD28" s="91">
        <v>0.63588699999999998</v>
      </c>
      <c r="AE28" s="91">
        <v>0.63591900000000001</v>
      </c>
      <c r="AF28" s="91">
        <v>0.63621799999999995</v>
      </c>
      <c r="AG28" s="91">
        <v>0.63541199999999998</v>
      </c>
      <c r="AH28" s="91">
        <v>0.63451500000000005</v>
      </c>
      <c r="AI28" t="s">
        <v>277</v>
      </c>
      <c r="AK28" s="175">
        <f>AN28/(AN28+AP28)</f>
        <v>7.1097419012093373E-3</v>
      </c>
      <c r="AL28" s="213" t="s">
        <v>283</v>
      </c>
      <c r="AM28" s="3">
        <v>0</v>
      </c>
      <c r="AN28" s="145">
        <v>58577</v>
      </c>
      <c r="AO28" s="145">
        <v>0</v>
      </c>
      <c r="AP28" s="145">
        <v>8180400</v>
      </c>
      <c r="AQ28" s="145">
        <v>569810</v>
      </c>
      <c r="AR28" s="145">
        <v>271930</v>
      </c>
      <c r="AS28" s="145">
        <v>142220</v>
      </c>
      <c r="AT28" s="145">
        <v>95972</v>
      </c>
      <c r="AW28" s="104">
        <v>17</v>
      </c>
      <c r="AX28" s="137">
        <f t="shared" si="15"/>
        <v>101.25</v>
      </c>
      <c r="AY28" s="134">
        <v>1.3679539999999999</v>
      </c>
      <c r="AZ28" s="104"/>
      <c r="BA28" s="84">
        <f t="shared" si="16"/>
        <v>101.25</v>
      </c>
      <c r="BB28" s="11">
        <v>1.2825949999999999</v>
      </c>
      <c r="BC28" s="104">
        <v>17</v>
      </c>
      <c r="BD28" s="84">
        <f t="shared" si="17"/>
        <v>101.25</v>
      </c>
      <c r="BE28" s="135">
        <v>1.1132169999999999</v>
      </c>
      <c r="BF28" s="104">
        <v>17</v>
      </c>
      <c r="BG28" s="84">
        <f t="shared" si="18"/>
        <v>101.25</v>
      </c>
      <c r="BH28" s="135">
        <v>1.0121100000000001</v>
      </c>
      <c r="BI28" s="104">
        <v>17</v>
      </c>
      <c r="BJ28" s="84">
        <f t="shared" si="19"/>
        <v>101.25</v>
      </c>
      <c r="BK28" s="134">
        <v>0.99590829999999997</v>
      </c>
      <c r="BN28" s="84">
        <f t="shared" si="14"/>
        <v>107.5</v>
      </c>
      <c r="BO28" s="17">
        <f t="shared" si="3"/>
        <v>184.90236864759999</v>
      </c>
      <c r="BP28" s="17">
        <f t="shared" si="4"/>
        <v>136.27739013839999</v>
      </c>
      <c r="BQ28" s="17">
        <f t="shared" si="5"/>
        <v>89.216913628780006</v>
      </c>
      <c r="BR28" s="17">
        <f t="shared" si="6"/>
        <v>66.757665428999999</v>
      </c>
      <c r="BS28" s="17">
        <f t="shared" si="7"/>
        <v>57.460200512280004</v>
      </c>
    </row>
    <row r="29" spans="1:71" x14ac:dyDescent="0.25">
      <c r="A29" s="3"/>
      <c r="B29" s="3">
        <v>2</v>
      </c>
      <c r="C29" s="3">
        <v>19</v>
      </c>
      <c r="D29" s="3">
        <v>720</v>
      </c>
      <c r="E29" s="3">
        <f t="shared" si="8"/>
        <v>10206</v>
      </c>
      <c r="F29" s="3">
        <f t="shared" si="9"/>
        <v>425.25</v>
      </c>
      <c r="G29" s="3">
        <f t="shared" si="10"/>
        <v>1.1642710472279261</v>
      </c>
      <c r="H29" s="3">
        <v>1.0796911</v>
      </c>
      <c r="I29" s="141">
        <v>1.0426381</v>
      </c>
      <c r="J29" s="81">
        <v>1.0426207999999999</v>
      </c>
      <c r="K29" s="12">
        <v>1.0426009999999999</v>
      </c>
      <c r="L29" s="87">
        <v>1.042635</v>
      </c>
      <c r="M29" s="87">
        <v>1.0426004</v>
      </c>
      <c r="N29" s="82">
        <v>1.0424906</v>
      </c>
      <c r="O29" s="80">
        <v>1.0427569000000001</v>
      </c>
      <c r="P29" s="3">
        <v>1.0430349000000001</v>
      </c>
      <c r="S29" s="3"/>
      <c r="T29" s="3">
        <v>2</v>
      </c>
      <c r="U29" s="3">
        <v>19</v>
      </c>
      <c r="V29" s="3">
        <v>720</v>
      </c>
      <c r="W29" s="3">
        <f t="shared" si="11"/>
        <v>10206</v>
      </c>
      <c r="X29" s="3">
        <f t="shared" si="20"/>
        <v>425.25</v>
      </c>
      <c r="Y29" s="3">
        <f t="shared" si="13"/>
        <v>1.1642710472279261</v>
      </c>
      <c r="Z29" s="11">
        <v>0.49871199999999999</v>
      </c>
      <c r="AA29" s="144">
        <v>0.63619199999999998</v>
      </c>
      <c r="AB29" s="83">
        <v>0.63613399999999998</v>
      </c>
      <c r="AC29" s="91">
        <v>0.63628700000000005</v>
      </c>
      <c r="AD29" s="91">
        <v>0.63619899999999996</v>
      </c>
      <c r="AE29" s="91">
        <v>0.63622599999999996</v>
      </c>
      <c r="AF29" s="91">
        <v>0.63652799999999998</v>
      </c>
      <c r="AG29" s="91">
        <v>0.63572499999999998</v>
      </c>
      <c r="AH29" s="91">
        <v>0.63483199999999995</v>
      </c>
      <c r="AL29" s="214"/>
      <c r="AM29" s="3">
        <v>1</v>
      </c>
      <c r="AN29" s="145">
        <v>55569</v>
      </c>
      <c r="AO29" s="145">
        <v>841.76</v>
      </c>
      <c r="AP29" s="145">
        <v>8150700</v>
      </c>
      <c r="AQ29" s="145">
        <v>542470</v>
      </c>
      <c r="AR29" s="145">
        <v>269920</v>
      </c>
      <c r="AS29" s="145">
        <v>144380</v>
      </c>
      <c r="AT29" s="145">
        <v>95936</v>
      </c>
      <c r="AW29" s="105">
        <v>18</v>
      </c>
      <c r="AX29" s="137">
        <f t="shared" si="15"/>
        <v>107.5</v>
      </c>
      <c r="AY29" s="134">
        <v>1.4101809999999999</v>
      </c>
      <c r="AZ29" s="106"/>
      <c r="BA29" s="84">
        <f t="shared" si="16"/>
        <v>107.5</v>
      </c>
      <c r="BB29" s="11">
        <v>1.3145039999999999</v>
      </c>
      <c r="BC29" s="106">
        <v>18</v>
      </c>
      <c r="BD29" s="84">
        <f t="shared" si="17"/>
        <v>107.5</v>
      </c>
      <c r="BE29" s="135">
        <v>1.116641</v>
      </c>
      <c r="BF29" s="106">
        <v>18</v>
      </c>
      <c r="BG29" s="84">
        <f t="shared" si="18"/>
        <v>107.5</v>
      </c>
      <c r="BH29" s="135">
        <v>1.006311</v>
      </c>
      <c r="BI29" s="106">
        <v>18</v>
      </c>
      <c r="BJ29" s="84">
        <f t="shared" si="19"/>
        <v>107.5</v>
      </c>
      <c r="BK29" s="134">
        <v>0.97826159999999995</v>
      </c>
      <c r="BN29" s="84">
        <f t="shared" si="14"/>
        <v>113.75</v>
      </c>
      <c r="BO29" s="17">
        <f t="shared" si="3"/>
        <v>188.95370204839998</v>
      </c>
      <c r="BP29" s="17">
        <f t="shared" si="4"/>
        <v>138.7216672401</v>
      </c>
      <c r="BQ29" s="17">
        <f t="shared" si="5"/>
        <v>89.492160791879996</v>
      </c>
      <c r="BR29" s="17">
        <f t="shared" si="6"/>
        <v>66.608270000999994</v>
      </c>
      <c r="BS29" s="17">
        <f t="shared" si="7"/>
        <v>56.73344699263</v>
      </c>
    </row>
    <row r="30" spans="1:71" x14ac:dyDescent="0.25">
      <c r="A30" s="3"/>
      <c r="B30" s="3">
        <v>3</v>
      </c>
      <c r="C30" s="3">
        <v>20</v>
      </c>
      <c r="D30" s="3">
        <v>720</v>
      </c>
      <c r="E30" s="3">
        <f t="shared" si="8"/>
        <v>10926</v>
      </c>
      <c r="F30" s="3">
        <f t="shared" si="9"/>
        <v>455.25</v>
      </c>
      <c r="G30" s="3">
        <f t="shared" si="10"/>
        <v>1.2464065708418892</v>
      </c>
      <c r="H30" s="3">
        <v>1.0745792000000001</v>
      </c>
      <c r="I30" s="141">
        <v>1.0421115000000001</v>
      </c>
      <c r="J30" s="81">
        <v>1.0420834999999999</v>
      </c>
      <c r="K30" s="12">
        <v>1.0420611</v>
      </c>
      <c r="L30" s="87">
        <v>1.0421007</v>
      </c>
      <c r="M30" s="87">
        <v>1.0420592</v>
      </c>
      <c r="N30" s="82">
        <v>1.0419358000000001</v>
      </c>
      <c r="O30" s="80">
        <v>1.0422442999999999</v>
      </c>
      <c r="P30" s="3">
        <v>1.0425522</v>
      </c>
      <c r="S30" s="3"/>
      <c r="T30" s="3">
        <v>3</v>
      </c>
      <c r="U30" s="3">
        <v>20</v>
      </c>
      <c r="V30" s="3">
        <v>720</v>
      </c>
      <c r="W30" s="3">
        <f t="shared" si="11"/>
        <v>10926</v>
      </c>
      <c r="X30" s="3">
        <f t="shared" si="20"/>
        <v>455.25</v>
      </c>
      <c r="Y30" s="3">
        <f t="shared" si="13"/>
        <v>1.2464065708418892</v>
      </c>
      <c r="Z30" s="11">
        <v>0.50217500000000004</v>
      </c>
      <c r="AA30" s="144">
        <v>0.63653000000000004</v>
      </c>
      <c r="AB30" s="83">
        <v>0.63647600000000004</v>
      </c>
      <c r="AC30" s="91">
        <v>0.636629</v>
      </c>
      <c r="AD30" s="91">
        <v>0.63653999999999999</v>
      </c>
      <c r="AE30" s="91">
        <v>0.63656999999999997</v>
      </c>
      <c r="AF30" s="91">
        <v>0.636876</v>
      </c>
      <c r="AG30" s="91">
        <v>0.63605800000000001</v>
      </c>
      <c r="AH30" s="91">
        <v>0.63515200000000005</v>
      </c>
      <c r="AL30" s="214"/>
      <c r="AM30" s="3">
        <v>3</v>
      </c>
      <c r="AN30" s="145">
        <v>49639</v>
      </c>
      <c r="AO30" s="145">
        <v>2399.5</v>
      </c>
      <c r="AP30" s="145">
        <v>8086700</v>
      </c>
      <c r="AQ30" s="145">
        <v>490500</v>
      </c>
      <c r="AR30" s="145">
        <v>264380</v>
      </c>
      <c r="AS30" s="145">
        <v>146560</v>
      </c>
      <c r="AT30" s="145">
        <v>96482</v>
      </c>
      <c r="AW30" s="104">
        <v>19</v>
      </c>
      <c r="AX30" s="137">
        <f t="shared" si="15"/>
        <v>113.75</v>
      </c>
      <c r="AY30" s="134">
        <v>1.441079</v>
      </c>
      <c r="AZ30" s="104"/>
      <c r="BA30" s="84">
        <f t="shared" si="16"/>
        <v>113.75</v>
      </c>
      <c r="BB30" s="11">
        <v>1.3380810000000001</v>
      </c>
      <c r="BC30" s="104">
        <v>19</v>
      </c>
      <c r="BD30" s="84">
        <f t="shared" si="17"/>
        <v>113.75</v>
      </c>
      <c r="BE30" s="135">
        <v>1.1200859999999999</v>
      </c>
      <c r="BF30" s="104">
        <v>19</v>
      </c>
      <c r="BG30" s="84">
        <f t="shared" si="18"/>
        <v>113.75</v>
      </c>
      <c r="BH30" s="135">
        <v>1.004059</v>
      </c>
      <c r="BI30" s="104">
        <v>19</v>
      </c>
      <c r="BJ30" s="84">
        <f t="shared" si="19"/>
        <v>113.75</v>
      </c>
      <c r="BK30" s="134">
        <v>0.96588859999999999</v>
      </c>
      <c r="BN30" s="84">
        <f t="shared" si="14"/>
        <v>120</v>
      </c>
      <c r="BO30" s="17">
        <f t="shared" si="3"/>
        <v>191.4624133552</v>
      </c>
      <c r="BP30" s="17">
        <f t="shared" si="4"/>
        <v>140.23082199980001</v>
      </c>
      <c r="BQ30" s="17">
        <f t="shared" si="5"/>
        <v>89.717152377160005</v>
      </c>
      <c r="BR30" s="17">
        <f t="shared" si="6"/>
        <v>66.643296992999993</v>
      </c>
      <c r="BS30" s="17">
        <f t="shared" si="7"/>
        <v>56.277612242400004</v>
      </c>
    </row>
    <row r="31" spans="1:71" x14ac:dyDescent="0.25">
      <c r="A31" s="3"/>
      <c r="B31" s="3">
        <v>4</v>
      </c>
      <c r="C31" s="3">
        <v>21</v>
      </c>
      <c r="D31" s="3">
        <v>720</v>
      </c>
      <c r="E31" s="3">
        <f t="shared" si="8"/>
        <v>11646</v>
      </c>
      <c r="F31" s="3">
        <f t="shared" si="9"/>
        <v>485.25</v>
      </c>
      <c r="G31" s="3">
        <f t="shared" si="10"/>
        <v>1.3285420944558521</v>
      </c>
      <c r="H31" s="3">
        <v>1.0712229</v>
      </c>
      <c r="I31" s="141">
        <v>1.0415988</v>
      </c>
      <c r="J31" s="81">
        <v>1.0415748</v>
      </c>
      <c r="K31" s="12">
        <v>1.0415521999999999</v>
      </c>
      <c r="L31" s="87">
        <v>1.0415881</v>
      </c>
      <c r="M31" s="87">
        <v>1.0415521999999999</v>
      </c>
      <c r="N31" s="82">
        <v>1.041434</v>
      </c>
      <c r="O31" s="80">
        <v>1.0417273</v>
      </c>
      <c r="P31" s="3">
        <v>1.0420214000000001</v>
      </c>
      <c r="S31" s="3"/>
      <c r="T31" s="3">
        <v>4</v>
      </c>
      <c r="U31" s="3">
        <v>21</v>
      </c>
      <c r="V31" s="3">
        <v>720</v>
      </c>
      <c r="W31" s="3">
        <f t="shared" si="11"/>
        <v>11646</v>
      </c>
      <c r="X31" s="3">
        <f t="shared" si="20"/>
        <v>485.25</v>
      </c>
      <c r="Y31" s="3">
        <f t="shared" si="13"/>
        <v>1.3285420944558521</v>
      </c>
      <c r="Z31" s="11">
        <v>0.50441499999999995</v>
      </c>
      <c r="AA31" s="144">
        <v>0.63685599999999998</v>
      </c>
      <c r="AB31" s="83">
        <v>0.63679799999999998</v>
      </c>
      <c r="AC31" s="91">
        <v>0.63695400000000002</v>
      </c>
      <c r="AD31" s="91">
        <v>0.63686600000000004</v>
      </c>
      <c r="AE31" s="91">
        <v>0.63689200000000001</v>
      </c>
      <c r="AF31" s="91">
        <v>0.63719999999999999</v>
      </c>
      <c r="AG31" s="91">
        <v>0.63638300000000003</v>
      </c>
      <c r="AH31" s="91">
        <v>0.63547600000000004</v>
      </c>
      <c r="AL31" s="215"/>
      <c r="AM31" s="3">
        <v>5</v>
      </c>
      <c r="AN31" s="11">
        <v>44145</v>
      </c>
      <c r="AO31" s="11">
        <v>3737.5</v>
      </c>
      <c r="AP31" s="11">
        <v>8021000</v>
      </c>
      <c r="AQ31" s="145">
        <v>443370</v>
      </c>
      <c r="AR31" s="145">
        <v>257360</v>
      </c>
      <c r="AS31" s="145">
        <v>146570</v>
      </c>
      <c r="AT31" s="145">
        <v>97560</v>
      </c>
      <c r="AW31" s="105">
        <v>20</v>
      </c>
      <c r="AX31" s="137">
        <f t="shared" si="15"/>
        <v>120</v>
      </c>
      <c r="AY31" s="134">
        <v>1.4602120000000001</v>
      </c>
      <c r="AZ31" s="106"/>
      <c r="BA31" s="84">
        <f t="shared" si="16"/>
        <v>120</v>
      </c>
      <c r="BB31" s="11">
        <v>1.352638</v>
      </c>
      <c r="BC31" s="106">
        <v>20</v>
      </c>
      <c r="BD31" s="84">
        <f t="shared" si="17"/>
        <v>120</v>
      </c>
      <c r="BE31" s="135">
        <v>1.1229020000000001</v>
      </c>
      <c r="BF31" s="106">
        <v>20</v>
      </c>
      <c r="BG31" s="84">
        <f t="shared" si="18"/>
        <v>120</v>
      </c>
      <c r="BH31" s="135">
        <v>1.0045869999999999</v>
      </c>
      <c r="BI31" s="106">
        <v>20</v>
      </c>
      <c r="BJ31" s="84">
        <f t="shared" si="19"/>
        <v>120</v>
      </c>
      <c r="BK31" s="134">
        <v>0.95812799999999998</v>
      </c>
      <c r="BN31" s="84">
        <f t="shared" si="14"/>
        <v>126.25</v>
      </c>
      <c r="BO31" s="17">
        <f t="shared" si="3"/>
        <v>192.38365966480001</v>
      </c>
      <c r="BP31" s="17">
        <f t="shared" si="4"/>
        <v>140.43764783929998</v>
      </c>
      <c r="BQ31" s="17">
        <f t="shared" si="5"/>
        <v>89.635976435879996</v>
      </c>
      <c r="BR31" s="17">
        <f t="shared" si="6"/>
        <v>66.632749092000012</v>
      </c>
      <c r="BS31" s="17">
        <f t="shared" si="7"/>
        <v>55.901630511645003</v>
      </c>
    </row>
    <row r="32" spans="1:71" x14ac:dyDescent="0.25">
      <c r="A32" s="3"/>
      <c r="B32" s="3">
        <v>5</v>
      </c>
      <c r="C32" s="3">
        <v>22</v>
      </c>
      <c r="D32" s="3">
        <v>720</v>
      </c>
      <c r="E32" s="3">
        <f t="shared" si="8"/>
        <v>12366</v>
      </c>
      <c r="F32" s="3">
        <f t="shared" si="9"/>
        <v>515.25</v>
      </c>
      <c r="G32" s="3">
        <f t="shared" si="10"/>
        <v>1.4106776180698153</v>
      </c>
      <c r="H32" s="3">
        <v>1.0697478</v>
      </c>
      <c r="I32" s="141">
        <v>1.0408980999999999</v>
      </c>
      <c r="J32" s="81">
        <v>1.0408621</v>
      </c>
      <c r="K32" s="12">
        <v>1.0408427</v>
      </c>
      <c r="L32" s="87">
        <v>1.0408947</v>
      </c>
      <c r="M32" s="87">
        <v>1.0408310999999999</v>
      </c>
      <c r="N32" s="82">
        <v>1.0406995999999999</v>
      </c>
      <c r="O32" s="80">
        <v>1.0410413000000001</v>
      </c>
      <c r="P32" s="3">
        <v>1.0413927000000001</v>
      </c>
      <c r="S32" s="3"/>
      <c r="T32" s="3">
        <v>5</v>
      </c>
      <c r="U32" s="3">
        <v>22</v>
      </c>
      <c r="V32" s="3">
        <v>720</v>
      </c>
      <c r="W32" s="3">
        <f t="shared" si="11"/>
        <v>12366</v>
      </c>
      <c r="X32" s="3">
        <f t="shared" si="20"/>
        <v>515.25</v>
      </c>
      <c r="Y32" s="3">
        <f t="shared" si="13"/>
        <v>1.4106776180698153</v>
      </c>
      <c r="Z32" s="11">
        <v>0.50558099999999995</v>
      </c>
      <c r="AA32" s="144">
        <v>0.63722699999999999</v>
      </c>
      <c r="AB32" s="83">
        <v>0.63717299999999999</v>
      </c>
      <c r="AC32" s="91">
        <v>0.63733099999999998</v>
      </c>
      <c r="AD32" s="91">
        <v>0.63723600000000002</v>
      </c>
      <c r="AE32" s="91">
        <v>0.63727100000000003</v>
      </c>
      <c r="AF32" s="91">
        <v>0.63758700000000001</v>
      </c>
      <c r="AG32" s="91">
        <v>0.63674600000000003</v>
      </c>
      <c r="AH32" s="91">
        <v>0.63581699999999997</v>
      </c>
      <c r="AK32" s="175">
        <f>AN32/(AN32+AP32)</f>
        <v>7.1097419012093373E-3</v>
      </c>
      <c r="AL32" s="254" t="s">
        <v>284</v>
      </c>
      <c r="AM32" s="3">
        <v>0</v>
      </c>
      <c r="AN32" s="145">
        <v>58577</v>
      </c>
      <c r="AO32" s="145">
        <v>0</v>
      </c>
      <c r="AP32" s="145">
        <v>8180400</v>
      </c>
      <c r="AQ32" s="145">
        <v>569810</v>
      </c>
      <c r="AR32" s="145">
        <v>271930</v>
      </c>
      <c r="AS32" s="145">
        <v>142220</v>
      </c>
      <c r="AT32" s="145">
        <v>95972</v>
      </c>
      <c r="AW32" s="104">
        <v>21</v>
      </c>
      <c r="AX32" s="137">
        <f t="shared" si="15"/>
        <v>126.25</v>
      </c>
      <c r="AY32" s="134">
        <v>1.467238</v>
      </c>
      <c r="AZ32" s="104"/>
      <c r="BA32" s="84">
        <f t="shared" si="16"/>
        <v>126.25</v>
      </c>
      <c r="BB32" s="11">
        <v>1.354633</v>
      </c>
      <c r="BC32" s="104">
        <v>21</v>
      </c>
      <c r="BD32" s="84">
        <f t="shared" si="17"/>
        <v>126.25</v>
      </c>
      <c r="BE32" s="135">
        <v>1.1218859999999999</v>
      </c>
      <c r="BF32" s="104">
        <v>21</v>
      </c>
      <c r="BG32" s="84">
        <f t="shared" si="18"/>
        <v>126.25</v>
      </c>
      <c r="BH32" s="135">
        <v>1.0044280000000001</v>
      </c>
      <c r="BI32" s="104">
        <v>21</v>
      </c>
      <c r="BJ32" s="84">
        <f t="shared" si="19"/>
        <v>126.25</v>
      </c>
      <c r="BK32" s="134">
        <v>0.95172690000000004</v>
      </c>
      <c r="BN32" s="84">
        <f t="shared" si="14"/>
        <v>132.5</v>
      </c>
      <c r="BO32" s="17">
        <f t="shared" si="3"/>
        <v>191.68557891439997</v>
      </c>
      <c r="BP32" s="17">
        <f t="shared" si="4"/>
        <v>140.11543495250001</v>
      </c>
      <c r="BQ32" s="17">
        <f t="shared" si="5"/>
        <v>89.928641271420005</v>
      </c>
      <c r="BR32" s="17">
        <f t="shared" si="6"/>
        <v>67.139181018000002</v>
      </c>
      <c r="BS32" s="17">
        <f t="shared" si="7"/>
        <v>56.087879823490006</v>
      </c>
    </row>
    <row r="33" spans="1:71" x14ac:dyDescent="0.25">
      <c r="A33" s="3"/>
      <c r="B33" s="3">
        <v>6</v>
      </c>
      <c r="C33" s="3">
        <v>23</v>
      </c>
      <c r="D33" s="3">
        <v>720</v>
      </c>
      <c r="E33" s="3">
        <f t="shared" si="8"/>
        <v>13086</v>
      </c>
      <c r="F33" s="3">
        <f t="shared" si="9"/>
        <v>545.25</v>
      </c>
      <c r="G33" s="3">
        <f t="shared" si="10"/>
        <v>1.4928131416837782</v>
      </c>
      <c r="H33" s="3">
        <v>1.0698274000000001</v>
      </c>
      <c r="I33" s="141">
        <v>1.0400794</v>
      </c>
      <c r="J33" s="81">
        <v>1.0400457000000001</v>
      </c>
      <c r="K33" s="12">
        <v>1.0400267000000001</v>
      </c>
      <c r="L33" s="87">
        <v>1.0400695</v>
      </c>
      <c r="M33" s="87">
        <v>1.0400159</v>
      </c>
      <c r="N33" s="82">
        <v>1.0398858</v>
      </c>
      <c r="O33" s="80">
        <v>1.040222</v>
      </c>
      <c r="P33" s="3">
        <v>1.0405759999999999</v>
      </c>
      <c r="S33" s="3"/>
      <c r="T33" s="3">
        <v>6</v>
      </c>
      <c r="U33" s="3">
        <v>23</v>
      </c>
      <c r="V33" s="3">
        <v>720</v>
      </c>
      <c r="W33" s="3">
        <f t="shared" si="11"/>
        <v>13086</v>
      </c>
      <c r="X33" s="3">
        <f t="shared" si="20"/>
        <v>545.25</v>
      </c>
      <c r="Y33" s="12">
        <f t="shared" si="13"/>
        <v>1.4928131416837782</v>
      </c>
      <c r="Z33" s="11">
        <v>0.50606300000000004</v>
      </c>
      <c r="AA33" s="144">
        <v>0.63762600000000003</v>
      </c>
      <c r="AB33" s="86">
        <v>0.637571</v>
      </c>
      <c r="AC33" s="91">
        <v>0.63772899999999999</v>
      </c>
      <c r="AD33" s="91">
        <v>0.63763700000000001</v>
      </c>
      <c r="AE33" s="91">
        <v>0.63766800000000001</v>
      </c>
      <c r="AF33" s="91">
        <v>0.637988</v>
      </c>
      <c r="AG33" s="91">
        <v>0.63713799999999998</v>
      </c>
      <c r="AH33" s="91">
        <v>0.63619999999999999</v>
      </c>
      <c r="AL33" s="255"/>
      <c r="AM33" s="3">
        <v>1</v>
      </c>
      <c r="AN33" s="11">
        <v>55569</v>
      </c>
      <c r="AO33" s="11">
        <v>841.76</v>
      </c>
      <c r="AP33" s="11">
        <v>8150700</v>
      </c>
      <c r="AQ33" s="11">
        <v>542480</v>
      </c>
      <c r="AR33" s="11">
        <v>269920</v>
      </c>
      <c r="AS33" s="11">
        <v>144380</v>
      </c>
      <c r="AT33" s="11">
        <v>95936</v>
      </c>
      <c r="AW33" s="105">
        <v>22</v>
      </c>
      <c r="AX33" s="137">
        <f t="shared" si="15"/>
        <v>132.5</v>
      </c>
      <c r="AY33" s="134">
        <v>1.4619139999999999</v>
      </c>
      <c r="AZ33" s="106"/>
      <c r="BA33" s="84">
        <f t="shared" si="16"/>
        <v>132.5</v>
      </c>
      <c r="BB33" s="11">
        <v>1.3515250000000001</v>
      </c>
      <c r="BC33" s="106">
        <v>22</v>
      </c>
      <c r="BD33" s="84">
        <f t="shared" si="17"/>
        <v>132.5</v>
      </c>
      <c r="BE33" s="135">
        <v>1.1255489999999999</v>
      </c>
      <c r="BF33" s="106">
        <v>22</v>
      </c>
      <c r="BG33" s="84">
        <f t="shared" si="18"/>
        <v>132.5</v>
      </c>
      <c r="BH33" s="135">
        <v>1.012062</v>
      </c>
      <c r="BI33" s="106">
        <v>22</v>
      </c>
      <c r="BJ33" s="84">
        <f t="shared" si="19"/>
        <v>132.5</v>
      </c>
      <c r="BK33" s="134">
        <v>0.95489780000000002</v>
      </c>
      <c r="BN33" s="84">
        <f t="shared" si="14"/>
        <v>138.75</v>
      </c>
      <c r="BO33" s="17">
        <f t="shared" si="3"/>
        <v>189.35086331679997</v>
      </c>
      <c r="BP33" s="17">
        <f t="shared" si="4"/>
        <v>138.92351681880001</v>
      </c>
      <c r="BQ33" s="17">
        <f t="shared" si="5"/>
        <v>90.361606257440002</v>
      </c>
      <c r="BR33" s="17">
        <f t="shared" si="6"/>
        <v>67.958799362999997</v>
      </c>
      <c r="BS33" s="17">
        <f t="shared" si="7"/>
        <v>56.660677661385009</v>
      </c>
    </row>
    <row r="34" spans="1:71" x14ac:dyDescent="0.25">
      <c r="A34" s="3"/>
      <c r="B34" s="3">
        <v>7</v>
      </c>
      <c r="C34" s="3">
        <v>24</v>
      </c>
      <c r="D34" s="3">
        <v>720</v>
      </c>
      <c r="E34" s="3">
        <f t="shared" si="8"/>
        <v>13806</v>
      </c>
      <c r="F34" s="3">
        <f t="shared" si="9"/>
        <v>575.25</v>
      </c>
      <c r="G34" s="3">
        <f t="shared" si="10"/>
        <v>1.5749486652977414</v>
      </c>
      <c r="H34" s="12">
        <v>1.0695101</v>
      </c>
      <c r="I34" s="141">
        <v>1.0391518</v>
      </c>
      <c r="J34" s="81">
        <v>1.0391104</v>
      </c>
      <c r="K34" s="12">
        <v>1.0390877999999999</v>
      </c>
      <c r="L34" s="87">
        <v>1.0391489</v>
      </c>
      <c r="M34" s="87">
        <v>1.0390743</v>
      </c>
      <c r="N34" s="82">
        <v>1.038923</v>
      </c>
      <c r="O34" s="80">
        <v>1.0393152000000001</v>
      </c>
      <c r="P34" s="3">
        <v>1.0397194999999999</v>
      </c>
      <c r="S34" s="3"/>
      <c r="T34" s="3">
        <v>7</v>
      </c>
      <c r="U34" s="3">
        <v>24</v>
      </c>
      <c r="V34" s="3">
        <v>720</v>
      </c>
      <c r="W34" s="3">
        <f t="shared" si="11"/>
        <v>13806</v>
      </c>
      <c r="X34" s="3">
        <f t="shared" si="20"/>
        <v>575.25</v>
      </c>
      <c r="Y34" s="12">
        <f t="shared" si="13"/>
        <v>1.5749486652977414</v>
      </c>
      <c r="Z34" s="91">
        <v>0.50723499999999999</v>
      </c>
      <c r="AA34" s="144">
        <v>0.63803900000000002</v>
      </c>
      <c r="AB34" s="83">
        <v>0.637984</v>
      </c>
      <c r="AC34" s="91">
        <v>0.63814599999999999</v>
      </c>
      <c r="AD34" s="91">
        <v>0.63804700000000003</v>
      </c>
      <c r="AE34" s="91">
        <v>0.63808600000000004</v>
      </c>
      <c r="AF34" s="91">
        <v>0.63841599999999998</v>
      </c>
      <c r="AG34" s="91">
        <v>0.63753899999999997</v>
      </c>
      <c r="AH34" s="91">
        <v>0.63657699999999995</v>
      </c>
      <c r="AL34" s="255"/>
      <c r="AM34" s="3">
        <v>3</v>
      </c>
      <c r="AN34" s="11">
        <v>49639</v>
      </c>
      <c r="AO34" s="11">
        <v>2399.4</v>
      </c>
      <c r="AP34" s="11">
        <v>8086700</v>
      </c>
      <c r="AQ34" s="11">
        <v>490500</v>
      </c>
      <c r="AR34" s="11">
        <v>264380</v>
      </c>
      <c r="AS34" s="11">
        <v>146560</v>
      </c>
      <c r="AT34" s="11">
        <v>96482</v>
      </c>
      <c r="AW34" s="104">
        <v>23</v>
      </c>
      <c r="AX34" s="137">
        <f t="shared" si="15"/>
        <v>138.75</v>
      </c>
      <c r="AY34" s="134">
        <v>1.4441079999999999</v>
      </c>
      <c r="AZ34" s="104"/>
      <c r="BA34" s="84">
        <f t="shared" si="16"/>
        <v>138.75</v>
      </c>
      <c r="BB34" s="11">
        <v>1.340028</v>
      </c>
      <c r="BC34" s="104">
        <v>23</v>
      </c>
      <c r="BD34" s="84">
        <f t="shared" si="17"/>
        <v>138.75</v>
      </c>
      <c r="BE34" s="135">
        <v>1.130968</v>
      </c>
      <c r="BF34" s="104">
        <v>23</v>
      </c>
      <c r="BG34" s="84">
        <f t="shared" si="18"/>
        <v>138.75</v>
      </c>
      <c r="BH34" s="135">
        <v>1.0244169999999999</v>
      </c>
      <c r="BI34" s="104">
        <v>23</v>
      </c>
      <c r="BJ34" s="84">
        <f t="shared" si="19"/>
        <v>138.75</v>
      </c>
      <c r="BK34" s="134">
        <v>0.96464970000000005</v>
      </c>
      <c r="BN34" s="84">
        <f t="shared" si="14"/>
        <v>145</v>
      </c>
      <c r="BO34" s="17">
        <f t="shared" si="3"/>
        <v>185.37754607799999</v>
      </c>
      <c r="BP34" s="17">
        <f t="shared" si="4"/>
        <v>136.84509855799999</v>
      </c>
      <c r="BQ34" s="17">
        <f t="shared" si="5"/>
        <v>90.928958973020002</v>
      </c>
      <c r="BR34" s="17">
        <f t="shared" si="6"/>
        <v>69.09439036500001</v>
      </c>
      <c r="BS34" s="17">
        <f t="shared" si="7"/>
        <v>57.616517423445003</v>
      </c>
    </row>
    <row r="35" spans="1:71" x14ac:dyDescent="0.25">
      <c r="A35" s="3"/>
      <c r="B35" s="3">
        <v>8</v>
      </c>
      <c r="C35" s="3">
        <v>25</v>
      </c>
      <c r="D35" s="3">
        <v>720</v>
      </c>
      <c r="E35" s="3">
        <f t="shared" si="8"/>
        <v>14526</v>
      </c>
      <c r="F35" s="3">
        <f t="shared" si="9"/>
        <v>605.25</v>
      </c>
      <c r="G35" s="3">
        <f t="shared" si="10"/>
        <v>1.6570841889117043</v>
      </c>
      <c r="H35" s="3">
        <v>1.0673044</v>
      </c>
      <c r="I35" s="141">
        <v>1.0381351000000001</v>
      </c>
      <c r="J35" s="81">
        <v>1.038097</v>
      </c>
      <c r="K35" s="12">
        <v>1.0380731000000001</v>
      </c>
      <c r="L35" s="87">
        <v>1.0381301999999999</v>
      </c>
      <c r="M35" s="87">
        <v>1.0380611</v>
      </c>
      <c r="N35" s="82">
        <v>1.0378925999999999</v>
      </c>
      <c r="O35" s="80">
        <v>1.0383019</v>
      </c>
      <c r="P35" s="3">
        <v>1.0387077</v>
      </c>
      <c r="S35" s="3"/>
      <c r="T35" s="3">
        <v>8</v>
      </c>
      <c r="U35" s="3">
        <v>25</v>
      </c>
      <c r="V35" s="3">
        <v>720</v>
      </c>
      <c r="W35" s="3">
        <f t="shared" si="11"/>
        <v>14526</v>
      </c>
      <c r="X35" s="3">
        <f t="shared" si="20"/>
        <v>605.25</v>
      </c>
      <c r="Y35" s="12">
        <f t="shared" si="13"/>
        <v>1.6570841889117043</v>
      </c>
      <c r="Z35" s="11">
        <v>0.50968100000000005</v>
      </c>
      <c r="AA35" s="144">
        <v>0.63846000000000003</v>
      </c>
      <c r="AB35" s="83">
        <v>0.63840200000000003</v>
      </c>
      <c r="AC35" s="91">
        <v>0.638567</v>
      </c>
      <c r="AD35" s="91">
        <v>0.63846899999999995</v>
      </c>
      <c r="AE35" s="91">
        <v>0.63850499999999999</v>
      </c>
      <c r="AF35" s="91">
        <v>0.63884799999999997</v>
      </c>
      <c r="AG35" s="91">
        <v>0.63795100000000005</v>
      </c>
      <c r="AH35" s="91">
        <v>0.63697899999999996</v>
      </c>
      <c r="AL35" s="256"/>
      <c r="AM35" s="3">
        <v>5</v>
      </c>
      <c r="AN35" s="11">
        <v>44144</v>
      </c>
      <c r="AO35" s="11">
        <v>3737.7</v>
      </c>
      <c r="AP35" s="11">
        <v>8021000</v>
      </c>
      <c r="AQ35" s="11">
        <v>443360</v>
      </c>
      <c r="AR35" s="11">
        <v>257360</v>
      </c>
      <c r="AS35" s="11">
        <v>146570</v>
      </c>
      <c r="AT35" s="11">
        <v>97560</v>
      </c>
      <c r="AW35" s="105">
        <v>24</v>
      </c>
      <c r="AX35" s="137">
        <f t="shared" si="15"/>
        <v>145</v>
      </c>
      <c r="AY35" s="134">
        <v>1.413805</v>
      </c>
      <c r="AZ35" s="106"/>
      <c r="BA35" s="84">
        <f t="shared" si="16"/>
        <v>145</v>
      </c>
      <c r="BB35" s="11">
        <v>1.3199799999999999</v>
      </c>
      <c r="BC35" s="106">
        <v>24</v>
      </c>
      <c r="BD35" s="84">
        <f t="shared" si="17"/>
        <v>145</v>
      </c>
      <c r="BE35" s="135">
        <v>1.138069</v>
      </c>
      <c r="BF35" s="106">
        <v>24</v>
      </c>
      <c r="BG35" s="84">
        <f t="shared" si="18"/>
        <v>145</v>
      </c>
      <c r="BH35" s="135">
        <v>1.0415350000000001</v>
      </c>
      <c r="BI35" s="106">
        <v>24</v>
      </c>
      <c r="BJ35" s="84">
        <f t="shared" si="19"/>
        <v>145</v>
      </c>
      <c r="BK35" s="134">
        <v>0.98092290000000004</v>
      </c>
      <c r="BN35" s="84">
        <f t="shared" si="14"/>
        <v>151.25</v>
      </c>
      <c r="BO35" s="17">
        <f t="shared" si="3"/>
        <v>179.77991923439998</v>
      </c>
      <c r="BP35" s="17">
        <f t="shared" si="4"/>
        <v>133.8913767569</v>
      </c>
      <c r="BQ35" s="17">
        <f t="shared" si="5"/>
        <v>91.635493272960005</v>
      </c>
      <c r="BR35" s="17">
        <f t="shared" si="6"/>
        <v>70.565524029000002</v>
      </c>
      <c r="BS35" s="17">
        <f t="shared" si="7"/>
        <v>58.964891016949998</v>
      </c>
    </row>
    <row r="36" spans="1:71" x14ac:dyDescent="0.25">
      <c r="A36" s="3"/>
      <c r="B36" s="3">
        <v>9</v>
      </c>
      <c r="C36" s="3">
        <v>26</v>
      </c>
      <c r="D36" s="3">
        <v>720</v>
      </c>
      <c r="E36" s="3">
        <f t="shared" si="8"/>
        <v>15246</v>
      </c>
      <c r="F36" s="3">
        <f t="shared" si="9"/>
        <v>635.25</v>
      </c>
      <c r="G36" s="3">
        <f t="shared" si="10"/>
        <v>1.7392197125256674</v>
      </c>
      <c r="H36" s="12">
        <v>1.0648493999999999</v>
      </c>
      <c r="I36" s="80">
        <v>1.0369192</v>
      </c>
      <c r="J36" s="81">
        <v>1.036877</v>
      </c>
      <c r="K36" s="12">
        <v>1.0368459999999999</v>
      </c>
      <c r="L36" s="87">
        <v>1.0369140999999999</v>
      </c>
      <c r="M36" s="87">
        <v>1.0368341999999999</v>
      </c>
      <c r="N36" s="82">
        <v>1.0366417000000001</v>
      </c>
      <c r="O36" s="80">
        <v>1.037112</v>
      </c>
      <c r="P36" s="3">
        <v>1.0375848000000001</v>
      </c>
      <c r="S36" s="3"/>
      <c r="T36" s="3">
        <v>9</v>
      </c>
      <c r="U36" s="3">
        <v>26</v>
      </c>
      <c r="V36" s="3">
        <v>720</v>
      </c>
      <c r="W36" s="3">
        <f t="shared" si="11"/>
        <v>15246</v>
      </c>
      <c r="X36" s="3">
        <f t="shared" si="20"/>
        <v>635.25</v>
      </c>
      <c r="Y36" s="3">
        <f t="shared" si="13"/>
        <v>1.7392197125256674</v>
      </c>
      <c r="Z36" s="11">
        <v>0.51217699999999999</v>
      </c>
      <c r="AA36" s="144">
        <v>0.63893</v>
      </c>
      <c r="AB36" s="83">
        <v>0.638872</v>
      </c>
      <c r="AC36" s="91">
        <v>0.639042</v>
      </c>
      <c r="AD36" s="91">
        <v>0.63893800000000001</v>
      </c>
      <c r="AE36" s="91">
        <v>0.63897800000000005</v>
      </c>
      <c r="AF36" s="91">
        <v>0.63933300000000004</v>
      </c>
      <c r="AG36" s="91">
        <v>0.63840699999999995</v>
      </c>
      <c r="AH36" s="91">
        <v>0.637401</v>
      </c>
      <c r="AK36" s="175">
        <f>AN36/(AN36+AP36)</f>
        <v>7.1097419012093373E-3</v>
      </c>
      <c r="AL36" s="254" t="s">
        <v>285</v>
      </c>
      <c r="AM36" s="3">
        <v>0</v>
      </c>
      <c r="AN36" s="11">
        <v>58577</v>
      </c>
      <c r="AO36" s="11">
        <v>0</v>
      </c>
      <c r="AP36" s="11">
        <v>8180400</v>
      </c>
      <c r="AQ36" s="11">
        <v>569810</v>
      </c>
      <c r="AR36" s="11">
        <v>271930</v>
      </c>
      <c r="AS36" s="11">
        <v>142220</v>
      </c>
      <c r="AT36" s="11">
        <v>95972</v>
      </c>
      <c r="AW36" s="104">
        <v>25</v>
      </c>
      <c r="AX36" s="137">
        <f t="shared" si="15"/>
        <v>151.25</v>
      </c>
      <c r="AY36" s="134">
        <v>1.3711139999999999</v>
      </c>
      <c r="AZ36" s="104"/>
      <c r="BA36" s="84">
        <f t="shared" si="16"/>
        <v>151.25</v>
      </c>
      <c r="BB36" s="11">
        <v>1.2914890000000001</v>
      </c>
      <c r="BC36" s="104">
        <v>25</v>
      </c>
      <c r="BD36" s="84">
        <f t="shared" si="17"/>
        <v>151.25</v>
      </c>
      <c r="BE36" s="135">
        <v>1.1469119999999999</v>
      </c>
      <c r="BF36" s="104">
        <v>25</v>
      </c>
      <c r="BG36" s="84">
        <f t="shared" si="18"/>
        <v>151.25</v>
      </c>
      <c r="BH36" s="135">
        <v>1.0637110000000001</v>
      </c>
      <c r="BI36" s="104">
        <v>25</v>
      </c>
      <c r="BJ36" s="84">
        <f t="shared" si="19"/>
        <v>151.25</v>
      </c>
      <c r="BK36" s="134">
        <v>1.003879</v>
      </c>
      <c r="BN36" s="84">
        <f t="shared" si="14"/>
        <v>157.5</v>
      </c>
      <c r="BO36" s="17">
        <f t="shared" si="3"/>
        <v>172.58945148999999</v>
      </c>
      <c r="BP36" s="17">
        <f t="shared" si="4"/>
        <v>130.11429113759999</v>
      </c>
      <c r="BQ36" s="17">
        <f t="shared" si="5"/>
        <v>92.503580479660016</v>
      </c>
      <c r="BR36" s="17">
        <f t="shared" si="6"/>
        <v>72.417708908999998</v>
      </c>
      <c r="BS36" s="17">
        <f t="shared" si="7"/>
        <v>60.736870341349999</v>
      </c>
    </row>
    <row r="37" spans="1:71" x14ac:dyDescent="0.25">
      <c r="A37" s="3"/>
      <c r="B37" s="3">
        <v>10</v>
      </c>
      <c r="C37" s="3">
        <v>27</v>
      </c>
      <c r="D37" s="3">
        <v>720</v>
      </c>
      <c r="E37" s="3">
        <f t="shared" si="8"/>
        <v>15966</v>
      </c>
      <c r="F37" s="3">
        <f t="shared" si="9"/>
        <v>665.25</v>
      </c>
      <c r="G37" s="3">
        <f t="shared" si="10"/>
        <v>1.8213552361396304</v>
      </c>
      <c r="H37" s="3">
        <v>1.0614775000000001</v>
      </c>
      <c r="I37" s="80">
        <v>1.0356278000000001</v>
      </c>
      <c r="J37" s="81">
        <v>1.0355827</v>
      </c>
      <c r="K37" s="12">
        <v>1.0355585</v>
      </c>
      <c r="L37" s="87">
        <v>1.0356126000000001</v>
      </c>
      <c r="M37" s="87">
        <v>1.0355356</v>
      </c>
      <c r="N37" s="82">
        <v>1.0353425000000001</v>
      </c>
      <c r="O37" s="80">
        <v>1.0358261</v>
      </c>
      <c r="P37" s="3">
        <v>1.0363005000000001</v>
      </c>
      <c r="S37" s="3"/>
      <c r="T37" s="3">
        <v>10</v>
      </c>
      <c r="U37" s="3">
        <v>27</v>
      </c>
      <c r="V37" s="3">
        <v>720</v>
      </c>
      <c r="W37" s="3">
        <f t="shared" si="11"/>
        <v>15966</v>
      </c>
      <c r="X37" s="3">
        <f t="shared" si="20"/>
        <v>665.25</v>
      </c>
      <c r="Y37" s="3">
        <f t="shared" si="13"/>
        <v>1.8213552361396304</v>
      </c>
      <c r="Z37" s="11">
        <v>0.51513799999999998</v>
      </c>
      <c r="AA37" s="144">
        <v>0.63940799999999998</v>
      </c>
      <c r="AB37" s="83">
        <v>0.639351</v>
      </c>
      <c r="AC37" s="91">
        <v>0.63952200000000003</v>
      </c>
      <c r="AD37" s="91">
        <v>0.63941999999999999</v>
      </c>
      <c r="AE37" s="91">
        <v>0.63946000000000003</v>
      </c>
      <c r="AF37" s="91">
        <v>0.63982300000000003</v>
      </c>
      <c r="AG37" s="91">
        <v>0.638876</v>
      </c>
      <c r="AH37" s="91">
        <v>0.637853</v>
      </c>
      <c r="AL37" s="255"/>
      <c r="AM37" s="3">
        <v>1</v>
      </c>
      <c r="AN37" s="11">
        <v>55569</v>
      </c>
      <c r="AO37" s="11">
        <v>841.64</v>
      </c>
      <c r="AP37" s="11">
        <v>8150700</v>
      </c>
      <c r="AQ37" s="11">
        <v>542480</v>
      </c>
      <c r="AR37" s="11">
        <v>269920</v>
      </c>
      <c r="AS37" s="11">
        <v>144380</v>
      </c>
      <c r="AT37" s="11">
        <v>95937</v>
      </c>
      <c r="AW37" s="105">
        <v>26</v>
      </c>
      <c r="AX37" s="137">
        <f t="shared" si="15"/>
        <v>157.5</v>
      </c>
      <c r="AY37" s="134">
        <v>1.3162750000000001</v>
      </c>
      <c r="AZ37" s="106"/>
      <c r="BA37" s="84">
        <f t="shared" si="16"/>
        <v>157.5</v>
      </c>
      <c r="BB37" s="11">
        <v>1.2550559999999999</v>
      </c>
      <c r="BC37" s="106">
        <v>26</v>
      </c>
      <c r="BD37" s="84">
        <f t="shared" si="17"/>
        <v>157.5</v>
      </c>
      <c r="BE37" s="135">
        <v>1.1577770000000001</v>
      </c>
      <c r="BF37" s="106">
        <v>26</v>
      </c>
      <c r="BG37" s="84">
        <f t="shared" si="18"/>
        <v>157.5</v>
      </c>
      <c r="BH37" s="135">
        <v>1.091631</v>
      </c>
      <c r="BI37" s="106">
        <v>26</v>
      </c>
      <c r="BJ37" s="84">
        <f t="shared" si="19"/>
        <v>157.5</v>
      </c>
      <c r="BK37" s="134">
        <v>1.0340469999999999</v>
      </c>
      <c r="BN37" s="84">
        <f t="shared" si="14"/>
        <v>163.75</v>
      </c>
      <c r="BO37" s="17">
        <f t="shared" si="3"/>
        <v>163.85426373799999</v>
      </c>
      <c r="BP37" s="17">
        <f t="shared" si="4"/>
        <v>125.62445983080001</v>
      </c>
      <c r="BQ37" s="17">
        <f t="shared" si="5"/>
        <v>93.567736347679997</v>
      </c>
      <c r="BR37" s="17">
        <f t="shared" si="6"/>
        <v>74.731281534000004</v>
      </c>
      <c r="BS37" s="17">
        <f t="shared" si="7"/>
        <v>62.99906908505001</v>
      </c>
    </row>
    <row r="38" spans="1:71" x14ac:dyDescent="0.25">
      <c r="A38" s="3"/>
      <c r="B38" s="3">
        <v>11</v>
      </c>
      <c r="C38" s="3">
        <v>28</v>
      </c>
      <c r="D38" s="3">
        <v>720</v>
      </c>
      <c r="E38" s="3">
        <f t="shared" si="8"/>
        <v>16686</v>
      </c>
      <c r="F38" s="3">
        <f t="shared" si="9"/>
        <v>695.25</v>
      </c>
      <c r="G38" s="3">
        <f t="shared" si="10"/>
        <v>1.9034907597535935</v>
      </c>
      <c r="H38" s="3">
        <v>1.0575437999999999</v>
      </c>
      <c r="I38" s="80">
        <v>1.0344168</v>
      </c>
      <c r="J38" s="81">
        <v>1.0343705000000001</v>
      </c>
      <c r="K38" s="12">
        <v>1.0343405000000001</v>
      </c>
      <c r="L38" s="87">
        <v>1.0344144</v>
      </c>
      <c r="M38" s="87">
        <v>1.0343241999999999</v>
      </c>
      <c r="N38" s="82">
        <v>1.0341245999999999</v>
      </c>
      <c r="O38" s="80">
        <v>1.0346202</v>
      </c>
      <c r="P38" s="3">
        <v>1.0351094999999999</v>
      </c>
      <c r="S38" s="3"/>
      <c r="T38" s="3">
        <v>11</v>
      </c>
      <c r="U38" s="3">
        <v>28</v>
      </c>
      <c r="V38" s="3">
        <v>720</v>
      </c>
      <c r="W38" s="3">
        <f t="shared" si="11"/>
        <v>16686</v>
      </c>
      <c r="X38" s="3">
        <f t="shared" si="20"/>
        <v>695.25</v>
      </c>
      <c r="Y38" s="3">
        <f t="shared" si="13"/>
        <v>1.9034907597535935</v>
      </c>
      <c r="Z38" s="11">
        <v>0.51829999999999998</v>
      </c>
      <c r="AA38" s="144">
        <v>0.63985300000000001</v>
      </c>
      <c r="AB38" s="83">
        <v>0.63979399999999997</v>
      </c>
      <c r="AC38" s="91">
        <v>0.63996900000000001</v>
      </c>
      <c r="AD38" s="91">
        <v>0.63986100000000001</v>
      </c>
      <c r="AE38" s="91">
        <v>0.63990599999999997</v>
      </c>
      <c r="AF38" s="91">
        <v>0.64027699999999999</v>
      </c>
      <c r="AG38" s="91">
        <v>0.63931099999999996</v>
      </c>
      <c r="AH38" s="91">
        <v>0.63826700000000003</v>
      </c>
      <c r="AL38" s="255"/>
      <c r="AM38" s="3">
        <v>3</v>
      </c>
      <c r="AN38" s="11">
        <v>49640</v>
      </c>
      <c r="AO38" s="11">
        <v>2398.6999999999998</v>
      </c>
      <c r="AP38" s="11">
        <v>8086700</v>
      </c>
      <c r="AQ38" s="11">
        <v>490510</v>
      </c>
      <c r="AR38" s="11">
        <v>264370</v>
      </c>
      <c r="AS38" s="11">
        <v>146550</v>
      </c>
      <c r="AT38" s="11">
        <v>96484</v>
      </c>
      <c r="AW38" s="104">
        <v>27</v>
      </c>
      <c r="AX38" s="137">
        <f t="shared" si="15"/>
        <v>163.75</v>
      </c>
      <c r="AY38" s="134">
        <v>1.249655</v>
      </c>
      <c r="AZ38" s="104"/>
      <c r="BA38" s="84">
        <f t="shared" si="16"/>
        <v>163.75</v>
      </c>
      <c r="BB38" s="11">
        <v>1.211748</v>
      </c>
      <c r="BC38" s="104">
        <v>27</v>
      </c>
      <c r="BD38" s="84">
        <f t="shared" si="17"/>
        <v>163.75</v>
      </c>
      <c r="BE38" s="135">
        <v>1.1710959999999999</v>
      </c>
      <c r="BF38" s="104">
        <v>27</v>
      </c>
      <c r="BG38" s="84">
        <f t="shared" si="18"/>
        <v>163.75</v>
      </c>
      <c r="BH38" s="135">
        <v>1.126506</v>
      </c>
      <c r="BI38" s="104">
        <v>27</v>
      </c>
      <c r="BJ38" s="84">
        <f t="shared" si="19"/>
        <v>163.75</v>
      </c>
      <c r="BK38" s="134">
        <v>1.0725610000000001</v>
      </c>
      <c r="BN38" s="84">
        <f t="shared" si="14"/>
        <v>170</v>
      </c>
      <c r="BO38" s="17">
        <f t="shared" si="3"/>
        <v>153.63978465879998</v>
      </c>
      <c r="BP38" s="17">
        <f t="shared" si="4"/>
        <v>120.59574094820002</v>
      </c>
      <c r="BQ38" s="17">
        <f t="shared" si="5"/>
        <v>94.795762152280005</v>
      </c>
      <c r="BR38" s="17">
        <f t="shared" si="6"/>
        <v>77.587838873999999</v>
      </c>
      <c r="BS38" s="17">
        <f t="shared" si="7"/>
        <v>65.834541436750001</v>
      </c>
    </row>
    <row r="39" spans="1:71" x14ac:dyDescent="0.25">
      <c r="A39" s="3"/>
      <c r="B39" s="3">
        <v>12</v>
      </c>
      <c r="C39" s="3">
        <v>29</v>
      </c>
      <c r="D39" s="3">
        <v>846</v>
      </c>
      <c r="E39" s="3">
        <f t="shared" si="8"/>
        <v>17532</v>
      </c>
      <c r="F39" s="3">
        <f t="shared" si="9"/>
        <v>730.5</v>
      </c>
      <c r="G39" s="3">
        <f t="shared" si="10"/>
        <v>2</v>
      </c>
      <c r="H39" s="3">
        <v>1.0540456</v>
      </c>
      <c r="I39" s="80">
        <v>1.0332698</v>
      </c>
      <c r="J39" s="81">
        <v>1.0332387999999999</v>
      </c>
      <c r="K39" s="12">
        <v>1.0332029</v>
      </c>
      <c r="L39" s="87">
        <v>1.0332608999999999</v>
      </c>
      <c r="M39" s="87">
        <v>1.0331904000000001</v>
      </c>
      <c r="N39" s="82">
        <v>1.0329832000000001</v>
      </c>
      <c r="O39" s="80">
        <v>1.0334951999999999</v>
      </c>
      <c r="P39" s="3">
        <v>1.0339887000000001</v>
      </c>
      <c r="S39" s="3"/>
      <c r="T39" s="3">
        <v>12</v>
      </c>
      <c r="U39" s="3">
        <v>29</v>
      </c>
      <c r="V39" s="3">
        <v>846</v>
      </c>
      <c r="W39" s="3">
        <f t="shared" si="11"/>
        <v>17532</v>
      </c>
      <c r="X39" s="3">
        <f t="shared" si="20"/>
        <v>730.5</v>
      </c>
      <c r="Y39" s="3">
        <f t="shared" si="13"/>
        <v>2</v>
      </c>
      <c r="Z39" s="11">
        <v>0.52097400000000005</v>
      </c>
      <c r="AA39" s="144">
        <v>0.640262</v>
      </c>
      <c r="AB39" s="83">
        <v>0.64019300000000001</v>
      </c>
      <c r="AC39" s="91">
        <v>0.64037699999999997</v>
      </c>
      <c r="AD39" s="91">
        <v>0.64027299999999998</v>
      </c>
      <c r="AE39" s="91">
        <v>0.64030699999999996</v>
      </c>
      <c r="AF39" s="91">
        <v>0.64068499999999995</v>
      </c>
      <c r="AG39" s="91">
        <v>0.63970199999999999</v>
      </c>
      <c r="AH39" s="91">
        <v>0.63864399999999999</v>
      </c>
      <c r="AL39" s="256"/>
      <c r="AM39" s="3">
        <v>5</v>
      </c>
      <c r="AN39" s="11">
        <v>44148</v>
      </c>
      <c r="AO39" s="11">
        <v>3736</v>
      </c>
      <c r="AP39" s="11">
        <v>8021000</v>
      </c>
      <c r="AQ39" s="11">
        <v>443400</v>
      </c>
      <c r="AR39" s="11">
        <v>257350</v>
      </c>
      <c r="AS39" s="11">
        <v>146550</v>
      </c>
      <c r="AT39" s="11">
        <v>97564</v>
      </c>
      <c r="AW39" s="105">
        <v>28</v>
      </c>
      <c r="AX39" s="137">
        <f t="shared" si="15"/>
        <v>170</v>
      </c>
      <c r="AY39" s="134">
        <v>1.171753</v>
      </c>
      <c r="AZ39" s="106"/>
      <c r="BA39" s="84">
        <f t="shared" si="16"/>
        <v>170</v>
      </c>
      <c r="BB39" s="11">
        <v>1.1632420000000001</v>
      </c>
      <c r="BC39" s="106">
        <v>28</v>
      </c>
      <c r="BD39" s="84">
        <f t="shared" si="17"/>
        <v>170</v>
      </c>
      <c r="BE39" s="135">
        <v>1.186466</v>
      </c>
      <c r="BF39" s="106">
        <v>28</v>
      </c>
      <c r="BG39" s="84">
        <f t="shared" si="18"/>
        <v>170</v>
      </c>
      <c r="BH39" s="135">
        <v>1.1695660000000001</v>
      </c>
      <c r="BI39" s="106">
        <v>28</v>
      </c>
      <c r="BJ39" s="84">
        <f t="shared" si="19"/>
        <v>170</v>
      </c>
      <c r="BK39" s="134">
        <v>1.120835</v>
      </c>
      <c r="BN39" s="84">
        <f t="shared" si="14"/>
        <v>176.25</v>
      </c>
      <c r="BO39" s="17">
        <f t="shared" si="3"/>
        <v>142.02770176319999</v>
      </c>
      <c r="BP39" s="17">
        <f t="shared" si="4"/>
        <v>118.47139594710001</v>
      </c>
      <c r="BQ39" s="17">
        <f t="shared" si="5"/>
        <v>97.371580233900005</v>
      </c>
      <c r="BR39" s="17">
        <f t="shared" si="6"/>
        <v>84.558674655000004</v>
      </c>
      <c r="BS39" s="17">
        <f t="shared" si="7"/>
        <v>72.515176029649993</v>
      </c>
    </row>
    <row r="40" spans="1:71" x14ac:dyDescent="0.25">
      <c r="A40" s="3"/>
      <c r="B40" s="3">
        <v>13</v>
      </c>
      <c r="C40" s="3">
        <v>30</v>
      </c>
      <c r="D40" s="3">
        <v>720</v>
      </c>
      <c r="E40" s="3">
        <f t="shared" si="8"/>
        <v>18252</v>
      </c>
      <c r="F40" s="3">
        <f t="shared" si="9"/>
        <v>760.5</v>
      </c>
      <c r="G40" s="3">
        <f t="shared" si="10"/>
        <v>2.0821355236139629</v>
      </c>
      <c r="H40" s="3">
        <v>1.0503513</v>
      </c>
      <c r="I40" s="80">
        <v>1.0317752</v>
      </c>
      <c r="J40" s="81">
        <v>1.0317314</v>
      </c>
      <c r="K40" s="12">
        <v>1.0316997000000001</v>
      </c>
      <c r="L40" s="12">
        <v>1.0317677000000001</v>
      </c>
      <c r="M40" s="12">
        <v>1.0316927</v>
      </c>
      <c r="N40" s="80">
        <v>1.0314568</v>
      </c>
      <c r="O40" s="80">
        <v>1.0320137</v>
      </c>
      <c r="P40" s="3">
        <v>1.0325694999999999</v>
      </c>
      <c r="S40" s="3"/>
      <c r="T40" s="3">
        <v>13</v>
      </c>
      <c r="U40" s="3">
        <v>30</v>
      </c>
      <c r="V40" s="3">
        <v>720</v>
      </c>
      <c r="W40" s="3">
        <f t="shared" si="11"/>
        <v>18252</v>
      </c>
      <c r="X40" s="3">
        <f t="shared" si="20"/>
        <v>760.5</v>
      </c>
      <c r="Y40" s="3">
        <f t="shared" si="13"/>
        <v>2.0821355236139629</v>
      </c>
      <c r="Z40" s="11">
        <v>0.52371900000000005</v>
      </c>
      <c r="AA40" s="144">
        <v>0.64077700000000004</v>
      </c>
      <c r="AB40" s="83">
        <v>0.64071</v>
      </c>
      <c r="AC40" s="91">
        <v>0.64089499999999999</v>
      </c>
      <c r="AD40" s="91">
        <v>0.640787</v>
      </c>
      <c r="AE40" s="91">
        <v>0.64082399999999995</v>
      </c>
      <c r="AF40" s="91">
        <v>0.64121799999999995</v>
      </c>
      <c r="AG40" s="91">
        <v>0.64020100000000002</v>
      </c>
      <c r="AH40" s="91">
        <v>0.63910500000000003</v>
      </c>
      <c r="AK40" s="175">
        <f>AN40/(AN40+AP40)</f>
        <v>7.1097419012093373E-3</v>
      </c>
      <c r="AL40" s="254" t="s">
        <v>403</v>
      </c>
      <c r="AM40" s="3">
        <v>0</v>
      </c>
      <c r="AN40" s="145">
        <v>58577</v>
      </c>
      <c r="AO40" s="145">
        <v>0</v>
      </c>
      <c r="AP40" s="145">
        <v>8180400</v>
      </c>
      <c r="AQ40" s="145">
        <v>569810</v>
      </c>
      <c r="AR40" s="145">
        <v>271930</v>
      </c>
      <c r="AS40" s="145">
        <v>142220</v>
      </c>
      <c r="AT40" s="145">
        <v>95972</v>
      </c>
      <c r="AW40" s="104">
        <v>29</v>
      </c>
      <c r="AX40" s="137">
        <f t="shared" si="15"/>
        <v>176.25</v>
      </c>
      <c r="AY40" s="134">
        <v>1.0831919999999999</v>
      </c>
      <c r="AZ40" s="104"/>
      <c r="BA40" s="84">
        <f t="shared" si="16"/>
        <v>176.25</v>
      </c>
      <c r="BB40" s="11">
        <v>1.1427510000000001</v>
      </c>
      <c r="BC40" s="104">
        <v>29</v>
      </c>
      <c r="BD40" s="84">
        <f t="shared" si="17"/>
        <v>176.25</v>
      </c>
      <c r="BE40" s="135">
        <v>1.2187049999999999</v>
      </c>
      <c r="BF40" s="104">
        <v>29</v>
      </c>
      <c r="BG40" s="84">
        <f t="shared" si="18"/>
        <v>176.25</v>
      </c>
      <c r="BH40" s="135">
        <v>1.274645</v>
      </c>
      <c r="BI40" s="104">
        <v>29</v>
      </c>
      <c r="BJ40" s="84">
        <f t="shared" si="19"/>
        <v>176.25</v>
      </c>
      <c r="BK40" s="139">
        <v>1.2345729999999999</v>
      </c>
      <c r="BN40" s="84">
        <f t="shared" si="14"/>
        <v>182.5</v>
      </c>
      <c r="BO40" s="17">
        <f t="shared" si="3"/>
        <v>129.11572537711999</v>
      </c>
      <c r="BP40" s="17">
        <f t="shared" si="4"/>
        <v>110.49372418000002</v>
      </c>
      <c r="BQ40" s="17">
        <f t="shared" si="5"/>
        <v>95.656978167099993</v>
      </c>
      <c r="BR40" s="17">
        <f t="shared" si="6"/>
        <v>84.872723480999994</v>
      </c>
      <c r="BS40" s="17">
        <f t="shared" si="7"/>
        <v>73.220079366700006</v>
      </c>
    </row>
    <row r="41" spans="1:71" x14ac:dyDescent="0.25">
      <c r="A41" s="3"/>
      <c r="B41" s="3">
        <v>14</v>
      </c>
      <c r="C41" s="3">
        <v>31</v>
      </c>
      <c r="D41" s="3">
        <v>720</v>
      </c>
      <c r="E41" s="3">
        <f t="shared" si="8"/>
        <v>18972</v>
      </c>
      <c r="F41" s="3">
        <f t="shared" si="9"/>
        <v>790.5</v>
      </c>
      <c r="G41" s="3">
        <f t="shared" si="10"/>
        <v>2.1642710472279263</v>
      </c>
      <c r="H41" s="3">
        <v>1.0474490000000001</v>
      </c>
      <c r="I41" s="80">
        <v>1.0304869000000001</v>
      </c>
      <c r="J41" s="81">
        <v>1.0304389</v>
      </c>
      <c r="K41" s="12">
        <v>1.0303998000000001</v>
      </c>
      <c r="L41" s="87">
        <v>1.0304652000000001</v>
      </c>
      <c r="M41" s="87">
        <v>1.0303825</v>
      </c>
      <c r="N41" s="82">
        <v>1.0301530000000001</v>
      </c>
      <c r="O41" s="80">
        <v>1.0307204999999999</v>
      </c>
      <c r="P41" s="3">
        <v>1.0312984999999999</v>
      </c>
      <c r="S41" s="3"/>
      <c r="T41" s="3">
        <v>14</v>
      </c>
      <c r="U41" s="3">
        <v>31</v>
      </c>
      <c r="V41" s="3">
        <v>720</v>
      </c>
      <c r="W41" s="3">
        <f t="shared" si="11"/>
        <v>18972</v>
      </c>
      <c r="X41" s="3">
        <f t="shared" si="20"/>
        <v>790.5</v>
      </c>
      <c r="Y41" s="3">
        <f t="shared" si="13"/>
        <v>2.1642710472279263</v>
      </c>
      <c r="Z41" s="11">
        <v>0.52587200000000001</v>
      </c>
      <c r="AA41" s="144">
        <v>0.64120999999999995</v>
      </c>
      <c r="AB41" s="83">
        <v>0.64114499999999996</v>
      </c>
      <c r="AC41" s="91">
        <v>0.64133399999999996</v>
      </c>
      <c r="AD41" s="91">
        <v>0.64122299999999999</v>
      </c>
      <c r="AE41" s="91">
        <v>0.641266</v>
      </c>
      <c r="AF41" s="91">
        <v>0.64166800000000002</v>
      </c>
      <c r="AG41" s="91">
        <v>0.64062600000000003</v>
      </c>
      <c r="AH41" s="91">
        <v>0.63950600000000002</v>
      </c>
      <c r="AL41" s="255"/>
      <c r="AM41" s="3">
        <v>1</v>
      </c>
      <c r="AN41" s="11">
        <v>55569</v>
      </c>
      <c r="AO41" s="11">
        <v>841.89</v>
      </c>
      <c r="AP41" s="11">
        <v>8150700</v>
      </c>
      <c r="AQ41" s="11">
        <v>542470</v>
      </c>
      <c r="AR41" s="11">
        <v>269920</v>
      </c>
      <c r="AS41" s="11">
        <v>144380</v>
      </c>
      <c r="AT41" s="11">
        <v>95936</v>
      </c>
      <c r="AW41" s="105">
        <v>30</v>
      </c>
      <c r="AX41" s="137">
        <f t="shared" si="15"/>
        <v>182.5</v>
      </c>
      <c r="AY41" s="134">
        <v>0.98471719999999996</v>
      </c>
      <c r="AZ41" s="106"/>
      <c r="BA41" s="84">
        <f t="shared" si="16"/>
        <v>182.5</v>
      </c>
      <c r="BB41" s="11">
        <v>1.0658000000000001</v>
      </c>
      <c r="BC41" s="106">
        <v>30</v>
      </c>
      <c r="BD41" s="84">
        <f t="shared" si="17"/>
        <v>182.5</v>
      </c>
      <c r="BE41" s="138">
        <v>1.1972449999999999</v>
      </c>
      <c r="BF41" s="106">
        <v>30</v>
      </c>
      <c r="BG41" s="84">
        <f t="shared" si="18"/>
        <v>182.5</v>
      </c>
      <c r="BH41" s="138">
        <v>1.279379</v>
      </c>
      <c r="BI41" s="106">
        <v>30</v>
      </c>
      <c r="BJ41" s="84">
        <f t="shared" si="19"/>
        <v>182.5</v>
      </c>
      <c r="BK41" s="134">
        <v>1.2465740000000001</v>
      </c>
      <c r="BN41" s="84">
        <f t="shared" si="14"/>
        <v>188.75</v>
      </c>
      <c r="BO41" s="17">
        <f t="shared" si="3"/>
        <v>115.01705105123999</v>
      </c>
      <c r="BP41" s="17">
        <f t="shared" si="4"/>
        <v>100.39487977806</v>
      </c>
      <c r="BQ41" s="17">
        <f t="shared" si="5"/>
        <v>90.873510052500009</v>
      </c>
      <c r="BR41" s="17">
        <f t="shared" si="6"/>
        <v>81.925016354999997</v>
      </c>
      <c r="BS41" s="17">
        <f t="shared" si="7"/>
        <v>71.013210924099994</v>
      </c>
    </row>
    <row r="42" spans="1:71" x14ac:dyDescent="0.25">
      <c r="A42" s="3"/>
      <c r="B42" s="3">
        <v>15</v>
      </c>
      <c r="C42" s="3">
        <v>32</v>
      </c>
      <c r="D42" s="3">
        <v>720</v>
      </c>
      <c r="E42" s="3">
        <f t="shared" si="8"/>
        <v>19692</v>
      </c>
      <c r="F42" s="3">
        <f t="shared" si="9"/>
        <v>820.5</v>
      </c>
      <c r="G42" s="3">
        <f t="shared" si="10"/>
        <v>2.2464065708418892</v>
      </c>
      <c r="H42" s="3">
        <v>1.0447061</v>
      </c>
      <c r="I42" s="80">
        <v>1.0292337</v>
      </c>
      <c r="J42" s="81">
        <v>1.0291920000000001</v>
      </c>
      <c r="K42" s="12">
        <v>1.0291595</v>
      </c>
      <c r="L42" s="87">
        <v>1.0292101</v>
      </c>
      <c r="M42" s="87">
        <v>1.029137</v>
      </c>
      <c r="N42" s="82">
        <v>1.0288987999999999</v>
      </c>
      <c r="O42" s="80">
        <v>1.0294809</v>
      </c>
      <c r="P42" s="3">
        <v>1.0300711</v>
      </c>
      <c r="S42" s="3"/>
      <c r="T42" s="3">
        <v>15</v>
      </c>
      <c r="U42" s="3">
        <v>32</v>
      </c>
      <c r="V42" s="3">
        <v>720</v>
      </c>
      <c r="W42" s="3">
        <f t="shared" si="11"/>
        <v>19692</v>
      </c>
      <c r="X42" s="3">
        <f t="shared" si="20"/>
        <v>820.5</v>
      </c>
      <c r="Y42" s="3">
        <f t="shared" si="13"/>
        <v>2.2464065708418892</v>
      </c>
      <c r="Z42" s="11">
        <v>0.52785099999999996</v>
      </c>
      <c r="AA42" s="144">
        <v>0.64162399999999997</v>
      </c>
      <c r="AB42" s="83">
        <v>0.64155300000000004</v>
      </c>
      <c r="AC42" s="91">
        <v>0.64174500000000001</v>
      </c>
      <c r="AD42" s="91">
        <v>0.64164100000000002</v>
      </c>
      <c r="AE42" s="91">
        <v>0.64167600000000002</v>
      </c>
      <c r="AF42" s="91">
        <v>0.64208699999999996</v>
      </c>
      <c r="AG42" s="91">
        <v>0.64102499999999996</v>
      </c>
      <c r="AH42" s="91">
        <v>0.63988500000000004</v>
      </c>
      <c r="AL42" s="255"/>
      <c r="AM42" s="3">
        <v>3</v>
      </c>
      <c r="AN42" s="11">
        <v>49637</v>
      </c>
      <c r="AO42" s="11">
        <v>2400.3000000000002</v>
      </c>
      <c r="AP42" s="11">
        <v>8086700</v>
      </c>
      <c r="AQ42" s="11">
        <v>490490</v>
      </c>
      <c r="AR42" s="11">
        <v>264380</v>
      </c>
      <c r="AS42" s="11">
        <v>146570</v>
      </c>
      <c r="AT42" s="11">
        <v>96479</v>
      </c>
      <c r="AW42" s="104">
        <v>31</v>
      </c>
      <c r="AX42" s="137">
        <f t="shared" si="15"/>
        <v>188.75</v>
      </c>
      <c r="AY42" s="134">
        <v>0.87719190000000002</v>
      </c>
      <c r="AZ42" s="104"/>
      <c r="BA42" s="84">
        <f t="shared" si="16"/>
        <v>188.75</v>
      </c>
      <c r="BB42" s="11">
        <v>0.96838860000000004</v>
      </c>
      <c r="BC42" s="104">
        <v>31</v>
      </c>
      <c r="BD42" s="84">
        <f t="shared" si="17"/>
        <v>188.75</v>
      </c>
      <c r="BE42" s="135">
        <v>1.137375</v>
      </c>
      <c r="BF42" s="104">
        <v>31</v>
      </c>
      <c r="BG42" s="84">
        <f t="shared" si="18"/>
        <v>188.75</v>
      </c>
      <c r="BH42" s="135">
        <v>1.234945</v>
      </c>
      <c r="BI42" s="104">
        <v>31</v>
      </c>
      <c r="BJ42" s="84">
        <f t="shared" si="19"/>
        <v>188.75</v>
      </c>
      <c r="BK42" s="134">
        <v>1.2090019999999999</v>
      </c>
      <c r="BN42" s="84">
        <f t="shared" si="14"/>
        <v>195</v>
      </c>
      <c r="BO42" s="17">
        <f t="shared" si="3"/>
        <v>99.858969693239985</v>
      </c>
      <c r="BP42" s="17">
        <f t="shared" si="4"/>
        <v>88.519147418170007</v>
      </c>
      <c r="BQ42" s="17">
        <f t="shared" si="5"/>
        <v>83.147414066500005</v>
      </c>
      <c r="BR42" s="17">
        <f t="shared" si="6"/>
        <v>75.893341797000005</v>
      </c>
      <c r="BS42" s="17">
        <f t="shared" si="7"/>
        <v>66.046699661350004</v>
      </c>
    </row>
    <row r="43" spans="1:71" x14ac:dyDescent="0.25">
      <c r="A43" s="3"/>
      <c r="B43" s="3">
        <v>16</v>
      </c>
      <c r="C43" s="3">
        <v>33</v>
      </c>
      <c r="D43" s="3">
        <v>720</v>
      </c>
      <c r="E43" s="3">
        <f t="shared" si="8"/>
        <v>20412</v>
      </c>
      <c r="F43" s="3">
        <f t="shared" si="9"/>
        <v>850.5</v>
      </c>
      <c r="G43" s="3">
        <f t="shared" si="10"/>
        <v>2.3285420944558521</v>
      </c>
      <c r="H43" s="3">
        <v>1.0425732000000001</v>
      </c>
      <c r="I43" s="80">
        <v>1.0279588</v>
      </c>
      <c r="J43" s="81">
        <v>1.0279247</v>
      </c>
      <c r="K43" s="12">
        <v>1.0278727000000001</v>
      </c>
      <c r="L43" s="87">
        <v>1.0279678999999999</v>
      </c>
      <c r="M43" s="87">
        <v>1.0278841000000001</v>
      </c>
      <c r="N43" s="82">
        <v>1.0276215</v>
      </c>
      <c r="O43" s="80">
        <v>1.0282210000000001</v>
      </c>
      <c r="P43" s="3">
        <v>1.0288379000000001</v>
      </c>
      <c r="S43" s="3"/>
      <c r="T43" s="3">
        <v>16</v>
      </c>
      <c r="U43" s="3">
        <v>33</v>
      </c>
      <c r="V43" s="3">
        <v>720</v>
      </c>
      <c r="W43" s="3">
        <f t="shared" si="11"/>
        <v>20412</v>
      </c>
      <c r="X43" s="3">
        <f t="shared" si="20"/>
        <v>850.5</v>
      </c>
      <c r="Y43" s="3">
        <f t="shared" si="13"/>
        <v>2.3285420944558521</v>
      </c>
      <c r="Z43" s="11">
        <v>0.52928600000000003</v>
      </c>
      <c r="AA43" s="144">
        <v>0.64205800000000002</v>
      </c>
      <c r="AB43" s="83">
        <v>0.64198</v>
      </c>
      <c r="AC43" s="91">
        <v>0.64218299999999995</v>
      </c>
      <c r="AD43" s="91">
        <v>0.64206600000000003</v>
      </c>
      <c r="AE43" s="91">
        <v>0.64210199999999995</v>
      </c>
      <c r="AF43" s="91">
        <v>0.64252399999999998</v>
      </c>
      <c r="AG43" s="91">
        <v>0.64144299999999999</v>
      </c>
      <c r="AH43" s="91">
        <v>0.64027999999999996</v>
      </c>
      <c r="AL43" s="256"/>
      <c r="AM43" s="3">
        <v>5</v>
      </c>
      <c r="AN43" s="11">
        <v>44140</v>
      </c>
      <c r="AO43" s="11">
        <v>3739.8</v>
      </c>
      <c r="AP43" s="11">
        <v>8021100</v>
      </c>
      <c r="AQ43" s="11">
        <v>443310</v>
      </c>
      <c r="AR43" s="11">
        <v>257380</v>
      </c>
      <c r="AS43" s="11">
        <v>146590</v>
      </c>
      <c r="AT43" s="11">
        <v>97555</v>
      </c>
      <c r="AW43" s="105">
        <v>32</v>
      </c>
      <c r="AX43" s="137">
        <f t="shared" si="15"/>
        <v>195</v>
      </c>
      <c r="AY43" s="134">
        <v>0.76158689999999996</v>
      </c>
      <c r="AZ43" s="106"/>
      <c r="BA43" s="84">
        <f t="shared" si="16"/>
        <v>195</v>
      </c>
      <c r="BB43" s="11">
        <v>0.85383770000000003</v>
      </c>
      <c r="BC43" s="106">
        <v>32</v>
      </c>
      <c r="BD43" s="84">
        <f t="shared" si="17"/>
        <v>195</v>
      </c>
      <c r="BE43" s="135">
        <v>1.040675</v>
      </c>
      <c r="BF43" s="106">
        <v>32</v>
      </c>
      <c r="BG43" s="84">
        <f t="shared" si="18"/>
        <v>195</v>
      </c>
      <c r="BH43" s="135">
        <v>1.144023</v>
      </c>
      <c r="BI43" s="106">
        <v>32</v>
      </c>
      <c r="BJ43" s="84">
        <f t="shared" si="19"/>
        <v>195</v>
      </c>
      <c r="BK43" s="134">
        <v>1.124447</v>
      </c>
      <c r="BN43" s="84">
        <f t="shared" si="14"/>
        <v>201.25</v>
      </c>
      <c r="BO43" s="17">
        <f t="shared" si="3"/>
        <v>83.78218574588</v>
      </c>
      <c r="BP43" s="17">
        <f t="shared" si="4"/>
        <v>75.172079880660007</v>
      </c>
      <c r="BQ43" s="17">
        <f t="shared" si="5"/>
        <v>72.763628948654002</v>
      </c>
      <c r="BR43" s="17">
        <f t="shared" si="6"/>
        <v>67.066606152000006</v>
      </c>
      <c r="BS43" s="17">
        <f t="shared" si="7"/>
        <v>58.560504048815005</v>
      </c>
    </row>
    <row r="44" spans="1:71" x14ac:dyDescent="0.25">
      <c r="A44" s="3"/>
      <c r="B44" s="3">
        <v>17</v>
      </c>
      <c r="C44" s="3">
        <v>34</v>
      </c>
      <c r="D44" s="3">
        <v>720</v>
      </c>
      <c r="E44" s="3">
        <f t="shared" si="8"/>
        <v>21132</v>
      </c>
      <c r="F44" s="3">
        <f t="shared" si="9"/>
        <v>880.5</v>
      </c>
      <c r="G44" s="3">
        <f t="shared" si="10"/>
        <v>2.4106776180698151</v>
      </c>
      <c r="H44" s="3">
        <v>1.0401376</v>
      </c>
      <c r="I44" s="80">
        <v>1.0266869999999999</v>
      </c>
      <c r="J44" s="81">
        <v>1.0266713000000001</v>
      </c>
      <c r="K44" s="12">
        <v>1.0265964999999999</v>
      </c>
      <c r="L44" s="87">
        <v>1.0266529</v>
      </c>
      <c r="M44" s="87">
        <v>1.026583</v>
      </c>
      <c r="N44" s="82">
        <v>1.0263279999999999</v>
      </c>
      <c r="O44" s="80">
        <v>1.0269782999999999</v>
      </c>
      <c r="P44" s="3">
        <v>1.0276012000000001</v>
      </c>
      <c r="S44" s="3"/>
      <c r="T44" s="3">
        <v>17</v>
      </c>
      <c r="U44" s="3">
        <v>34</v>
      </c>
      <c r="V44" s="3">
        <v>720</v>
      </c>
      <c r="W44" s="3">
        <f t="shared" si="11"/>
        <v>21132</v>
      </c>
      <c r="X44" s="3">
        <f t="shared" si="20"/>
        <v>880.5</v>
      </c>
      <c r="Y44" s="3">
        <f t="shared" si="13"/>
        <v>2.4106776180698151</v>
      </c>
      <c r="Z44" s="11">
        <v>0.53100599999999998</v>
      </c>
      <c r="AA44" s="144">
        <v>0.64246599999999998</v>
      </c>
      <c r="AB44" s="83">
        <v>0.64238099999999998</v>
      </c>
      <c r="AC44" s="91">
        <v>0.64259500000000003</v>
      </c>
      <c r="AD44" s="91">
        <v>0.64248300000000003</v>
      </c>
      <c r="AE44" s="91">
        <v>0.64251599999999998</v>
      </c>
      <c r="AF44" s="91">
        <v>0.64294499999999999</v>
      </c>
      <c r="AG44" s="91">
        <v>0.64183400000000002</v>
      </c>
      <c r="AH44" s="91">
        <v>0.64065099999999997</v>
      </c>
      <c r="AK44" s="175">
        <f>AN44/(AN44+AP44)</f>
        <v>7.1097419012093373E-3</v>
      </c>
      <c r="AL44" s="254" t="s">
        <v>421</v>
      </c>
      <c r="AM44" s="3">
        <v>0</v>
      </c>
      <c r="AN44" s="11">
        <v>58577</v>
      </c>
      <c r="AO44" s="11">
        <v>0</v>
      </c>
      <c r="AP44" s="11">
        <v>8180400</v>
      </c>
      <c r="AQ44" s="11">
        <v>569810</v>
      </c>
      <c r="AR44" s="11">
        <v>271930</v>
      </c>
      <c r="AS44" s="11">
        <v>142220</v>
      </c>
      <c r="AT44" s="11">
        <v>95972</v>
      </c>
      <c r="AW44" s="104">
        <v>33</v>
      </c>
      <c r="AX44" s="137">
        <f t="shared" si="15"/>
        <v>201.25</v>
      </c>
      <c r="AY44" s="134">
        <v>0.63897530000000002</v>
      </c>
      <c r="AZ44" s="104"/>
      <c r="BA44" s="84">
        <f t="shared" si="16"/>
        <v>201.25</v>
      </c>
      <c r="BB44" s="11">
        <v>0.72509460000000003</v>
      </c>
      <c r="BC44" s="104">
        <v>33</v>
      </c>
      <c r="BD44" s="84">
        <f t="shared" si="17"/>
        <v>201.25</v>
      </c>
      <c r="BE44" s="135">
        <v>0.9107113</v>
      </c>
      <c r="BF44" s="104">
        <v>33</v>
      </c>
      <c r="BG44" s="84">
        <f t="shared" si="18"/>
        <v>201.25</v>
      </c>
      <c r="BH44" s="135">
        <v>1.0109680000000001</v>
      </c>
      <c r="BI44" s="104">
        <v>33</v>
      </c>
      <c r="BJ44" s="84">
        <f t="shared" si="19"/>
        <v>201.25</v>
      </c>
      <c r="BK44" s="134">
        <v>0.9969943</v>
      </c>
      <c r="BN44" s="84">
        <f t="shared" si="14"/>
        <v>207.5</v>
      </c>
      <c r="BO44" s="17">
        <f t="shared" si="3"/>
        <v>66.936214889039988</v>
      </c>
      <c r="BP44" s="17">
        <f t="shared" si="4"/>
        <v>60.626003037809994</v>
      </c>
      <c r="BQ44" s="17">
        <f t="shared" si="5"/>
        <v>60.069717161720007</v>
      </c>
      <c r="BR44" s="17">
        <f t="shared" si="6"/>
        <v>55.784697286499998</v>
      </c>
      <c r="BS44" s="17">
        <f t="shared" si="7"/>
        <v>48.836550179085002</v>
      </c>
    </row>
    <row r="45" spans="1:71" x14ac:dyDescent="0.25">
      <c r="A45" s="3"/>
      <c r="B45" s="3">
        <v>18</v>
      </c>
      <c r="C45" s="3">
        <v>35</v>
      </c>
      <c r="D45" s="3">
        <v>720</v>
      </c>
      <c r="E45" s="3">
        <f t="shared" si="8"/>
        <v>21852</v>
      </c>
      <c r="F45" s="3">
        <f t="shared" si="9"/>
        <v>910.5</v>
      </c>
      <c r="G45" s="3">
        <f t="shared" si="10"/>
        <v>2.4928131416837784</v>
      </c>
      <c r="H45" s="3">
        <v>1.0378569</v>
      </c>
      <c r="I45" s="80">
        <v>1.0253702</v>
      </c>
      <c r="J45" s="81">
        <v>1.0253471999999999</v>
      </c>
      <c r="K45" s="12">
        <v>1.0252726999999999</v>
      </c>
      <c r="L45" s="87">
        <v>1.0253576</v>
      </c>
      <c r="M45" s="87">
        <v>1.0252836000000001</v>
      </c>
      <c r="N45" s="82">
        <v>1.0249965000000001</v>
      </c>
      <c r="O45" s="80">
        <v>1.0256609999999999</v>
      </c>
      <c r="P45" s="3">
        <v>1.0262985</v>
      </c>
      <c r="S45" s="3"/>
      <c r="T45" s="3">
        <v>18</v>
      </c>
      <c r="U45" s="3">
        <v>35</v>
      </c>
      <c r="V45" s="3">
        <v>720</v>
      </c>
      <c r="W45" s="3">
        <f t="shared" si="11"/>
        <v>21852</v>
      </c>
      <c r="X45" s="3">
        <f t="shared" si="20"/>
        <v>910.5</v>
      </c>
      <c r="Y45" s="3">
        <f t="shared" si="13"/>
        <v>2.4928131416837784</v>
      </c>
      <c r="Z45" s="11">
        <v>0.53264400000000001</v>
      </c>
      <c r="AA45" s="144">
        <v>0.64288400000000001</v>
      </c>
      <c r="AB45" s="83">
        <v>0.64280099999999996</v>
      </c>
      <c r="AC45" s="91">
        <v>0.64301900000000001</v>
      </c>
      <c r="AD45" s="91">
        <v>0.64289799999999997</v>
      </c>
      <c r="AE45" s="91">
        <v>0.64293400000000001</v>
      </c>
      <c r="AF45" s="91">
        <v>0.64337900000000003</v>
      </c>
      <c r="AG45" s="91">
        <v>0.64224099999999995</v>
      </c>
      <c r="AH45" s="91">
        <v>0.64103600000000005</v>
      </c>
      <c r="AL45" s="255"/>
      <c r="AM45" s="3">
        <v>1</v>
      </c>
      <c r="AN45" s="11">
        <v>55568</v>
      </c>
      <c r="AO45" s="11">
        <v>842.09</v>
      </c>
      <c r="AP45" s="11">
        <v>8150700</v>
      </c>
      <c r="AQ45" s="11">
        <v>542470</v>
      </c>
      <c r="AR45" s="11">
        <v>269920</v>
      </c>
      <c r="AS45" s="11">
        <v>144380</v>
      </c>
      <c r="AT45" s="11">
        <v>95935</v>
      </c>
      <c r="AW45" s="105">
        <v>34</v>
      </c>
      <c r="AX45" s="137">
        <f t="shared" si="15"/>
        <v>207.5</v>
      </c>
      <c r="AY45" s="134">
        <v>0.51049739999999999</v>
      </c>
      <c r="AZ45" s="106"/>
      <c r="BA45" s="84">
        <f t="shared" si="16"/>
        <v>207.5</v>
      </c>
      <c r="BB45" s="11">
        <v>0.58478609999999998</v>
      </c>
      <c r="BC45" s="106">
        <v>34</v>
      </c>
      <c r="BD45" s="84">
        <f t="shared" si="17"/>
        <v>207.5</v>
      </c>
      <c r="BE45" s="135">
        <v>0.751834</v>
      </c>
      <c r="BF45" s="106">
        <v>34</v>
      </c>
      <c r="BG45" s="84">
        <f t="shared" si="18"/>
        <v>207.5</v>
      </c>
      <c r="BH45" s="135">
        <v>0.84090350000000003</v>
      </c>
      <c r="BI45" s="106">
        <v>34</v>
      </c>
      <c r="BJ45" s="84">
        <f t="shared" si="19"/>
        <v>207.5</v>
      </c>
      <c r="BK45" s="134">
        <v>0.83144370000000001</v>
      </c>
      <c r="BN45" s="84">
        <f t="shared" si="14"/>
        <v>213.75</v>
      </c>
      <c r="BO45" s="17">
        <f t="shared" si="3"/>
        <v>49.551617827359998</v>
      </c>
      <c r="BP45" s="17">
        <f t="shared" si="4"/>
        <v>45.209671485930002</v>
      </c>
      <c r="BQ45" s="17">
        <f t="shared" si="5"/>
        <v>45.476360256656001</v>
      </c>
      <c r="BR45" s="17">
        <f t="shared" si="6"/>
        <v>42.4291838607</v>
      </c>
      <c r="BS45" s="17">
        <f t="shared" si="7"/>
        <v>37.186303007195001</v>
      </c>
    </row>
    <row r="46" spans="1:71" x14ac:dyDescent="0.25">
      <c r="A46" s="3"/>
      <c r="B46" s="3">
        <v>19</v>
      </c>
      <c r="C46" s="3">
        <v>36</v>
      </c>
      <c r="D46" s="3">
        <v>720</v>
      </c>
      <c r="E46" s="3">
        <f t="shared" si="8"/>
        <v>22572</v>
      </c>
      <c r="F46" s="3">
        <f t="shared" si="9"/>
        <v>940.5</v>
      </c>
      <c r="G46" s="3">
        <f t="shared" si="10"/>
        <v>2.5749486652977414</v>
      </c>
      <c r="H46" s="3">
        <v>1.0353406999999999</v>
      </c>
      <c r="I46" s="80">
        <v>1.024044</v>
      </c>
      <c r="J46" s="81">
        <v>1.0240349</v>
      </c>
      <c r="K46" s="12">
        <v>1.0239493</v>
      </c>
      <c r="L46" s="87">
        <v>1.0240117</v>
      </c>
      <c r="M46" s="87">
        <v>1.0239639</v>
      </c>
      <c r="N46" s="82">
        <v>1.0236717</v>
      </c>
      <c r="O46" s="80">
        <v>1.0243537</v>
      </c>
      <c r="P46" s="3">
        <v>1.0250062</v>
      </c>
      <c r="S46" s="3"/>
      <c r="T46" s="3">
        <v>19</v>
      </c>
      <c r="U46" s="3">
        <v>36</v>
      </c>
      <c r="V46" s="3">
        <v>720</v>
      </c>
      <c r="W46" s="3">
        <f t="shared" si="11"/>
        <v>22572</v>
      </c>
      <c r="X46" s="3">
        <f t="shared" si="20"/>
        <v>940.5</v>
      </c>
      <c r="Y46" s="3">
        <f t="shared" si="13"/>
        <v>2.5749486652977414</v>
      </c>
      <c r="Z46" s="11">
        <v>0.53441000000000005</v>
      </c>
      <c r="AA46" s="144">
        <v>0.64332199999999995</v>
      </c>
      <c r="AB46" s="83">
        <v>0.64322599999999996</v>
      </c>
      <c r="AC46" s="91">
        <v>0.64345699999999995</v>
      </c>
      <c r="AD46" s="91">
        <v>0.64334100000000005</v>
      </c>
      <c r="AE46" s="91">
        <v>0.64336300000000002</v>
      </c>
      <c r="AF46" s="91">
        <v>0.64382099999999998</v>
      </c>
      <c r="AG46" s="91">
        <v>0.64265700000000003</v>
      </c>
      <c r="AH46" s="91">
        <v>0.64142600000000005</v>
      </c>
      <c r="AL46" s="255"/>
      <c r="AM46" s="3">
        <v>3</v>
      </c>
      <c r="AN46" s="11">
        <v>49634</v>
      </c>
      <c r="AO46" s="11">
        <v>2401.9</v>
      </c>
      <c r="AP46" s="11">
        <v>8086700</v>
      </c>
      <c r="AQ46" s="11">
        <v>490460</v>
      </c>
      <c r="AR46" s="11">
        <v>264390</v>
      </c>
      <c r="AS46" s="11">
        <v>146580</v>
      </c>
      <c r="AT46" s="11">
        <v>96475</v>
      </c>
      <c r="AW46" s="104">
        <v>35</v>
      </c>
      <c r="AX46" s="137">
        <f t="shared" si="15"/>
        <v>213.75</v>
      </c>
      <c r="AY46" s="134">
        <v>0.37791160000000001</v>
      </c>
      <c r="AZ46" s="104"/>
      <c r="BA46" s="84">
        <f t="shared" si="16"/>
        <v>213.75</v>
      </c>
      <c r="BB46" s="11">
        <v>0.43608330000000001</v>
      </c>
      <c r="BC46" s="104">
        <v>35</v>
      </c>
      <c r="BD46" s="84">
        <f t="shared" si="17"/>
        <v>213.75</v>
      </c>
      <c r="BE46" s="135">
        <v>0.5691832</v>
      </c>
      <c r="BF46" s="104">
        <v>35</v>
      </c>
      <c r="BG46" s="84">
        <f t="shared" si="18"/>
        <v>213.75</v>
      </c>
      <c r="BH46" s="135">
        <v>0.63958130000000002</v>
      </c>
      <c r="BI46" s="104">
        <v>35</v>
      </c>
      <c r="BJ46" s="84">
        <f t="shared" si="19"/>
        <v>213.75</v>
      </c>
      <c r="BK46" s="134">
        <v>0.63309789999999999</v>
      </c>
      <c r="BN46" s="84">
        <f t="shared" si="14"/>
        <v>220</v>
      </c>
      <c r="BO46" s="17">
        <f t="shared" si="3"/>
        <v>37.504899681680001</v>
      </c>
      <c r="BP46" s="17">
        <f t="shared" si="4"/>
        <v>34.516661544469997</v>
      </c>
      <c r="BQ46" s="17">
        <f t="shared" si="5"/>
        <v>33.905984219198004</v>
      </c>
      <c r="BR46" s="17">
        <f t="shared" si="6"/>
        <v>31.517420079599997</v>
      </c>
      <c r="BS46" s="17">
        <f t="shared" si="7"/>
        <v>27.507423949635001</v>
      </c>
    </row>
    <row r="47" spans="1:71" x14ac:dyDescent="0.25">
      <c r="A47" s="3"/>
      <c r="B47" s="3">
        <v>20</v>
      </c>
      <c r="C47" s="3">
        <v>37</v>
      </c>
      <c r="D47" s="3">
        <v>720</v>
      </c>
      <c r="E47" s="3">
        <f t="shared" si="8"/>
        <v>23292</v>
      </c>
      <c r="F47" s="3">
        <f t="shared" si="9"/>
        <v>970.5</v>
      </c>
      <c r="G47" s="3">
        <f t="shared" si="10"/>
        <v>2.6570841889117043</v>
      </c>
      <c r="H47" s="3">
        <v>1.0330321</v>
      </c>
      <c r="I47" s="80">
        <v>1.0227782999999999</v>
      </c>
      <c r="J47" s="81">
        <v>1.022745</v>
      </c>
      <c r="K47" s="12">
        <v>1.0226521</v>
      </c>
      <c r="L47" s="87">
        <v>1.0227189000000001</v>
      </c>
      <c r="M47" s="87">
        <v>1.0226729999999999</v>
      </c>
      <c r="N47" s="82">
        <v>1.0224302999999999</v>
      </c>
      <c r="O47" s="80">
        <v>1.0230745999999999</v>
      </c>
      <c r="P47" s="3">
        <v>1.0237409</v>
      </c>
      <c r="S47" s="3"/>
      <c r="T47" s="3">
        <v>20</v>
      </c>
      <c r="U47" s="3">
        <v>37</v>
      </c>
      <c r="V47" s="3">
        <v>720</v>
      </c>
      <c r="W47" s="3">
        <f t="shared" si="11"/>
        <v>23292</v>
      </c>
      <c r="X47" s="3">
        <f t="shared" si="20"/>
        <v>970.5</v>
      </c>
      <c r="Y47" s="3">
        <f t="shared" si="13"/>
        <v>2.6570841889117043</v>
      </c>
      <c r="Z47" s="11">
        <v>0.53593999999999997</v>
      </c>
      <c r="AA47" s="144">
        <v>0.643733</v>
      </c>
      <c r="AB47" s="83">
        <v>0.64363899999999996</v>
      </c>
      <c r="AC47" s="91">
        <v>0.64387700000000003</v>
      </c>
      <c r="AD47" s="91">
        <v>0.64376</v>
      </c>
      <c r="AE47" s="91">
        <v>0.64377899999999999</v>
      </c>
      <c r="AF47" s="91">
        <v>0.64422999999999997</v>
      </c>
      <c r="AG47" s="91">
        <v>0.64305999999999996</v>
      </c>
      <c r="AH47" s="91">
        <v>0.64180899999999996</v>
      </c>
      <c r="AL47" s="256"/>
      <c r="AM47" s="3">
        <v>5</v>
      </c>
      <c r="AN47" s="11">
        <v>44133</v>
      </c>
      <c r="AO47" s="11">
        <v>3743.3</v>
      </c>
      <c r="AP47" s="11">
        <v>8021100</v>
      </c>
      <c r="AQ47" s="11">
        <v>443230</v>
      </c>
      <c r="AR47" s="11">
        <v>257400</v>
      </c>
      <c r="AS47" s="11">
        <v>146620</v>
      </c>
      <c r="AT47" s="11">
        <v>97548</v>
      </c>
      <c r="AW47" s="105">
        <v>36</v>
      </c>
      <c r="AX47" s="137">
        <f t="shared" si="15"/>
        <v>220</v>
      </c>
      <c r="AY47" s="134">
        <v>0.28603580000000001</v>
      </c>
      <c r="AZ47" s="106"/>
      <c r="BA47" s="84">
        <f t="shared" si="16"/>
        <v>220</v>
      </c>
      <c r="BB47" s="11">
        <v>0.33294069999999998</v>
      </c>
      <c r="BC47" s="106">
        <v>36</v>
      </c>
      <c r="BD47" s="84">
        <f t="shared" si="17"/>
        <v>220</v>
      </c>
      <c r="BE47" s="135">
        <v>0.42436810000000003</v>
      </c>
      <c r="BF47" s="106">
        <v>36</v>
      </c>
      <c r="BG47" s="84">
        <f t="shared" si="18"/>
        <v>220</v>
      </c>
      <c r="BH47" s="135">
        <v>0.47509639999999997</v>
      </c>
      <c r="BI47" s="106">
        <v>36</v>
      </c>
      <c r="BJ47" s="84">
        <f t="shared" si="19"/>
        <v>220</v>
      </c>
      <c r="BK47" s="134">
        <v>0.46831469999999997</v>
      </c>
      <c r="BN47" s="84">
        <f>BN46+5.2376</f>
        <v>225.23759999999999</v>
      </c>
      <c r="BO47" s="17">
        <f t="shared" si="3"/>
        <v>0</v>
      </c>
      <c r="BP47" s="17">
        <f t="shared" si="4"/>
        <v>0</v>
      </c>
      <c r="BQ47" s="17">
        <f t="shared" si="5"/>
        <v>0</v>
      </c>
      <c r="BR47" s="17">
        <f t="shared" si="6"/>
        <v>0</v>
      </c>
      <c r="BS47" s="17">
        <f t="shared" si="7"/>
        <v>0</v>
      </c>
    </row>
    <row r="48" spans="1:71" x14ac:dyDescent="0.25">
      <c r="A48" s="3"/>
      <c r="B48" s="3">
        <v>21</v>
      </c>
      <c r="C48" s="3">
        <v>38</v>
      </c>
      <c r="D48" s="3">
        <v>720</v>
      </c>
      <c r="E48" s="3">
        <f t="shared" si="8"/>
        <v>24012</v>
      </c>
      <c r="F48" s="3">
        <f t="shared" si="9"/>
        <v>1000.5</v>
      </c>
      <c r="G48" s="3">
        <f t="shared" si="10"/>
        <v>2.7392197125256672</v>
      </c>
      <c r="H48" s="3">
        <v>1.0311634999999999</v>
      </c>
      <c r="I48" s="80">
        <v>1.0214380000000001</v>
      </c>
      <c r="J48" s="81">
        <v>1.0214331000000001</v>
      </c>
      <c r="K48" s="12">
        <v>1.0213428</v>
      </c>
      <c r="L48" s="87">
        <v>1.0214809</v>
      </c>
      <c r="M48" s="87">
        <v>1.0213561</v>
      </c>
      <c r="N48" s="82">
        <v>1.0210859999999999</v>
      </c>
      <c r="O48" s="80">
        <v>1.0217687</v>
      </c>
      <c r="P48" s="3">
        <v>1.0224476</v>
      </c>
      <c r="S48" s="3"/>
      <c r="T48" s="3">
        <v>21</v>
      </c>
      <c r="U48" s="3">
        <v>38</v>
      </c>
      <c r="V48" s="3">
        <v>720</v>
      </c>
      <c r="W48" s="3">
        <f t="shared" si="11"/>
        <v>24012</v>
      </c>
      <c r="X48" s="3">
        <f t="shared" si="20"/>
        <v>1000.5</v>
      </c>
      <c r="Y48" s="3">
        <f t="shared" si="13"/>
        <v>2.7392197125256672</v>
      </c>
      <c r="Z48" s="11">
        <v>0.53699799999999998</v>
      </c>
      <c r="AA48" s="144">
        <v>0.64415699999999998</v>
      </c>
      <c r="AB48" s="83">
        <v>0.64405800000000002</v>
      </c>
      <c r="AC48" s="91">
        <v>0.64429700000000001</v>
      </c>
      <c r="AD48" s="91">
        <v>0.64415699999999998</v>
      </c>
      <c r="AE48" s="91">
        <v>0.64420200000000005</v>
      </c>
      <c r="AF48" s="91">
        <v>0.64466299999999999</v>
      </c>
      <c r="AG48" s="91">
        <v>0.64346800000000004</v>
      </c>
      <c r="AH48" s="91">
        <v>0.64219999999999999</v>
      </c>
      <c r="AW48" s="104">
        <v>37</v>
      </c>
      <c r="AX48" s="137">
        <f>AX47+5.2376</f>
        <v>225.23759999999999</v>
      </c>
      <c r="AY48" s="134">
        <v>0</v>
      </c>
      <c r="AZ48" s="104"/>
      <c r="BA48" s="84">
        <f>BA47+5.2376</f>
        <v>225.23759999999999</v>
      </c>
      <c r="BB48" s="11">
        <v>0</v>
      </c>
      <c r="BC48" s="104">
        <v>37</v>
      </c>
      <c r="BD48" s="84">
        <f>BD47+5.2376</f>
        <v>225.23759999999999</v>
      </c>
      <c r="BE48" s="135">
        <v>0</v>
      </c>
      <c r="BF48" s="104">
        <v>37</v>
      </c>
      <c r="BG48" s="84">
        <f>BG47+5.2376</f>
        <v>225.23759999999999</v>
      </c>
      <c r="BH48" s="135">
        <v>0</v>
      </c>
      <c r="BI48" s="104">
        <v>37</v>
      </c>
      <c r="BJ48" s="84">
        <f>BJ47+5.2376</f>
        <v>225.23759999999999</v>
      </c>
      <c r="BK48" s="134">
        <v>0</v>
      </c>
      <c r="BN48" s="84">
        <f>BN47+(14.7624/2)</f>
        <v>232.61879999999999</v>
      </c>
      <c r="BO48" s="17">
        <f t="shared" si="3"/>
        <v>0</v>
      </c>
      <c r="BP48" s="17">
        <f t="shared" si="4"/>
        <v>0</v>
      </c>
      <c r="BQ48" s="17">
        <f t="shared" si="5"/>
        <v>0</v>
      </c>
      <c r="BR48" s="17">
        <f t="shared" si="6"/>
        <v>0</v>
      </c>
      <c r="BS48" s="17">
        <f t="shared" si="7"/>
        <v>0</v>
      </c>
    </row>
    <row r="49" spans="1:71" x14ac:dyDescent="0.25">
      <c r="A49" s="3"/>
      <c r="B49" s="3">
        <v>22</v>
      </c>
      <c r="C49" s="3">
        <v>39</v>
      </c>
      <c r="D49" s="3">
        <v>720</v>
      </c>
      <c r="E49" s="3">
        <f t="shared" si="8"/>
        <v>24732</v>
      </c>
      <c r="F49" s="3">
        <f t="shared" si="9"/>
        <v>1030.5</v>
      </c>
      <c r="G49" s="3">
        <f t="shared" si="10"/>
        <v>2.8213552361396306</v>
      </c>
      <c r="H49" s="12">
        <v>1.0291526</v>
      </c>
      <c r="I49" s="80">
        <v>1.0200549000000001</v>
      </c>
      <c r="J49" s="81">
        <v>1.0200564000000001</v>
      </c>
      <c r="K49" s="12">
        <v>1.0198961</v>
      </c>
      <c r="L49" s="87">
        <v>1.0200693999999999</v>
      </c>
      <c r="M49" s="87">
        <v>1.0199781999999999</v>
      </c>
      <c r="N49" s="82">
        <v>1.0197109</v>
      </c>
      <c r="O49" s="80">
        <v>1.0203971999999999</v>
      </c>
      <c r="P49" s="3">
        <v>1.0211011999999999</v>
      </c>
      <c r="S49" s="3"/>
      <c r="T49" s="3">
        <v>22</v>
      </c>
      <c r="U49" s="3">
        <v>39</v>
      </c>
      <c r="V49" s="3">
        <v>720</v>
      </c>
      <c r="W49" s="3">
        <f t="shared" si="11"/>
        <v>24732</v>
      </c>
      <c r="X49" s="3">
        <f t="shared" si="20"/>
        <v>1030.5</v>
      </c>
      <c r="Y49" s="3">
        <f t="shared" si="13"/>
        <v>2.8213552361396306</v>
      </c>
      <c r="Z49" s="11">
        <v>0.53817300000000001</v>
      </c>
      <c r="AA49" s="144">
        <v>0.64461599999999997</v>
      </c>
      <c r="AB49" s="83">
        <v>0.64450300000000005</v>
      </c>
      <c r="AC49" s="91">
        <v>0.64476999999999995</v>
      </c>
      <c r="AD49" s="91">
        <v>0.64462200000000003</v>
      </c>
      <c r="AE49" s="91">
        <v>0.64464999999999995</v>
      </c>
      <c r="AF49" s="91">
        <v>0.64512199999999997</v>
      </c>
      <c r="AG49" s="91">
        <v>0.64390400000000003</v>
      </c>
      <c r="AH49" s="91">
        <v>0.64261000000000001</v>
      </c>
      <c r="AW49" s="105">
        <v>38</v>
      </c>
      <c r="AX49" s="137">
        <f>AX48+(14.7624/2)</f>
        <v>232.61879999999999</v>
      </c>
      <c r="AY49" s="134">
        <v>0</v>
      </c>
      <c r="AZ49" s="106"/>
      <c r="BA49" s="84">
        <f>BA48+(14.7624/2)</f>
        <v>232.61879999999999</v>
      </c>
      <c r="BB49" s="11">
        <v>0</v>
      </c>
      <c r="BC49" s="106">
        <v>38</v>
      </c>
      <c r="BD49" s="84">
        <f>BD48+(14.7624/2)</f>
        <v>232.61879999999999</v>
      </c>
      <c r="BE49" s="135">
        <v>0</v>
      </c>
      <c r="BF49" s="106">
        <v>38</v>
      </c>
      <c r="BG49" s="84">
        <f>BG48+(14.7624/2)</f>
        <v>232.61879999999999</v>
      </c>
      <c r="BH49" s="135">
        <v>0</v>
      </c>
      <c r="BI49" s="106">
        <v>38</v>
      </c>
      <c r="BJ49" s="84">
        <f>BJ48+(14.7624/2)</f>
        <v>232.61879999999999</v>
      </c>
      <c r="BK49" s="134">
        <v>0</v>
      </c>
      <c r="BM49" s="108" t="s">
        <v>300</v>
      </c>
      <c r="BN49" s="3">
        <f>BN47+14.7624</f>
        <v>240</v>
      </c>
      <c r="BO49" s="17">
        <f t="shared" si="3"/>
        <v>0</v>
      </c>
      <c r="BP49" s="17">
        <f t="shared" si="4"/>
        <v>0</v>
      </c>
      <c r="BQ49" s="17">
        <f t="shared" si="5"/>
        <v>0</v>
      </c>
      <c r="BR49" s="17">
        <f t="shared" si="6"/>
        <v>0</v>
      </c>
      <c r="BS49" s="17">
        <f t="shared" si="7"/>
        <v>0</v>
      </c>
    </row>
    <row r="50" spans="1:71" x14ac:dyDescent="0.25">
      <c r="A50" s="3"/>
      <c r="B50" s="3">
        <v>23</v>
      </c>
      <c r="C50" s="3">
        <v>40</v>
      </c>
      <c r="D50" s="3">
        <v>720</v>
      </c>
      <c r="E50" s="3">
        <f t="shared" si="8"/>
        <v>25452</v>
      </c>
      <c r="F50" s="3">
        <f t="shared" si="9"/>
        <v>1060.5</v>
      </c>
      <c r="G50" s="3">
        <f t="shared" si="10"/>
        <v>2.9034907597535935</v>
      </c>
      <c r="H50" s="3">
        <v>1.0268739</v>
      </c>
      <c r="I50" s="80">
        <v>1.0187457</v>
      </c>
      <c r="J50" s="81">
        <v>1.0187109999999999</v>
      </c>
      <c r="K50" s="12">
        <v>1.0186191</v>
      </c>
      <c r="L50" s="87">
        <v>1.0186930999999999</v>
      </c>
      <c r="M50" s="87">
        <v>1.0186318000000001</v>
      </c>
      <c r="N50" s="82">
        <v>1.0183572999999999</v>
      </c>
      <c r="O50" s="80">
        <v>1.0190615999999999</v>
      </c>
      <c r="P50" s="3">
        <v>1.0197776999999999</v>
      </c>
      <c r="S50" s="3"/>
      <c r="T50" s="3">
        <v>23</v>
      </c>
      <c r="U50" s="3">
        <v>40</v>
      </c>
      <c r="V50" s="3">
        <v>720</v>
      </c>
      <c r="W50" s="3">
        <f t="shared" si="11"/>
        <v>25452</v>
      </c>
      <c r="X50" s="3">
        <f t="shared" si="20"/>
        <v>1060.5</v>
      </c>
      <c r="Y50" s="3">
        <f t="shared" si="13"/>
        <v>2.9034907597535935</v>
      </c>
      <c r="Z50" s="11">
        <v>0.53965399999999997</v>
      </c>
      <c r="AA50" s="144">
        <v>0.64503200000000005</v>
      </c>
      <c r="AB50" s="83">
        <v>0.64492300000000002</v>
      </c>
      <c r="AC50" s="91">
        <v>0.64518200000000003</v>
      </c>
      <c r="AD50" s="91">
        <v>0.64505699999999999</v>
      </c>
      <c r="AE50" s="91">
        <v>0.64507199999999998</v>
      </c>
      <c r="AF50" s="91">
        <v>0.64555600000000002</v>
      </c>
      <c r="AG50" s="91">
        <v>0.64431300000000002</v>
      </c>
      <c r="AH50" s="91">
        <v>0.64299600000000001</v>
      </c>
      <c r="AW50" s="106">
        <v>39</v>
      </c>
      <c r="AX50" s="131">
        <f>AX48+14.7624</f>
        <v>240</v>
      </c>
      <c r="AY50" s="134">
        <v>0</v>
      </c>
      <c r="AZ50" s="106"/>
      <c r="BA50" s="3">
        <f>BA48+14.7624</f>
        <v>240</v>
      </c>
      <c r="BB50" s="11">
        <v>0</v>
      </c>
      <c r="BC50" s="106">
        <v>39</v>
      </c>
      <c r="BD50" s="3">
        <f>BD48+14.7624</f>
        <v>240</v>
      </c>
      <c r="BE50" s="135">
        <v>0</v>
      </c>
      <c r="BF50" s="106">
        <v>39</v>
      </c>
      <c r="BG50" s="3">
        <f>BG48+14.7624</f>
        <v>240</v>
      </c>
      <c r="BH50" s="135">
        <v>0</v>
      </c>
      <c r="BI50" s="106">
        <v>39</v>
      </c>
      <c r="BJ50" s="3">
        <f>BJ48+14.7624</f>
        <v>240</v>
      </c>
      <c r="BK50" s="134">
        <v>0</v>
      </c>
      <c r="BN50" t="s">
        <v>408</v>
      </c>
      <c r="BO50" s="172">
        <f>MAX(BO11:BO49)</f>
        <v>192.38365966480001</v>
      </c>
      <c r="BP50" s="172">
        <f t="shared" ref="BP50:BS50" si="21">MAX(BP11:BP49)</f>
        <v>140.43764783929998</v>
      </c>
      <c r="BQ50" s="172">
        <f t="shared" si="21"/>
        <v>97.371580233900005</v>
      </c>
      <c r="BR50" s="172">
        <f t="shared" si="21"/>
        <v>84.872723480999994</v>
      </c>
      <c r="BS50" s="172">
        <f t="shared" si="21"/>
        <v>75.354407552550001</v>
      </c>
    </row>
    <row r="51" spans="1:71" x14ac:dyDescent="0.25">
      <c r="A51" s="3" t="s">
        <v>278</v>
      </c>
      <c r="B51" s="3">
        <v>24</v>
      </c>
      <c r="C51" s="3">
        <v>41</v>
      </c>
      <c r="D51" s="3">
        <v>846</v>
      </c>
      <c r="E51" s="3">
        <f t="shared" si="8"/>
        <v>26298</v>
      </c>
      <c r="F51" s="3">
        <f t="shared" si="9"/>
        <v>1095.75</v>
      </c>
      <c r="G51" s="3">
        <f t="shared" si="10"/>
        <v>3</v>
      </c>
      <c r="H51" s="3">
        <v>1.0250367</v>
      </c>
      <c r="I51" s="80">
        <v>1.0173752</v>
      </c>
      <c r="J51" s="81">
        <v>1.017385</v>
      </c>
      <c r="K51" s="12">
        <v>1.0172759</v>
      </c>
      <c r="L51" s="87">
        <v>1.0173810999999999</v>
      </c>
      <c r="M51" s="87">
        <v>1.0173368</v>
      </c>
      <c r="N51" s="82">
        <v>1.0170192</v>
      </c>
      <c r="O51" s="80">
        <v>1.0177783</v>
      </c>
      <c r="P51" s="3">
        <v>1.0184728999999999</v>
      </c>
      <c r="S51" s="3" t="s">
        <v>278</v>
      </c>
      <c r="T51" s="3">
        <v>24</v>
      </c>
      <c r="U51" s="3">
        <v>41</v>
      </c>
      <c r="V51" s="3">
        <v>846</v>
      </c>
      <c r="W51" s="3">
        <f t="shared" si="11"/>
        <v>26298</v>
      </c>
      <c r="X51" s="3">
        <f t="shared" si="20"/>
        <v>1095.75</v>
      </c>
      <c r="Y51" s="3">
        <f t="shared" si="13"/>
        <v>3</v>
      </c>
      <c r="Z51" s="11">
        <v>0.54067100000000001</v>
      </c>
      <c r="AA51" s="144">
        <v>0.64545399999999997</v>
      </c>
      <c r="AB51" s="83">
        <v>0.64533200000000002</v>
      </c>
      <c r="AC51" s="91">
        <v>0.64559999999999995</v>
      </c>
      <c r="AD51" s="91">
        <v>0.64546599999999998</v>
      </c>
      <c r="AE51" s="91">
        <v>0.64547500000000002</v>
      </c>
      <c r="AF51" s="91">
        <v>0.64598100000000003</v>
      </c>
      <c r="AG51" s="91">
        <v>0.64469799999999999</v>
      </c>
      <c r="AH51" s="91">
        <v>0.64336599999999999</v>
      </c>
      <c r="AY51" s="140"/>
      <c r="BN51" t="s">
        <v>409</v>
      </c>
      <c r="BO51" s="172">
        <f>MIN(BO11:BO49)</f>
        <v>0</v>
      </c>
      <c r="BP51" s="172">
        <f t="shared" ref="BP51:BS51" si="22">MIN(BP11:BP49)</f>
        <v>0</v>
      </c>
      <c r="BQ51" s="172">
        <f t="shared" si="22"/>
        <v>0</v>
      </c>
      <c r="BR51" s="172">
        <f t="shared" si="22"/>
        <v>0</v>
      </c>
      <c r="BS51" s="172">
        <f t="shared" si="22"/>
        <v>0</v>
      </c>
    </row>
    <row r="52" spans="1:71" x14ac:dyDescent="0.25">
      <c r="A52" s="3"/>
      <c r="B52" s="3">
        <v>1</v>
      </c>
      <c r="C52" s="3">
        <v>42</v>
      </c>
      <c r="D52" s="3">
        <v>720</v>
      </c>
      <c r="E52" s="3">
        <f t="shared" si="8"/>
        <v>27018</v>
      </c>
      <c r="F52" s="3">
        <f t="shared" si="9"/>
        <v>1125.75</v>
      </c>
      <c r="G52" s="3">
        <f t="shared" si="10"/>
        <v>3.0821355236139629</v>
      </c>
      <c r="H52" s="3">
        <v>1.0250587</v>
      </c>
      <c r="I52" s="80">
        <v>1.0173873</v>
      </c>
      <c r="J52" s="81">
        <v>1.0174004000000001</v>
      </c>
      <c r="K52" s="12">
        <v>1.0172950000000001</v>
      </c>
      <c r="L52" s="87">
        <v>1.0173942</v>
      </c>
      <c r="M52" s="87">
        <v>1.0173433999999999</v>
      </c>
      <c r="N52" s="82">
        <v>1.0170325</v>
      </c>
      <c r="O52" s="80">
        <v>1.0177835</v>
      </c>
      <c r="P52" s="3">
        <v>1.018486</v>
      </c>
      <c r="Q52" t="s">
        <v>277</v>
      </c>
      <c r="S52" s="3"/>
      <c r="T52" s="3">
        <v>1</v>
      </c>
      <c r="U52" s="3">
        <v>42</v>
      </c>
      <c r="V52" s="3">
        <v>720</v>
      </c>
      <c r="W52" s="3">
        <f t="shared" si="11"/>
        <v>27018</v>
      </c>
      <c r="X52" s="3">
        <f t="shared" si="20"/>
        <v>1125.75</v>
      </c>
      <c r="Y52" s="3">
        <f t="shared" si="13"/>
        <v>3.0821355236139629</v>
      </c>
      <c r="Z52" s="11">
        <v>0.54073499999999997</v>
      </c>
      <c r="AA52" s="144">
        <v>0.645459</v>
      </c>
      <c r="AB52" s="83">
        <v>0.64533600000000002</v>
      </c>
      <c r="AC52" s="91">
        <v>0.64560300000000004</v>
      </c>
      <c r="AD52" s="91">
        <v>0.64547100000000002</v>
      </c>
      <c r="AE52" s="91">
        <v>0.64548099999999997</v>
      </c>
      <c r="AF52" s="91">
        <v>0.64598599999999995</v>
      </c>
      <c r="AG52" s="91">
        <v>0.64470499999999997</v>
      </c>
      <c r="AH52" s="91">
        <v>0.64337200000000005</v>
      </c>
      <c r="AI52" t="s">
        <v>277</v>
      </c>
    </row>
    <row r="53" spans="1:71" x14ac:dyDescent="0.25">
      <c r="A53" s="3"/>
      <c r="B53" s="3">
        <v>2</v>
      </c>
      <c r="C53" s="3">
        <v>43</v>
      </c>
      <c r="D53" s="3">
        <v>720</v>
      </c>
      <c r="E53" s="3">
        <f t="shared" si="8"/>
        <v>27738</v>
      </c>
      <c r="F53" s="3">
        <f t="shared" si="9"/>
        <v>1155.75</v>
      </c>
      <c r="G53" s="3">
        <f t="shared" si="10"/>
        <v>3.1642710472279263</v>
      </c>
      <c r="H53" s="3">
        <v>1.0225519000000001</v>
      </c>
      <c r="I53" s="80">
        <v>1.0160203000000001</v>
      </c>
      <c r="J53" s="81">
        <v>1.0160593</v>
      </c>
      <c r="K53" s="12">
        <v>1.0159265</v>
      </c>
      <c r="L53" s="87">
        <v>1.0160537000000001</v>
      </c>
      <c r="M53" s="87">
        <v>1.0159596</v>
      </c>
      <c r="N53" s="82">
        <v>1.0156429</v>
      </c>
      <c r="O53" s="80">
        <v>1.0164074999999999</v>
      </c>
      <c r="P53" s="3">
        <v>1.0171275</v>
      </c>
      <c r="S53" s="3"/>
      <c r="T53" s="3">
        <v>2</v>
      </c>
      <c r="U53" s="3">
        <v>43</v>
      </c>
      <c r="V53" s="3">
        <v>720</v>
      </c>
      <c r="W53" s="3">
        <f t="shared" si="11"/>
        <v>27738</v>
      </c>
      <c r="X53" s="3">
        <f t="shared" si="20"/>
        <v>1155.75</v>
      </c>
      <c r="Y53" s="3">
        <f t="shared" si="13"/>
        <v>3.1642710472279263</v>
      </c>
      <c r="Z53" s="91">
        <v>0.54238299999999995</v>
      </c>
      <c r="AA53" s="144">
        <v>0.64589099999999999</v>
      </c>
      <c r="AB53" s="83">
        <v>0.64575700000000003</v>
      </c>
      <c r="AC53" s="91">
        <v>0.64603500000000003</v>
      </c>
      <c r="AD53" s="91">
        <v>0.64589200000000002</v>
      </c>
      <c r="AE53" s="91">
        <v>0.64591500000000002</v>
      </c>
      <c r="AF53" s="91">
        <v>0.646428</v>
      </c>
      <c r="AG53" s="91">
        <v>0.64512599999999998</v>
      </c>
      <c r="AH53" s="91">
        <v>0.64377099999999998</v>
      </c>
    </row>
    <row r="54" spans="1:71" x14ac:dyDescent="0.25">
      <c r="A54" s="3"/>
      <c r="B54" s="3">
        <v>3</v>
      </c>
      <c r="C54" s="3">
        <v>44</v>
      </c>
      <c r="D54" s="3">
        <v>720</v>
      </c>
      <c r="E54" s="3">
        <f t="shared" si="8"/>
        <v>28458</v>
      </c>
      <c r="F54" s="3">
        <f t="shared" si="9"/>
        <v>1185.75</v>
      </c>
      <c r="G54" s="3">
        <f t="shared" si="10"/>
        <v>3.2464065708418892</v>
      </c>
      <c r="H54" s="3">
        <v>1.020472</v>
      </c>
      <c r="I54" s="80">
        <v>1.0146637999999999</v>
      </c>
      <c r="J54" s="81">
        <v>1.0146888000000001</v>
      </c>
      <c r="K54" s="12">
        <v>1.0146016</v>
      </c>
      <c r="L54" s="87">
        <v>1.0146413999999999</v>
      </c>
      <c r="M54" s="87">
        <v>1.0146004</v>
      </c>
      <c r="N54" s="82">
        <v>1.0142701000000001</v>
      </c>
      <c r="O54" s="80">
        <v>1.0150547999999999</v>
      </c>
      <c r="P54" s="3">
        <v>1.0157855</v>
      </c>
      <c r="S54" s="3"/>
      <c r="T54" s="3">
        <v>3</v>
      </c>
      <c r="U54" s="3">
        <v>44</v>
      </c>
      <c r="V54" s="3">
        <v>720</v>
      </c>
      <c r="W54" s="3">
        <f t="shared" si="11"/>
        <v>28458</v>
      </c>
      <c r="X54" s="3">
        <f t="shared" si="20"/>
        <v>1185.75</v>
      </c>
      <c r="Y54" s="3">
        <f t="shared" si="13"/>
        <v>3.2464065708418892</v>
      </c>
      <c r="Z54" s="11">
        <v>0.54359900000000005</v>
      </c>
      <c r="AA54" s="144">
        <v>0.64632900000000004</v>
      </c>
      <c r="AB54" s="83">
        <v>0.64619800000000005</v>
      </c>
      <c r="AC54" s="91">
        <v>0.64646599999999999</v>
      </c>
      <c r="AD54" s="91">
        <v>0.64634499999999995</v>
      </c>
      <c r="AE54" s="91">
        <v>0.64635600000000004</v>
      </c>
      <c r="AF54" s="91">
        <v>0.64687899999999998</v>
      </c>
      <c r="AG54" s="91">
        <v>0.64555799999999997</v>
      </c>
      <c r="AH54" s="91">
        <v>0.64418600000000004</v>
      </c>
    </row>
    <row r="55" spans="1:71" x14ac:dyDescent="0.25">
      <c r="A55" s="3"/>
      <c r="B55" s="3">
        <v>4</v>
      </c>
      <c r="C55" s="3">
        <v>45</v>
      </c>
      <c r="D55" s="3">
        <v>720</v>
      </c>
      <c r="E55" s="3">
        <f t="shared" si="8"/>
        <v>29178</v>
      </c>
      <c r="F55" s="3">
        <f t="shared" si="9"/>
        <v>1215.75</v>
      </c>
      <c r="G55" s="3">
        <f t="shared" si="10"/>
        <v>3.3285420944558521</v>
      </c>
      <c r="H55" s="3">
        <v>1.0181636000000001</v>
      </c>
      <c r="I55" s="80">
        <v>1.0133046999999999</v>
      </c>
      <c r="J55" s="81">
        <v>1.0133668</v>
      </c>
      <c r="K55" s="12">
        <v>1.0132095000000001</v>
      </c>
      <c r="L55" s="12">
        <v>1.0132987</v>
      </c>
      <c r="M55" s="87">
        <v>1.0132725</v>
      </c>
      <c r="N55" s="82">
        <v>1.0129375</v>
      </c>
      <c r="O55" s="80">
        <v>1.0137370000000001</v>
      </c>
      <c r="P55" s="3">
        <v>1.0145458999999999</v>
      </c>
      <c r="S55" s="3"/>
      <c r="T55" s="3">
        <v>4</v>
      </c>
      <c r="U55" s="3">
        <v>45</v>
      </c>
      <c r="V55" s="3">
        <v>720</v>
      </c>
      <c r="W55" s="3">
        <f t="shared" si="11"/>
        <v>29178</v>
      </c>
      <c r="X55" s="3">
        <f t="shared" si="20"/>
        <v>1215.75</v>
      </c>
      <c r="Y55" s="3">
        <f t="shared" si="13"/>
        <v>3.3285420944558521</v>
      </c>
      <c r="Z55" s="11">
        <v>0.54525100000000004</v>
      </c>
      <c r="AA55" s="144">
        <v>0.64676100000000003</v>
      </c>
      <c r="AB55" s="83">
        <v>0.64661400000000002</v>
      </c>
      <c r="AC55" s="91">
        <v>0.64690800000000004</v>
      </c>
      <c r="AD55" s="91">
        <v>0.64677499999999999</v>
      </c>
      <c r="AE55" s="91">
        <v>0.64677600000000002</v>
      </c>
      <c r="AF55" s="91">
        <v>0.64731000000000005</v>
      </c>
      <c r="AG55" s="91">
        <v>0.64596299999999995</v>
      </c>
      <c r="AH55" s="91">
        <v>0.64454800000000001</v>
      </c>
    </row>
    <row r="56" spans="1:71" x14ac:dyDescent="0.25">
      <c r="A56" s="3"/>
      <c r="B56" s="3">
        <v>5</v>
      </c>
      <c r="C56" s="3">
        <v>46</v>
      </c>
      <c r="D56" s="3">
        <v>720</v>
      </c>
      <c r="E56" s="3">
        <f t="shared" si="8"/>
        <v>29898</v>
      </c>
      <c r="F56" s="3">
        <f t="shared" si="9"/>
        <v>1245.75</v>
      </c>
      <c r="G56" s="3">
        <f t="shared" si="10"/>
        <v>3.4106776180698151</v>
      </c>
      <c r="H56" s="3">
        <v>1.0158895999999999</v>
      </c>
      <c r="I56" s="80">
        <v>1.0120106</v>
      </c>
      <c r="J56" s="81">
        <v>1.0120547</v>
      </c>
      <c r="K56" s="12">
        <v>1.0119022</v>
      </c>
      <c r="L56" s="87">
        <v>1.0119764</v>
      </c>
      <c r="M56" s="87">
        <v>1.0119583999999999</v>
      </c>
      <c r="N56" s="82">
        <v>1.0116153000000001</v>
      </c>
      <c r="O56" s="80">
        <v>1.0124295999999999</v>
      </c>
      <c r="P56" s="3">
        <v>1.0132346000000001</v>
      </c>
      <c r="S56" s="3"/>
      <c r="T56" s="3">
        <v>5</v>
      </c>
      <c r="U56" s="3">
        <v>46</v>
      </c>
      <c r="V56" s="3">
        <v>720</v>
      </c>
      <c r="W56" s="3">
        <f t="shared" si="11"/>
        <v>29898</v>
      </c>
      <c r="X56" s="3">
        <f t="shared" si="20"/>
        <v>1245.75</v>
      </c>
      <c r="Y56" s="3">
        <f t="shared" si="13"/>
        <v>3.4106776180698151</v>
      </c>
      <c r="Z56" s="11">
        <v>0.54680399999999996</v>
      </c>
      <c r="AA56" s="144">
        <v>0.64717000000000002</v>
      </c>
      <c r="AB56" s="83">
        <v>0.64701799999999998</v>
      </c>
      <c r="AC56" s="91">
        <v>0.64732400000000001</v>
      </c>
      <c r="AD56" s="91">
        <v>0.64719199999999999</v>
      </c>
      <c r="AE56" s="91">
        <v>0.64718500000000001</v>
      </c>
      <c r="AF56" s="91">
        <v>0.64773000000000003</v>
      </c>
      <c r="AG56" s="91">
        <v>0.64635600000000004</v>
      </c>
      <c r="AH56" s="91">
        <v>0.64492099999999997</v>
      </c>
    </row>
    <row r="57" spans="1:71" x14ac:dyDescent="0.25">
      <c r="A57" s="3"/>
      <c r="B57" s="3">
        <v>6</v>
      </c>
      <c r="C57" s="3">
        <v>47</v>
      </c>
      <c r="D57" s="3">
        <v>720</v>
      </c>
      <c r="E57" s="3">
        <f t="shared" si="8"/>
        <v>30618</v>
      </c>
      <c r="F57" s="3">
        <f t="shared" si="9"/>
        <v>1275.75</v>
      </c>
      <c r="G57" s="3">
        <f t="shared" si="10"/>
        <v>3.4928131416837784</v>
      </c>
      <c r="H57" s="3">
        <v>1.0137388000000001</v>
      </c>
      <c r="I57" s="80">
        <v>1.0106820999999999</v>
      </c>
      <c r="J57" s="81">
        <v>1.0107645000000001</v>
      </c>
      <c r="K57" s="12">
        <v>1.0105983999999999</v>
      </c>
      <c r="L57" s="87">
        <v>1.0106701</v>
      </c>
      <c r="M57" s="87">
        <v>1.0107191</v>
      </c>
      <c r="N57" s="82">
        <v>1.0103153</v>
      </c>
      <c r="O57" s="80">
        <v>1.0111483000000001</v>
      </c>
      <c r="P57" s="3">
        <v>1.0119765999999999</v>
      </c>
      <c r="S57" s="3"/>
      <c r="T57" s="3">
        <v>6</v>
      </c>
      <c r="U57" s="3">
        <v>47</v>
      </c>
      <c r="V57" s="3">
        <v>720</v>
      </c>
      <c r="W57" s="3">
        <f t="shared" si="11"/>
        <v>30618</v>
      </c>
      <c r="X57" s="3">
        <f t="shared" si="20"/>
        <v>1275.75</v>
      </c>
      <c r="Y57" s="3">
        <f t="shared" si="13"/>
        <v>3.4928131416837784</v>
      </c>
      <c r="Z57" s="11">
        <v>0.54811500000000002</v>
      </c>
      <c r="AA57" s="144">
        <v>0.64757399999999998</v>
      </c>
      <c r="AB57" s="83">
        <v>0.64740399999999998</v>
      </c>
      <c r="AC57" s="91">
        <v>0.64772399999999997</v>
      </c>
      <c r="AD57" s="91">
        <v>0.64759100000000003</v>
      </c>
      <c r="AE57" s="91">
        <v>0.64756199999999997</v>
      </c>
      <c r="AF57" s="91">
        <v>0.64813500000000002</v>
      </c>
      <c r="AG57" s="91">
        <v>0.64673099999999994</v>
      </c>
      <c r="AH57" s="91">
        <v>0.64526600000000001</v>
      </c>
    </row>
    <row r="58" spans="1:71" x14ac:dyDescent="0.25">
      <c r="A58" s="3"/>
      <c r="B58" s="3">
        <v>7</v>
      </c>
      <c r="C58" s="3">
        <v>48</v>
      </c>
      <c r="D58" s="3">
        <v>720</v>
      </c>
      <c r="E58" s="3">
        <f t="shared" si="8"/>
        <v>31338</v>
      </c>
      <c r="F58" s="3">
        <f t="shared" si="9"/>
        <v>1305.75</v>
      </c>
      <c r="G58" s="3">
        <f t="shared" si="10"/>
        <v>3.5749486652977414</v>
      </c>
      <c r="H58" s="3">
        <v>1.0113713</v>
      </c>
      <c r="I58" s="80">
        <v>1.0094205000000001</v>
      </c>
      <c r="J58" s="81">
        <v>1.0094836</v>
      </c>
      <c r="K58" s="12">
        <v>1.0093479999999999</v>
      </c>
      <c r="L58" s="87">
        <v>1.0094126000000001</v>
      </c>
      <c r="M58" s="87">
        <v>1.0094373000000001</v>
      </c>
      <c r="N58" s="82">
        <v>1.0090215</v>
      </c>
      <c r="O58" s="80">
        <v>1.0098807000000001</v>
      </c>
      <c r="P58" s="3">
        <v>1.0107098000000001</v>
      </c>
      <c r="S58" s="3"/>
      <c r="T58" s="3">
        <v>7</v>
      </c>
      <c r="U58" s="3">
        <v>48</v>
      </c>
      <c r="V58" s="3">
        <v>720</v>
      </c>
      <c r="W58" s="3">
        <f t="shared" si="11"/>
        <v>31338</v>
      </c>
      <c r="X58" s="3">
        <f t="shared" si="20"/>
        <v>1305.75</v>
      </c>
      <c r="Y58" s="3">
        <f t="shared" si="13"/>
        <v>3.5749486652977414</v>
      </c>
      <c r="Z58" s="11">
        <v>0.54981800000000003</v>
      </c>
      <c r="AA58" s="144">
        <v>0.64796500000000001</v>
      </c>
      <c r="AB58" s="83">
        <v>0.64779699999999996</v>
      </c>
      <c r="AC58" s="91">
        <v>0.64811099999999999</v>
      </c>
      <c r="AD58" s="91">
        <v>0.64798</v>
      </c>
      <c r="AE58" s="91">
        <v>0.64795499999999995</v>
      </c>
      <c r="AF58" s="91">
        <v>0.64854199999999995</v>
      </c>
      <c r="AG58" s="91">
        <v>0.64710800000000002</v>
      </c>
      <c r="AH58" s="91">
        <v>0.64562399999999998</v>
      </c>
    </row>
    <row r="59" spans="1:71" x14ac:dyDescent="0.25">
      <c r="A59" s="3"/>
      <c r="B59" s="3">
        <v>8</v>
      </c>
      <c r="C59" s="3">
        <v>49</v>
      </c>
      <c r="D59" s="3">
        <v>720</v>
      </c>
      <c r="E59" s="3">
        <f t="shared" si="8"/>
        <v>32058</v>
      </c>
      <c r="F59" s="3">
        <f t="shared" si="9"/>
        <v>1335.75</v>
      </c>
      <c r="G59" s="3">
        <f t="shared" si="10"/>
        <v>3.6570841889117043</v>
      </c>
      <c r="H59" s="3">
        <v>1.0090014</v>
      </c>
      <c r="I59" s="80">
        <v>1.008127</v>
      </c>
      <c r="J59" s="81">
        <v>1.0081471</v>
      </c>
      <c r="K59" s="12">
        <v>1.0079902000000001</v>
      </c>
      <c r="L59" s="87">
        <v>1.0082129</v>
      </c>
      <c r="M59" s="87">
        <v>1.0080259</v>
      </c>
      <c r="N59" s="82">
        <v>1.0076852999999999</v>
      </c>
      <c r="O59" s="80">
        <v>1.0085492</v>
      </c>
      <c r="P59" s="3">
        <v>1.0093924000000001</v>
      </c>
      <c r="S59" s="3"/>
      <c r="T59" s="3">
        <v>8</v>
      </c>
      <c r="U59" s="3">
        <v>49</v>
      </c>
      <c r="V59" s="3">
        <v>720</v>
      </c>
      <c r="W59" s="3">
        <f t="shared" si="11"/>
        <v>32058</v>
      </c>
      <c r="X59" s="3">
        <f t="shared" si="20"/>
        <v>1335.75</v>
      </c>
      <c r="Y59" s="3">
        <f t="shared" si="13"/>
        <v>3.6570841889117043</v>
      </c>
      <c r="Z59" s="11">
        <v>0.55155299999999996</v>
      </c>
      <c r="AA59" s="144">
        <v>0.64838399999999996</v>
      </c>
      <c r="AB59" s="83">
        <v>0.648227</v>
      </c>
      <c r="AC59" s="91">
        <v>0.64854900000000004</v>
      </c>
      <c r="AD59" s="91">
        <v>0.64836899999999997</v>
      </c>
      <c r="AE59" s="91">
        <v>0.64840600000000004</v>
      </c>
      <c r="AF59" s="91">
        <v>0.64898</v>
      </c>
      <c r="AG59" s="91">
        <v>0.64753099999999997</v>
      </c>
      <c r="AH59" s="91">
        <v>0.64602700000000002</v>
      </c>
    </row>
    <row r="60" spans="1:71" x14ac:dyDescent="0.25">
      <c r="A60" s="3"/>
      <c r="B60" s="3">
        <v>9</v>
      </c>
      <c r="C60" s="3">
        <v>50</v>
      </c>
      <c r="D60" s="3">
        <v>720</v>
      </c>
      <c r="E60" s="3">
        <f t="shared" si="8"/>
        <v>32778</v>
      </c>
      <c r="F60" s="3">
        <f t="shared" si="9"/>
        <v>1365.75</v>
      </c>
      <c r="G60" s="3">
        <f t="shared" si="10"/>
        <v>3.7392197125256672</v>
      </c>
      <c r="H60" s="3">
        <v>1.0065010000000001</v>
      </c>
      <c r="I60" s="80">
        <v>1.0068051</v>
      </c>
      <c r="J60" s="81">
        <v>1.0068178000000001</v>
      </c>
      <c r="K60" s="12">
        <v>1.0066841</v>
      </c>
      <c r="L60" s="87">
        <v>1.0068461</v>
      </c>
      <c r="M60" s="87">
        <v>1.0067478000000001</v>
      </c>
      <c r="N60" s="82">
        <v>1.0063671000000001</v>
      </c>
      <c r="O60" s="80">
        <v>1.0072650999999999</v>
      </c>
      <c r="P60" s="3">
        <v>1.0081017000000001</v>
      </c>
      <c r="S60" s="3"/>
      <c r="T60" s="3">
        <v>9</v>
      </c>
      <c r="U60" s="3">
        <v>50</v>
      </c>
      <c r="V60" s="3">
        <v>720</v>
      </c>
      <c r="W60" s="3">
        <f t="shared" si="11"/>
        <v>32778</v>
      </c>
      <c r="X60" s="3">
        <f t="shared" si="20"/>
        <v>1365.75</v>
      </c>
      <c r="Y60" s="3">
        <f t="shared" si="13"/>
        <v>3.7392197125256672</v>
      </c>
      <c r="Z60" s="11">
        <v>0.55346099999999998</v>
      </c>
      <c r="AA60" s="144">
        <v>0.64881299999999997</v>
      </c>
      <c r="AB60" s="83">
        <v>0.64865300000000004</v>
      </c>
      <c r="AC60" s="91">
        <v>0.64897700000000003</v>
      </c>
      <c r="AD60" s="91">
        <v>0.64881</v>
      </c>
      <c r="AE60" s="91">
        <v>0.64882499999999999</v>
      </c>
      <c r="AF60" s="91">
        <v>0.64941599999999999</v>
      </c>
      <c r="AG60" s="91">
        <v>0.64793599999999996</v>
      </c>
      <c r="AH60" s="91">
        <v>0.64641300000000002</v>
      </c>
    </row>
    <row r="61" spans="1:71" x14ac:dyDescent="0.25">
      <c r="A61" s="3"/>
      <c r="B61" s="3">
        <v>10</v>
      </c>
      <c r="C61" s="3">
        <v>51</v>
      </c>
      <c r="D61" s="3">
        <v>720</v>
      </c>
      <c r="E61" s="3">
        <f t="shared" si="8"/>
        <v>33498</v>
      </c>
      <c r="F61" s="3">
        <f t="shared" si="9"/>
        <v>1395.75</v>
      </c>
      <c r="G61" s="3">
        <f t="shared" si="10"/>
        <v>3.8213552361396306</v>
      </c>
      <c r="H61" s="3">
        <v>1.0039393000000001</v>
      </c>
      <c r="I61" s="80">
        <v>1.0055107999999999</v>
      </c>
      <c r="J61" s="81">
        <v>1.0055320000000001</v>
      </c>
      <c r="K61" s="12">
        <v>1.0053871000000001</v>
      </c>
      <c r="L61" s="87">
        <v>1.0054544000000001</v>
      </c>
      <c r="M61" s="87">
        <v>1.0054365000000001</v>
      </c>
      <c r="N61" s="82">
        <v>1.0050669999999999</v>
      </c>
      <c r="O61" s="80">
        <v>1.0059761</v>
      </c>
      <c r="P61" s="3">
        <v>1.0068250999999999</v>
      </c>
      <c r="S61" s="3"/>
      <c r="T61" s="3">
        <v>10</v>
      </c>
      <c r="U61" s="3">
        <v>51</v>
      </c>
      <c r="V61" s="3">
        <v>720</v>
      </c>
      <c r="W61" s="3">
        <f t="shared" si="11"/>
        <v>33498</v>
      </c>
      <c r="X61" s="3">
        <f t="shared" si="20"/>
        <v>1395.75</v>
      </c>
      <c r="Y61" s="3">
        <f t="shared" si="13"/>
        <v>3.8213552361396306</v>
      </c>
      <c r="Z61" s="11">
        <v>0.55540800000000001</v>
      </c>
      <c r="AA61" s="144">
        <v>0.64922500000000005</v>
      </c>
      <c r="AB61" s="83">
        <v>0.64905999999999997</v>
      </c>
      <c r="AC61" s="91">
        <v>0.64939100000000005</v>
      </c>
      <c r="AD61" s="91">
        <v>0.64924999999999999</v>
      </c>
      <c r="AE61" s="91">
        <v>0.64923900000000001</v>
      </c>
      <c r="AF61" s="91">
        <v>0.64983599999999997</v>
      </c>
      <c r="AG61" s="91">
        <v>0.64833099999999999</v>
      </c>
      <c r="AH61" s="91">
        <v>0.64678800000000003</v>
      </c>
    </row>
    <row r="62" spans="1:71" x14ac:dyDescent="0.25">
      <c r="A62" s="3"/>
      <c r="B62" s="3">
        <v>11</v>
      </c>
      <c r="C62" s="3">
        <v>52</v>
      </c>
      <c r="D62" s="3">
        <v>720</v>
      </c>
      <c r="E62" s="3">
        <f t="shared" si="8"/>
        <v>34218</v>
      </c>
      <c r="F62" s="3">
        <f t="shared" si="9"/>
        <v>1425.75</v>
      </c>
      <c r="G62" s="3">
        <f t="shared" si="10"/>
        <v>3.9034907597535935</v>
      </c>
      <c r="H62" s="9">
        <v>1.0015129</v>
      </c>
      <c r="I62" s="80">
        <v>1.0042127000000001</v>
      </c>
      <c r="J62" s="81">
        <v>1.0042576000000001</v>
      </c>
      <c r="K62" s="12">
        <v>1.0040876999999999</v>
      </c>
      <c r="L62" s="87">
        <v>1.0041833</v>
      </c>
      <c r="M62" s="87">
        <v>1.0041472</v>
      </c>
      <c r="N62" s="82">
        <v>1.0037657</v>
      </c>
      <c r="O62" s="80">
        <v>1.0046862000000001</v>
      </c>
      <c r="P62" s="3">
        <v>1.0055601999999999</v>
      </c>
      <c r="S62" s="3"/>
      <c r="T62" s="3">
        <v>11</v>
      </c>
      <c r="U62" s="3">
        <v>52</v>
      </c>
      <c r="V62" s="3">
        <v>720</v>
      </c>
      <c r="W62" s="3">
        <f t="shared" si="11"/>
        <v>34218</v>
      </c>
      <c r="X62" s="3">
        <f t="shared" si="20"/>
        <v>1425.75</v>
      </c>
      <c r="Y62" s="3">
        <f t="shared" si="13"/>
        <v>3.9034907597535935</v>
      </c>
      <c r="Z62" s="11">
        <v>0.55720800000000004</v>
      </c>
      <c r="AA62" s="144">
        <v>0.64964900000000003</v>
      </c>
      <c r="AB62" s="83">
        <v>0.64947100000000002</v>
      </c>
      <c r="AC62" s="91">
        <v>0.64981699999999998</v>
      </c>
      <c r="AD62" s="91">
        <v>0.649671</v>
      </c>
      <c r="AE62" s="91">
        <v>0.64965600000000001</v>
      </c>
      <c r="AF62" s="91">
        <v>0.65026399999999995</v>
      </c>
      <c r="AG62" s="91">
        <v>0.64873999999999998</v>
      </c>
      <c r="AH62" s="91">
        <v>0.64716600000000002</v>
      </c>
    </row>
    <row r="63" spans="1:71" x14ac:dyDescent="0.25">
      <c r="A63" s="3"/>
      <c r="B63" s="3">
        <v>12</v>
      </c>
      <c r="C63" s="3">
        <v>53</v>
      </c>
      <c r="D63" s="3">
        <v>846</v>
      </c>
      <c r="E63" s="3">
        <f t="shared" si="8"/>
        <v>35064</v>
      </c>
      <c r="F63" s="3">
        <f t="shared" si="9"/>
        <v>1461</v>
      </c>
      <c r="G63" s="3">
        <f t="shared" si="10"/>
        <v>4</v>
      </c>
      <c r="H63" s="3">
        <v>0.99908710000000001</v>
      </c>
      <c r="I63" s="80">
        <v>1.0029273000000001</v>
      </c>
      <c r="J63" s="81">
        <v>1.0029600999999999</v>
      </c>
      <c r="K63" s="12">
        <v>1.0028245</v>
      </c>
      <c r="L63" s="87">
        <v>1.0028878000000001</v>
      </c>
      <c r="M63" s="87">
        <v>1.0028518</v>
      </c>
      <c r="N63" s="82">
        <v>1.0024678</v>
      </c>
      <c r="O63" s="80">
        <v>1.0033851</v>
      </c>
      <c r="P63" s="3">
        <v>1.0042742</v>
      </c>
      <c r="S63" s="3"/>
      <c r="T63" s="3">
        <v>12</v>
      </c>
      <c r="U63" s="3">
        <v>53</v>
      </c>
      <c r="V63" s="3">
        <v>846</v>
      </c>
      <c r="W63" s="3">
        <f t="shared" si="11"/>
        <v>35064</v>
      </c>
      <c r="X63" s="3">
        <f t="shared" si="20"/>
        <v>1461</v>
      </c>
      <c r="Y63" s="3">
        <f t="shared" si="13"/>
        <v>4</v>
      </c>
      <c r="Z63" s="11">
        <v>0.55902200000000002</v>
      </c>
      <c r="AA63" s="144">
        <v>0.65006699999999995</v>
      </c>
      <c r="AB63" s="83">
        <v>0.64989399999999997</v>
      </c>
      <c r="AC63" s="91">
        <v>0.65022999999999997</v>
      </c>
      <c r="AD63" s="91">
        <v>0.65009099999999997</v>
      </c>
      <c r="AE63" s="91">
        <v>0.65008100000000002</v>
      </c>
      <c r="AF63" s="91">
        <v>0.65069900000000003</v>
      </c>
      <c r="AG63" s="91">
        <v>0.64915400000000001</v>
      </c>
      <c r="AH63" s="91">
        <v>0.64755600000000002</v>
      </c>
    </row>
    <row r="64" spans="1:71" x14ac:dyDescent="0.25">
      <c r="A64" s="3"/>
      <c r="B64" s="3">
        <v>13</v>
      </c>
      <c r="C64" s="3">
        <v>54</v>
      </c>
      <c r="D64" s="3">
        <v>720</v>
      </c>
      <c r="E64" s="3">
        <f t="shared" si="8"/>
        <v>35784</v>
      </c>
      <c r="F64" s="3">
        <f t="shared" si="9"/>
        <v>1491</v>
      </c>
      <c r="G64" s="3">
        <f t="shared" si="10"/>
        <v>4.0821355236139629</v>
      </c>
      <c r="H64" s="3">
        <v>0.99624159999999995</v>
      </c>
      <c r="I64" s="80">
        <v>1.0014189</v>
      </c>
      <c r="J64" s="81">
        <v>1.0014293000000001</v>
      </c>
      <c r="K64" s="12">
        <v>1.0012802999999999</v>
      </c>
      <c r="L64" s="87">
        <v>1.0014476000000001</v>
      </c>
      <c r="M64" s="87">
        <v>1.0013402</v>
      </c>
      <c r="N64" s="148">
        <v>1.0009454</v>
      </c>
      <c r="O64" s="80">
        <v>1.0018898000000001</v>
      </c>
      <c r="P64" s="3">
        <v>1.0027269999999999</v>
      </c>
      <c r="S64" s="3"/>
      <c r="T64" s="3">
        <v>13</v>
      </c>
      <c r="U64" s="3">
        <v>54</v>
      </c>
      <c r="V64" s="3">
        <v>720</v>
      </c>
      <c r="W64" s="3">
        <f t="shared" si="11"/>
        <v>35784</v>
      </c>
      <c r="X64" s="3">
        <f t="shared" si="20"/>
        <v>1491</v>
      </c>
      <c r="Y64" s="3">
        <f t="shared" si="13"/>
        <v>4.0821355236139629</v>
      </c>
      <c r="Z64" s="11">
        <v>0.56111</v>
      </c>
      <c r="AA64" s="144">
        <v>0.65056899999999995</v>
      </c>
      <c r="AB64" s="83">
        <v>0.65039599999999997</v>
      </c>
      <c r="AC64" s="91">
        <v>0.65074500000000002</v>
      </c>
      <c r="AD64" s="91">
        <v>0.65057299999999996</v>
      </c>
      <c r="AE64" s="91">
        <v>0.65058300000000002</v>
      </c>
      <c r="AF64" s="91">
        <v>0.65121300000000004</v>
      </c>
      <c r="AG64" s="91">
        <v>0.64963499999999996</v>
      </c>
      <c r="AH64" s="91">
        <v>0.64802700000000002</v>
      </c>
    </row>
    <row r="65" spans="1:34" x14ac:dyDescent="0.25">
      <c r="A65" s="3"/>
      <c r="B65" s="3">
        <v>14</v>
      </c>
      <c r="C65" s="3">
        <v>55</v>
      </c>
      <c r="D65" s="3">
        <v>720</v>
      </c>
      <c r="E65" s="3">
        <f t="shared" si="8"/>
        <v>36504</v>
      </c>
      <c r="F65" s="3">
        <f t="shared" si="9"/>
        <v>1521</v>
      </c>
      <c r="G65" s="3">
        <f t="shared" si="10"/>
        <v>4.1642710472279258</v>
      </c>
      <c r="H65" s="3">
        <v>0.9936526</v>
      </c>
      <c r="I65" s="142">
        <v>1.0002622999999999</v>
      </c>
      <c r="J65" s="146">
        <v>1.0001842999999999</v>
      </c>
      <c r="K65" s="9">
        <v>1.0000180000000001</v>
      </c>
      <c r="L65" s="147">
        <v>1.0000948000000001</v>
      </c>
      <c r="M65" s="147">
        <v>1.0001462999999999</v>
      </c>
      <c r="N65" s="80">
        <v>0.99966480000000002</v>
      </c>
      <c r="O65" s="142">
        <v>1.0006193999999999</v>
      </c>
      <c r="P65" s="3">
        <v>1.0014927</v>
      </c>
      <c r="S65" s="3"/>
      <c r="T65" s="3">
        <v>14</v>
      </c>
      <c r="U65" s="3">
        <v>55</v>
      </c>
      <c r="V65" s="3">
        <v>720</v>
      </c>
      <c r="W65" s="3">
        <f t="shared" si="11"/>
        <v>36504</v>
      </c>
      <c r="X65" s="3">
        <f t="shared" si="20"/>
        <v>1521</v>
      </c>
      <c r="Y65" s="3">
        <f t="shared" si="13"/>
        <v>4.1642710472279258</v>
      </c>
      <c r="Z65" s="11">
        <v>0.56318699999999999</v>
      </c>
      <c r="AA65" s="144">
        <v>0.65094399999999997</v>
      </c>
      <c r="AB65" s="83">
        <v>0.65079600000000004</v>
      </c>
      <c r="AC65" s="91">
        <v>0.65115599999999996</v>
      </c>
      <c r="AD65" s="91">
        <v>0.65100599999999997</v>
      </c>
      <c r="AE65" s="91">
        <v>0.65097000000000005</v>
      </c>
      <c r="AF65" s="91">
        <v>0.65163300000000002</v>
      </c>
      <c r="AG65" s="91">
        <v>0.65003500000000003</v>
      </c>
      <c r="AH65" s="91">
        <v>0.64840200000000003</v>
      </c>
    </row>
    <row r="66" spans="1:34" x14ac:dyDescent="0.25">
      <c r="A66" s="3"/>
      <c r="B66" s="3">
        <v>15</v>
      </c>
      <c r="C66" s="3">
        <v>56</v>
      </c>
      <c r="D66" s="3">
        <v>720</v>
      </c>
      <c r="E66" s="3">
        <f t="shared" si="8"/>
        <v>37224</v>
      </c>
      <c r="F66" s="3">
        <f t="shared" si="9"/>
        <v>1551</v>
      </c>
      <c r="G66" s="3">
        <f t="shared" si="10"/>
        <v>4.2464065708418888</v>
      </c>
      <c r="H66" s="3">
        <v>0.99117449999999996</v>
      </c>
      <c r="I66" s="80">
        <v>0.99881200000000003</v>
      </c>
      <c r="J66" s="12">
        <v>0.99890239999999997</v>
      </c>
      <c r="K66" s="87">
        <v>0.99875159999999996</v>
      </c>
      <c r="L66" s="87">
        <v>0.99885800000000002</v>
      </c>
      <c r="M66" s="82">
        <v>0.99877950000000004</v>
      </c>
      <c r="N66" s="80">
        <v>0.99840309999999999</v>
      </c>
      <c r="O66" s="80">
        <v>0.99937419999999999</v>
      </c>
      <c r="P66" s="9">
        <v>1.0002481999999999</v>
      </c>
      <c r="S66" s="3"/>
      <c r="T66" s="3">
        <v>15</v>
      </c>
      <c r="U66" s="3">
        <v>56</v>
      </c>
      <c r="V66" s="3">
        <v>720</v>
      </c>
      <c r="W66" s="3">
        <f t="shared" si="11"/>
        <v>37224</v>
      </c>
      <c r="X66" s="3">
        <f t="shared" si="20"/>
        <v>1551</v>
      </c>
      <c r="Y66" s="3">
        <f t="shared" si="13"/>
        <v>4.2464065708418888</v>
      </c>
      <c r="Z66" s="11">
        <v>0.56511199999999995</v>
      </c>
      <c r="AA66" s="144">
        <v>0.65140799999999999</v>
      </c>
      <c r="AB66" s="83">
        <v>0.65120500000000003</v>
      </c>
      <c r="AC66" s="91">
        <v>0.65157399999999999</v>
      </c>
      <c r="AD66" s="91">
        <v>0.65141899999999997</v>
      </c>
      <c r="AE66" s="91">
        <v>0.65139999999999998</v>
      </c>
      <c r="AF66" s="91">
        <v>0.65204799999999996</v>
      </c>
      <c r="AG66" s="91">
        <v>0.65042699999999998</v>
      </c>
      <c r="AH66" s="91">
        <v>0.64877799999999997</v>
      </c>
    </row>
    <row r="67" spans="1:34" x14ac:dyDescent="0.25">
      <c r="A67" s="3"/>
      <c r="B67" s="3">
        <v>16</v>
      </c>
      <c r="C67" s="3">
        <v>57</v>
      </c>
      <c r="D67" s="3">
        <v>720</v>
      </c>
      <c r="E67" s="3">
        <f t="shared" si="8"/>
        <v>37944</v>
      </c>
      <c r="F67" s="3">
        <f t="shared" si="9"/>
        <v>1581</v>
      </c>
      <c r="G67" s="3">
        <f t="shared" si="10"/>
        <v>4.3285420944558526</v>
      </c>
      <c r="H67" s="3">
        <v>0.9884406</v>
      </c>
      <c r="I67" s="80">
        <v>0.99764600000000003</v>
      </c>
      <c r="J67" s="12">
        <v>0.99767019999999995</v>
      </c>
      <c r="K67" s="87">
        <v>0.99748829999999999</v>
      </c>
      <c r="L67" s="87">
        <v>0.99758539999999996</v>
      </c>
      <c r="M67" s="82">
        <v>0.99756080000000003</v>
      </c>
      <c r="N67" s="80">
        <v>0.99713350000000001</v>
      </c>
      <c r="O67" s="80">
        <v>0.99811729999999999</v>
      </c>
      <c r="P67" s="3">
        <v>0.99901620000000002</v>
      </c>
      <c r="S67" s="3"/>
      <c r="T67" s="3">
        <v>16</v>
      </c>
      <c r="U67" s="3">
        <v>57</v>
      </c>
      <c r="V67" s="3">
        <v>720</v>
      </c>
      <c r="W67" s="3">
        <f t="shared" si="11"/>
        <v>37944</v>
      </c>
      <c r="X67" s="3">
        <f t="shared" si="20"/>
        <v>1581</v>
      </c>
      <c r="Y67" s="3">
        <f t="shared" si="13"/>
        <v>4.3285420944558526</v>
      </c>
      <c r="Z67" s="11">
        <v>0.56748900000000002</v>
      </c>
      <c r="AA67" s="144">
        <v>0.65181699999999998</v>
      </c>
      <c r="AB67" s="83">
        <v>0.65162600000000004</v>
      </c>
      <c r="AC67" s="91">
        <v>0.65200400000000003</v>
      </c>
      <c r="AD67" s="91">
        <v>0.65184900000000001</v>
      </c>
      <c r="AE67" s="91">
        <v>0.65182600000000002</v>
      </c>
      <c r="AF67" s="91">
        <v>0.65248899999999999</v>
      </c>
      <c r="AG67" s="91">
        <v>0.65084500000000001</v>
      </c>
      <c r="AH67" s="91">
        <v>0.64916399999999996</v>
      </c>
    </row>
    <row r="68" spans="1:34" x14ac:dyDescent="0.25">
      <c r="A68" s="3"/>
      <c r="B68" s="3">
        <v>17</v>
      </c>
      <c r="C68" s="3">
        <v>58</v>
      </c>
      <c r="D68" s="3">
        <v>720</v>
      </c>
      <c r="E68" s="3">
        <f t="shared" si="8"/>
        <v>38664</v>
      </c>
      <c r="F68" s="3">
        <f t="shared" si="9"/>
        <v>1611</v>
      </c>
      <c r="G68" s="3">
        <f t="shared" si="10"/>
        <v>4.4106776180698155</v>
      </c>
      <c r="H68" s="3">
        <v>0.98535010000000001</v>
      </c>
      <c r="I68" s="80">
        <v>0.99633769999999999</v>
      </c>
      <c r="J68" s="12">
        <v>0.99638199999999999</v>
      </c>
      <c r="K68" s="87">
        <v>0.99621020000000005</v>
      </c>
      <c r="L68" s="87">
        <v>0.99631809999999998</v>
      </c>
      <c r="M68" s="82">
        <v>0.99625920000000001</v>
      </c>
      <c r="N68" s="80">
        <v>0.99584379999999995</v>
      </c>
      <c r="O68" s="80">
        <v>0.99685290000000004</v>
      </c>
      <c r="P68" s="3">
        <v>0.99777210000000005</v>
      </c>
      <c r="S68" s="3"/>
      <c r="T68" s="3">
        <v>17</v>
      </c>
      <c r="U68" s="3">
        <v>58</v>
      </c>
      <c r="V68" s="3">
        <v>720</v>
      </c>
      <c r="W68" s="3">
        <f t="shared" si="11"/>
        <v>38664</v>
      </c>
      <c r="X68" s="3">
        <f t="shared" si="20"/>
        <v>1611</v>
      </c>
      <c r="Y68" s="3">
        <f t="shared" si="13"/>
        <v>4.4106776180698155</v>
      </c>
      <c r="Z68" s="11">
        <v>0.57041500000000001</v>
      </c>
      <c r="AA68" s="144">
        <v>0.65226300000000004</v>
      </c>
      <c r="AB68" s="83">
        <v>0.65207000000000004</v>
      </c>
      <c r="AC68" s="91">
        <v>0.65244899999999995</v>
      </c>
      <c r="AD68" s="91">
        <v>0.65228699999999995</v>
      </c>
      <c r="AE68" s="91">
        <v>0.65227599999999997</v>
      </c>
      <c r="AF68" s="91">
        <v>0.65294700000000006</v>
      </c>
      <c r="AG68" s="91">
        <v>0.65126899999999999</v>
      </c>
      <c r="AH68" s="91">
        <v>0.64955700000000005</v>
      </c>
    </row>
    <row r="69" spans="1:34" x14ac:dyDescent="0.25">
      <c r="A69" s="3"/>
      <c r="B69" s="3">
        <v>18</v>
      </c>
      <c r="C69" s="3">
        <v>59</v>
      </c>
      <c r="D69" s="3">
        <v>720</v>
      </c>
      <c r="E69" s="3">
        <f t="shared" si="8"/>
        <v>39384</v>
      </c>
      <c r="F69" s="3">
        <f t="shared" si="9"/>
        <v>1641</v>
      </c>
      <c r="G69" s="3">
        <f t="shared" si="10"/>
        <v>4.4928131416837784</v>
      </c>
      <c r="H69" s="3">
        <v>0.98233159999999997</v>
      </c>
      <c r="I69" s="80">
        <v>0.99509420000000004</v>
      </c>
      <c r="J69" s="12">
        <v>0.99510639999999995</v>
      </c>
      <c r="K69" s="87">
        <v>0.99494950000000004</v>
      </c>
      <c r="L69" s="87">
        <v>0.99505759999999999</v>
      </c>
      <c r="M69" s="82">
        <v>0.99502210000000002</v>
      </c>
      <c r="N69" s="80">
        <v>0.99457810000000002</v>
      </c>
      <c r="O69" s="80">
        <v>0.99560300000000002</v>
      </c>
      <c r="P69" s="3">
        <v>0.99659980000000004</v>
      </c>
      <c r="S69" s="3"/>
      <c r="T69" s="3">
        <v>18</v>
      </c>
      <c r="U69" s="3">
        <v>59</v>
      </c>
      <c r="V69" s="3">
        <v>720</v>
      </c>
      <c r="W69" s="3">
        <f t="shared" si="11"/>
        <v>39384</v>
      </c>
      <c r="X69" s="3">
        <f t="shared" si="20"/>
        <v>1641</v>
      </c>
      <c r="Y69" s="3">
        <f t="shared" si="13"/>
        <v>4.4928131416837784</v>
      </c>
      <c r="Z69" s="11">
        <v>0.573237</v>
      </c>
      <c r="AA69" s="144">
        <v>0.65268300000000001</v>
      </c>
      <c r="AB69" s="83">
        <v>0.65249800000000002</v>
      </c>
      <c r="AC69" s="91">
        <v>0.65287499999999998</v>
      </c>
      <c r="AD69" s="91">
        <v>0.65271100000000004</v>
      </c>
      <c r="AE69" s="91">
        <v>0.65269500000000003</v>
      </c>
      <c r="AF69" s="91">
        <v>0.65338399999999996</v>
      </c>
      <c r="AG69" s="91">
        <v>0.65167900000000001</v>
      </c>
      <c r="AH69" s="91">
        <v>0.64992300000000003</v>
      </c>
    </row>
    <row r="70" spans="1:34" x14ac:dyDescent="0.25">
      <c r="A70" s="3"/>
      <c r="B70" s="3">
        <v>19</v>
      </c>
      <c r="C70" s="3">
        <v>60</v>
      </c>
      <c r="D70" s="3">
        <v>720</v>
      </c>
      <c r="E70" s="3">
        <f t="shared" si="8"/>
        <v>40104</v>
      </c>
      <c r="F70" s="3">
        <f t="shared" si="9"/>
        <v>1671</v>
      </c>
      <c r="G70" s="3">
        <f t="shared" si="10"/>
        <v>4.5749486652977414</v>
      </c>
      <c r="H70" s="3">
        <v>0.97935530000000004</v>
      </c>
      <c r="I70" s="80">
        <v>0.99395199999999995</v>
      </c>
      <c r="J70" s="12">
        <v>0.99387000000000003</v>
      </c>
      <c r="K70" s="87">
        <v>0.99370579999999997</v>
      </c>
      <c r="L70" s="87">
        <v>0.99382000000000004</v>
      </c>
      <c r="M70" s="82">
        <v>0.99375480000000005</v>
      </c>
      <c r="N70" s="80">
        <v>0.99332589999999998</v>
      </c>
      <c r="O70" s="80">
        <v>0.99446029999999996</v>
      </c>
      <c r="P70" s="3">
        <v>0.99535479999999998</v>
      </c>
      <c r="S70" s="3"/>
      <c r="T70" s="3">
        <v>19</v>
      </c>
      <c r="U70" s="3">
        <v>60</v>
      </c>
      <c r="V70" s="3">
        <v>720</v>
      </c>
      <c r="W70" s="3">
        <f t="shared" si="11"/>
        <v>40104</v>
      </c>
      <c r="X70" s="3">
        <f t="shared" si="20"/>
        <v>1671</v>
      </c>
      <c r="Y70" s="3">
        <f t="shared" si="13"/>
        <v>4.5749486652977414</v>
      </c>
      <c r="Z70" s="11">
        <v>0.57601400000000003</v>
      </c>
      <c r="AA70" s="144">
        <v>0.65306699999999995</v>
      </c>
      <c r="AB70" s="83">
        <v>0.65290599999999999</v>
      </c>
      <c r="AC70" s="91">
        <v>0.65329099999999996</v>
      </c>
      <c r="AD70" s="91">
        <v>0.65312300000000001</v>
      </c>
      <c r="AE70" s="91">
        <v>0.65311399999999997</v>
      </c>
      <c r="AF70" s="91">
        <v>0.653806</v>
      </c>
      <c r="AG70" s="91">
        <v>0.65205000000000002</v>
      </c>
      <c r="AH70" s="91">
        <v>0.65030100000000002</v>
      </c>
    </row>
    <row r="71" spans="1:34" x14ac:dyDescent="0.25">
      <c r="A71" s="3"/>
      <c r="B71" s="3">
        <v>20</v>
      </c>
      <c r="C71" s="3">
        <v>61</v>
      </c>
      <c r="D71" s="3">
        <v>720</v>
      </c>
      <c r="E71" s="3">
        <f t="shared" si="8"/>
        <v>40824</v>
      </c>
      <c r="F71" s="3">
        <f t="shared" si="9"/>
        <v>1701</v>
      </c>
      <c r="G71" s="3">
        <f t="shared" si="10"/>
        <v>4.6570841889117043</v>
      </c>
      <c r="H71" s="3">
        <v>0.97600469999999995</v>
      </c>
      <c r="I71" s="80">
        <v>0.99254730000000002</v>
      </c>
      <c r="J71" s="12">
        <v>0.99263699999999999</v>
      </c>
      <c r="K71" s="87">
        <v>0.99244790000000005</v>
      </c>
      <c r="L71" s="87">
        <v>0.99259169999999997</v>
      </c>
      <c r="M71" s="82">
        <v>0.99250830000000001</v>
      </c>
      <c r="N71" s="80">
        <v>0.99206510000000003</v>
      </c>
      <c r="O71" s="80">
        <v>0.99317180000000005</v>
      </c>
      <c r="P71" s="3">
        <v>0.99406269999999997</v>
      </c>
      <c r="S71" s="3"/>
      <c r="T71" s="3">
        <v>20</v>
      </c>
      <c r="U71" s="3">
        <v>61</v>
      </c>
      <c r="V71" s="3">
        <v>720</v>
      </c>
      <c r="W71" s="3">
        <f t="shared" si="11"/>
        <v>40824</v>
      </c>
      <c r="X71" s="3">
        <f t="shared" si="20"/>
        <v>1701</v>
      </c>
      <c r="Y71" s="3">
        <f t="shared" si="13"/>
        <v>4.6570841889117043</v>
      </c>
      <c r="Z71" s="11">
        <v>0.57943999999999996</v>
      </c>
      <c r="AA71" s="144">
        <v>0.65353700000000003</v>
      </c>
      <c r="AB71" s="83">
        <v>0.65331899999999998</v>
      </c>
      <c r="AC71" s="91">
        <v>0.65372300000000005</v>
      </c>
      <c r="AD71" s="91">
        <v>0.65354900000000005</v>
      </c>
      <c r="AE71" s="91">
        <v>0.65353499999999998</v>
      </c>
      <c r="AF71" s="91">
        <v>0.65423799999999999</v>
      </c>
      <c r="AG71" s="91">
        <v>0.65247100000000002</v>
      </c>
      <c r="AH71" s="91">
        <v>0.65071299999999999</v>
      </c>
    </row>
    <row r="72" spans="1:34" x14ac:dyDescent="0.25">
      <c r="A72" s="3"/>
      <c r="B72" s="3">
        <v>21</v>
      </c>
      <c r="C72" s="3">
        <v>62</v>
      </c>
      <c r="D72" s="3">
        <v>720</v>
      </c>
      <c r="E72" s="3">
        <f t="shared" si="8"/>
        <v>41544</v>
      </c>
      <c r="F72" s="3">
        <f t="shared" si="9"/>
        <v>1731</v>
      </c>
      <c r="G72" s="3">
        <f t="shared" si="10"/>
        <v>4.7392197125256672</v>
      </c>
      <c r="H72" s="3">
        <v>0.97261629999999999</v>
      </c>
      <c r="I72" s="80">
        <v>0.99136219999999997</v>
      </c>
      <c r="J72" s="12">
        <v>0.99135949999999995</v>
      </c>
      <c r="K72" s="87">
        <v>0.99120370000000002</v>
      </c>
      <c r="L72" s="87">
        <v>0.99130510000000005</v>
      </c>
      <c r="M72" s="82">
        <v>0.99125719999999995</v>
      </c>
      <c r="N72" s="80">
        <v>0.99081730000000001</v>
      </c>
      <c r="O72" s="80">
        <v>0.99192840000000004</v>
      </c>
      <c r="P72" s="3">
        <v>0.99283829999999995</v>
      </c>
      <c r="S72" s="3"/>
      <c r="T72" s="3">
        <v>21</v>
      </c>
      <c r="U72" s="3">
        <v>62</v>
      </c>
      <c r="V72" s="3">
        <v>720</v>
      </c>
      <c r="W72" s="3">
        <f t="shared" si="11"/>
        <v>41544</v>
      </c>
      <c r="X72" s="3">
        <f t="shared" si="20"/>
        <v>1731</v>
      </c>
      <c r="Y72" s="3">
        <f t="shared" si="13"/>
        <v>4.7392197125256672</v>
      </c>
      <c r="Z72" s="11">
        <v>0.58291999999999999</v>
      </c>
      <c r="AA72" s="144">
        <v>0.65395599999999998</v>
      </c>
      <c r="AB72" s="83">
        <v>0.653756</v>
      </c>
      <c r="AC72" s="91">
        <v>0.65415400000000001</v>
      </c>
      <c r="AD72" s="91">
        <v>0.65398900000000004</v>
      </c>
      <c r="AE72" s="91">
        <v>0.65396399999999999</v>
      </c>
      <c r="AF72" s="91">
        <v>0.654671</v>
      </c>
      <c r="AG72" s="91">
        <v>0.652895</v>
      </c>
      <c r="AH72" s="91">
        <v>0.65112800000000004</v>
      </c>
    </row>
    <row r="73" spans="1:34" x14ac:dyDescent="0.25">
      <c r="A73" s="3"/>
      <c r="B73" s="3">
        <v>22</v>
      </c>
      <c r="C73" s="3">
        <v>63</v>
      </c>
      <c r="D73" s="3">
        <v>720</v>
      </c>
      <c r="E73" s="3">
        <f t="shared" si="8"/>
        <v>42264</v>
      </c>
      <c r="F73" s="3">
        <f t="shared" si="9"/>
        <v>1761</v>
      </c>
      <c r="G73" s="3">
        <f t="shared" si="10"/>
        <v>4.8213552361396301</v>
      </c>
      <c r="H73" s="3">
        <v>0.96926179999999995</v>
      </c>
      <c r="I73" s="80">
        <v>0.99005889999999996</v>
      </c>
      <c r="J73" s="12">
        <v>0.99012940000000005</v>
      </c>
      <c r="K73" s="87">
        <v>0.99007080000000003</v>
      </c>
      <c r="L73" s="87">
        <v>0.99007579999999995</v>
      </c>
      <c r="M73" s="82">
        <v>0.99001410000000001</v>
      </c>
      <c r="N73" s="80">
        <v>0.98957019999999996</v>
      </c>
      <c r="O73" s="80">
        <v>0.99068990000000001</v>
      </c>
      <c r="P73" s="3">
        <v>0.99160820000000005</v>
      </c>
      <c r="S73" s="3"/>
      <c r="T73" s="3">
        <v>22</v>
      </c>
      <c r="U73" s="3">
        <v>63</v>
      </c>
      <c r="V73" s="3">
        <v>720</v>
      </c>
      <c r="W73" s="3">
        <f t="shared" si="11"/>
        <v>42264</v>
      </c>
      <c r="X73" s="3">
        <f t="shared" si="20"/>
        <v>1761</v>
      </c>
      <c r="Y73" s="3">
        <f t="shared" si="13"/>
        <v>4.8213552361396301</v>
      </c>
      <c r="Z73" s="11">
        <v>0.58638599999999996</v>
      </c>
      <c r="AA73" s="144">
        <v>0.65441099999999996</v>
      </c>
      <c r="AB73" s="86">
        <v>0.65419000000000005</v>
      </c>
      <c r="AC73" s="91">
        <v>0.65455700000000006</v>
      </c>
      <c r="AD73" s="91">
        <v>0.65442800000000001</v>
      </c>
      <c r="AE73" s="91">
        <v>0.65440299999999996</v>
      </c>
      <c r="AF73" s="91">
        <v>0.655115</v>
      </c>
      <c r="AG73" s="91">
        <v>0.65332000000000001</v>
      </c>
      <c r="AH73" s="91">
        <v>0.65152900000000002</v>
      </c>
    </row>
    <row r="74" spans="1:34" x14ac:dyDescent="0.25">
      <c r="A74" s="3"/>
      <c r="B74" s="3">
        <v>23</v>
      </c>
      <c r="C74" s="3">
        <v>64</v>
      </c>
      <c r="D74" s="3">
        <v>720</v>
      </c>
      <c r="E74" s="3">
        <f t="shared" si="8"/>
        <v>42984</v>
      </c>
      <c r="F74" s="3">
        <f t="shared" si="9"/>
        <v>1791</v>
      </c>
      <c r="G74" s="3">
        <f t="shared" si="10"/>
        <v>4.9034907597535931</v>
      </c>
      <c r="H74" s="3">
        <v>0.96584119999999996</v>
      </c>
      <c r="I74" s="80">
        <v>0.98900189999999999</v>
      </c>
      <c r="J74" s="12">
        <v>0.98892080000000004</v>
      </c>
      <c r="K74" s="87">
        <v>0.98865210000000003</v>
      </c>
      <c r="L74" s="87">
        <v>0.98884740000000004</v>
      </c>
      <c r="M74" s="82">
        <v>0.98887409999999998</v>
      </c>
      <c r="N74" s="80">
        <v>0.98833459999999995</v>
      </c>
      <c r="O74" s="80">
        <v>0.98946429999999996</v>
      </c>
      <c r="P74" s="3">
        <v>0.99039900000000003</v>
      </c>
      <c r="S74" s="3"/>
      <c r="T74" s="3">
        <v>23</v>
      </c>
      <c r="U74" s="3">
        <v>64</v>
      </c>
      <c r="V74" s="3">
        <v>720</v>
      </c>
      <c r="W74" s="3">
        <f t="shared" si="11"/>
        <v>42984</v>
      </c>
      <c r="X74" s="3">
        <f t="shared" si="20"/>
        <v>1791</v>
      </c>
      <c r="Y74" s="3">
        <f t="shared" si="13"/>
        <v>4.9034907597535931</v>
      </c>
      <c r="Z74" s="11">
        <v>0.58995399999999998</v>
      </c>
      <c r="AA74" s="144">
        <v>0.65478099999999995</v>
      </c>
      <c r="AB74" s="83">
        <v>0.65461100000000005</v>
      </c>
      <c r="AC74" s="91">
        <v>0.65503800000000001</v>
      </c>
      <c r="AD74" s="91">
        <v>0.65485300000000002</v>
      </c>
      <c r="AE74" s="91">
        <v>0.654806</v>
      </c>
      <c r="AF74" s="91">
        <v>0.65555600000000003</v>
      </c>
      <c r="AG74" s="91">
        <v>0.65373700000000001</v>
      </c>
      <c r="AH74" s="91">
        <v>0.65192600000000001</v>
      </c>
    </row>
    <row r="75" spans="1:34" x14ac:dyDescent="0.25">
      <c r="A75" s="3" t="s">
        <v>279</v>
      </c>
      <c r="B75" s="3">
        <v>24</v>
      </c>
      <c r="C75" s="3">
        <v>65</v>
      </c>
      <c r="D75" s="3">
        <v>846</v>
      </c>
      <c r="E75" s="3">
        <f t="shared" si="8"/>
        <v>43830</v>
      </c>
      <c r="F75" s="3">
        <f t="shared" si="9"/>
        <v>1826.25</v>
      </c>
      <c r="G75" s="3">
        <f t="shared" si="10"/>
        <v>5</v>
      </c>
      <c r="H75" s="3">
        <v>0.96243809999999996</v>
      </c>
      <c r="I75" s="80">
        <v>0.98756820000000001</v>
      </c>
      <c r="J75" s="12">
        <v>0.98766770000000004</v>
      </c>
      <c r="K75" s="87">
        <v>0.98754529999999996</v>
      </c>
      <c r="L75" s="87">
        <v>0.98762399999999995</v>
      </c>
      <c r="M75" s="82">
        <v>0.98752329999999999</v>
      </c>
      <c r="N75" s="80">
        <v>0.98709939999999996</v>
      </c>
      <c r="O75" s="80">
        <v>0.98824520000000005</v>
      </c>
      <c r="P75" s="3">
        <v>0.98920079999999999</v>
      </c>
      <c r="S75" s="3" t="s">
        <v>279</v>
      </c>
      <c r="T75" s="3">
        <v>24</v>
      </c>
      <c r="U75" s="3">
        <v>65</v>
      </c>
      <c r="V75" s="3">
        <v>846</v>
      </c>
      <c r="W75" s="3">
        <f t="shared" si="11"/>
        <v>43830</v>
      </c>
      <c r="X75" s="3">
        <f t="shared" si="20"/>
        <v>1826.25</v>
      </c>
      <c r="Y75" s="3">
        <f t="shared" si="13"/>
        <v>5</v>
      </c>
      <c r="Z75" s="11">
        <v>0.59353400000000001</v>
      </c>
      <c r="AA75" s="144">
        <v>0.65527599999999997</v>
      </c>
      <c r="AB75" s="83">
        <v>0.65505100000000005</v>
      </c>
      <c r="AC75" s="91">
        <v>0.65544999999999998</v>
      </c>
      <c r="AD75" s="91">
        <v>0.65528699999999995</v>
      </c>
      <c r="AE75" s="91">
        <v>0.65527299999999999</v>
      </c>
      <c r="AF75" s="91">
        <v>0.65600400000000003</v>
      </c>
      <c r="AG75" s="91">
        <v>0.65415900000000005</v>
      </c>
      <c r="AH75" s="91">
        <v>0.65232100000000004</v>
      </c>
    </row>
  </sheetData>
  <mergeCells count="31">
    <mergeCell ref="X9:X10"/>
    <mergeCell ref="Y9:Y10"/>
    <mergeCell ref="AL9:AT9"/>
    <mergeCell ref="AL10:AL11"/>
    <mergeCell ref="AM10:AM11"/>
    <mergeCell ref="AN10:AT10"/>
    <mergeCell ref="Z9:AH9"/>
    <mergeCell ref="G9:G10"/>
    <mergeCell ref="S9:S10"/>
    <mergeCell ref="U9:U10"/>
    <mergeCell ref="V9:V10"/>
    <mergeCell ref="W9:W10"/>
    <mergeCell ref="H9:P9"/>
    <mergeCell ref="A9:A10"/>
    <mergeCell ref="C9:C10"/>
    <mergeCell ref="D9:D10"/>
    <mergeCell ref="E9:E10"/>
    <mergeCell ref="F9:F10"/>
    <mergeCell ref="AL44:AL47"/>
    <mergeCell ref="AL40:AL43"/>
    <mergeCell ref="BV10:BW10"/>
    <mergeCell ref="AW8:BS8"/>
    <mergeCell ref="AW9:BK9"/>
    <mergeCell ref="BN9:BS9"/>
    <mergeCell ref="AL16:AL19"/>
    <mergeCell ref="AL20:AL23"/>
    <mergeCell ref="AL12:AL15"/>
    <mergeCell ref="AL24:AL27"/>
    <mergeCell ref="AL28:AL31"/>
    <mergeCell ref="AL32:AL35"/>
    <mergeCell ref="AL36:AL39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tabSelected="1" topLeftCell="A41" workbookViewId="0">
      <selection activeCell="X11" sqref="X11:X75"/>
    </sheetView>
  </sheetViews>
  <sheetFormatPr defaultRowHeight="15" x14ac:dyDescent="0.25"/>
  <cols>
    <col min="7" max="7" width="14.28515625" bestFit="1" customWidth="1"/>
    <col min="8" max="9" width="12" bestFit="1" customWidth="1"/>
    <col min="10" max="10" width="15.28515625" bestFit="1" customWidth="1"/>
    <col min="11" max="11" width="12" bestFit="1" customWidth="1"/>
    <col min="21" max="22" width="12" bestFit="1" customWidth="1"/>
    <col min="23" max="23" width="15.28515625" bestFit="1" customWidth="1"/>
    <col min="24" max="24" width="12" bestFit="1" customWidth="1"/>
  </cols>
  <sheetData>
    <row r="1" spans="1:24" x14ac:dyDescent="0.25">
      <c r="G1" s="26" t="s">
        <v>286</v>
      </c>
      <c r="H1" s="187" t="s">
        <v>388</v>
      </c>
      <c r="I1" s="160" t="s">
        <v>210</v>
      </c>
      <c r="J1" s="187" t="s">
        <v>226</v>
      </c>
      <c r="K1" s="187" t="s">
        <v>211</v>
      </c>
      <c r="T1" s="26" t="s">
        <v>286</v>
      </c>
      <c r="U1" s="187" t="s">
        <v>388</v>
      </c>
      <c r="V1" s="160" t="s">
        <v>210</v>
      </c>
      <c r="W1" s="187" t="s">
        <v>226</v>
      </c>
      <c r="X1" s="187" t="s">
        <v>211</v>
      </c>
    </row>
    <row r="2" spans="1:24" x14ac:dyDescent="0.25">
      <c r="G2" s="188" t="s">
        <v>256</v>
      </c>
      <c r="H2" s="187" t="s">
        <v>168</v>
      </c>
      <c r="I2" s="160" t="s">
        <v>168</v>
      </c>
      <c r="J2" s="160" t="s">
        <v>168</v>
      </c>
      <c r="K2" s="187" t="s">
        <v>168</v>
      </c>
      <c r="T2" s="188" t="s">
        <v>256</v>
      </c>
      <c r="U2" s="187" t="s">
        <v>168</v>
      </c>
      <c r="V2" s="160" t="s">
        <v>168</v>
      </c>
      <c r="W2" s="160" t="s">
        <v>168</v>
      </c>
      <c r="X2" s="187" t="s">
        <v>168</v>
      </c>
    </row>
    <row r="3" spans="1:24" x14ac:dyDescent="0.25">
      <c r="G3" s="188" t="s">
        <v>259</v>
      </c>
      <c r="H3" s="12">
        <v>0</v>
      </c>
      <c r="I3" s="12">
        <v>0</v>
      </c>
      <c r="J3" s="12">
        <v>0</v>
      </c>
      <c r="K3" s="12">
        <v>0</v>
      </c>
      <c r="T3" s="188" t="s">
        <v>259</v>
      </c>
      <c r="U3" s="12">
        <v>0</v>
      </c>
      <c r="V3" s="12">
        <v>0</v>
      </c>
      <c r="W3" s="12">
        <v>0</v>
      </c>
      <c r="X3" s="12">
        <v>0</v>
      </c>
    </row>
    <row r="4" spans="1:24" x14ac:dyDescent="0.25">
      <c r="G4" s="189" t="s">
        <v>150</v>
      </c>
      <c r="H4" s="75">
        <v>165</v>
      </c>
      <c r="I4" s="75">
        <v>165</v>
      </c>
      <c r="J4" s="75">
        <v>165</v>
      </c>
      <c r="K4" s="75">
        <v>165</v>
      </c>
      <c r="T4" s="189" t="s">
        <v>150</v>
      </c>
      <c r="U4" s="75">
        <v>165</v>
      </c>
      <c r="V4" s="75">
        <v>165</v>
      </c>
      <c r="W4" s="75">
        <v>165</v>
      </c>
      <c r="X4" s="75">
        <v>165</v>
      </c>
    </row>
    <row r="5" spans="1:24" x14ac:dyDescent="0.25">
      <c r="A5" s="76"/>
      <c r="B5" s="76"/>
      <c r="C5" s="76"/>
      <c r="D5" s="76"/>
      <c r="E5" s="76"/>
      <c r="F5" s="76"/>
      <c r="G5" s="189" t="s">
        <v>260</v>
      </c>
      <c r="H5" s="77">
        <v>200</v>
      </c>
      <c r="I5" s="75">
        <v>200</v>
      </c>
      <c r="J5" s="75">
        <v>200</v>
      </c>
      <c r="K5" s="75">
        <v>200</v>
      </c>
      <c r="N5" s="76"/>
      <c r="O5" s="76"/>
      <c r="P5" s="76"/>
      <c r="Q5" s="76"/>
      <c r="R5" s="76"/>
      <c r="S5" s="76"/>
      <c r="T5" s="189" t="s">
        <v>260</v>
      </c>
      <c r="U5" s="77">
        <v>200</v>
      </c>
      <c r="V5" s="75">
        <v>200</v>
      </c>
      <c r="W5" s="75">
        <v>200</v>
      </c>
      <c r="X5" s="75">
        <v>200</v>
      </c>
    </row>
    <row r="6" spans="1:24" x14ac:dyDescent="0.25">
      <c r="A6" s="76"/>
      <c r="B6" s="76"/>
      <c r="C6" s="76"/>
      <c r="D6" s="76"/>
      <c r="E6" s="76"/>
      <c r="F6" s="76"/>
      <c r="G6" s="189" t="s">
        <v>247</v>
      </c>
      <c r="H6" s="77">
        <f t="shared" ref="H6:K6" si="0">H5/H4</f>
        <v>1.2121212121212122</v>
      </c>
      <c r="I6" s="77">
        <f t="shared" si="0"/>
        <v>1.2121212121212122</v>
      </c>
      <c r="J6" s="77">
        <f t="shared" si="0"/>
        <v>1.2121212121212122</v>
      </c>
      <c r="K6" s="77">
        <f t="shared" si="0"/>
        <v>1.2121212121212122</v>
      </c>
      <c r="N6" s="76"/>
      <c r="O6" s="76"/>
      <c r="P6" s="76"/>
      <c r="Q6" s="76"/>
      <c r="R6" s="76"/>
      <c r="S6" s="76"/>
      <c r="T6" s="189" t="s">
        <v>247</v>
      </c>
      <c r="U6" s="77">
        <f t="shared" ref="U6:X6" si="1">U5/U4</f>
        <v>1.2121212121212122</v>
      </c>
      <c r="V6" s="77">
        <f t="shared" si="1"/>
        <v>1.2121212121212122</v>
      </c>
      <c r="W6" s="77">
        <f t="shared" si="1"/>
        <v>1.2121212121212122</v>
      </c>
      <c r="X6" s="77">
        <f t="shared" si="1"/>
        <v>1.2121212121212122</v>
      </c>
    </row>
    <row r="7" spans="1:24" x14ac:dyDescent="0.25">
      <c r="G7" s="189" t="s">
        <v>245</v>
      </c>
      <c r="H7" s="3">
        <v>23</v>
      </c>
      <c r="I7" s="12">
        <v>23</v>
      </c>
      <c r="J7" s="12">
        <v>23</v>
      </c>
      <c r="K7" s="12">
        <v>23</v>
      </c>
      <c r="T7" s="189" t="s">
        <v>245</v>
      </c>
      <c r="U7" s="3">
        <v>23</v>
      </c>
      <c r="V7" s="12">
        <v>23</v>
      </c>
      <c r="W7" s="12">
        <v>23</v>
      </c>
      <c r="X7" s="12">
        <v>23</v>
      </c>
    </row>
    <row r="8" spans="1:24" x14ac:dyDescent="0.25">
      <c r="A8" s="67"/>
      <c r="B8" s="67"/>
      <c r="C8" s="67"/>
      <c r="D8" s="67"/>
      <c r="E8" s="67"/>
      <c r="F8" s="67"/>
      <c r="G8" s="189" t="s">
        <v>246</v>
      </c>
      <c r="H8" s="3">
        <v>14</v>
      </c>
      <c r="I8" s="12">
        <v>14</v>
      </c>
      <c r="J8" s="12">
        <v>14</v>
      </c>
      <c r="K8" s="12">
        <v>14</v>
      </c>
      <c r="N8" s="67"/>
      <c r="O8" s="67"/>
      <c r="P8" s="67"/>
      <c r="Q8" s="67"/>
      <c r="R8" s="67"/>
      <c r="S8" s="67"/>
      <c r="T8" s="189" t="s">
        <v>246</v>
      </c>
      <c r="U8" s="3">
        <v>14</v>
      </c>
      <c r="V8" s="12">
        <v>14</v>
      </c>
      <c r="W8" s="12">
        <v>14</v>
      </c>
      <c r="X8" s="12">
        <v>14</v>
      </c>
    </row>
    <row r="9" spans="1:24" x14ac:dyDescent="0.25">
      <c r="A9" s="261" t="s">
        <v>262</v>
      </c>
      <c r="B9" s="54"/>
      <c r="C9" s="261" t="s">
        <v>263</v>
      </c>
      <c r="D9" s="237" t="s">
        <v>264</v>
      </c>
      <c r="E9" s="261" t="s">
        <v>265</v>
      </c>
      <c r="F9" s="261" t="s">
        <v>266</v>
      </c>
      <c r="G9" s="202" t="s">
        <v>267</v>
      </c>
      <c r="H9" s="195" t="s">
        <v>268</v>
      </c>
      <c r="I9" s="195"/>
      <c r="J9" s="195"/>
      <c r="K9" s="195"/>
      <c r="N9" s="261" t="s">
        <v>262</v>
      </c>
      <c r="O9" s="54"/>
      <c r="P9" s="261" t="s">
        <v>263</v>
      </c>
      <c r="Q9" s="237" t="s">
        <v>264</v>
      </c>
      <c r="R9" s="261" t="s">
        <v>265</v>
      </c>
      <c r="S9" s="261" t="s">
        <v>266</v>
      </c>
      <c r="T9" s="202" t="s">
        <v>267</v>
      </c>
      <c r="U9" s="195" t="s">
        <v>269</v>
      </c>
      <c r="V9" s="195"/>
      <c r="W9" s="195"/>
      <c r="X9" s="195"/>
    </row>
    <row r="10" spans="1:24" x14ac:dyDescent="0.25">
      <c r="A10" s="202"/>
      <c r="B10" s="189"/>
      <c r="C10" s="202"/>
      <c r="D10" s="194"/>
      <c r="E10" s="202"/>
      <c r="F10" s="202"/>
      <c r="G10" s="202"/>
      <c r="H10" s="189" t="s">
        <v>271</v>
      </c>
      <c r="I10" s="2" t="s">
        <v>422</v>
      </c>
      <c r="J10" s="2" t="s">
        <v>423</v>
      </c>
      <c r="K10" s="2" t="s">
        <v>424</v>
      </c>
      <c r="N10" s="202"/>
      <c r="O10" s="189"/>
      <c r="P10" s="202"/>
      <c r="Q10" s="194"/>
      <c r="R10" s="202"/>
      <c r="S10" s="202"/>
      <c r="T10" s="202"/>
      <c r="U10" s="189" t="s">
        <v>271</v>
      </c>
      <c r="V10" s="2" t="s">
        <v>422</v>
      </c>
      <c r="W10" s="2" t="s">
        <v>423</v>
      </c>
      <c r="X10" s="2" t="s">
        <v>424</v>
      </c>
    </row>
    <row r="11" spans="1:24" x14ac:dyDescent="0.25">
      <c r="A11" s="3" t="s">
        <v>274</v>
      </c>
      <c r="B11" s="3">
        <v>1</v>
      </c>
      <c r="C11" s="3">
        <v>1</v>
      </c>
      <c r="D11" s="3">
        <v>0</v>
      </c>
      <c r="E11" s="3">
        <f>D11</f>
        <v>0</v>
      </c>
      <c r="F11" s="3">
        <f>E11</f>
        <v>0</v>
      </c>
      <c r="G11" s="3">
        <f>F11/365.25</f>
        <v>0</v>
      </c>
      <c r="H11" s="3">
        <v>1.1035820999999999</v>
      </c>
      <c r="I11" s="3">
        <v>1.1035273999999999</v>
      </c>
      <c r="J11" s="3">
        <v>1.1035098999999999</v>
      </c>
      <c r="K11" s="3">
        <v>1.1034269000000001</v>
      </c>
      <c r="N11" s="3" t="s">
        <v>274</v>
      </c>
      <c r="O11" s="3">
        <v>1</v>
      </c>
      <c r="P11" s="3">
        <v>1</v>
      </c>
      <c r="Q11" s="3">
        <v>0</v>
      </c>
      <c r="R11" s="3">
        <f>Q11</f>
        <v>0</v>
      </c>
      <c r="S11" s="3">
        <f>R11</f>
        <v>0</v>
      </c>
      <c r="T11" s="3">
        <f>S11/365.25</f>
        <v>0</v>
      </c>
      <c r="U11" s="11">
        <v>0.45779999999999998</v>
      </c>
      <c r="V11" s="11">
        <v>0.457812</v>
      </c>
      <c r="W11" s="11">
        <v>0.45785100000000001</v>
      </c>
      <c r="X11" s="11">
        <v>0.45798100000000003</v>
      </c>
    </row>
    <row r="12" spans="1:24" x14ac:dyDescent="0.25">
      <c r="A12" s="3"/>
      <c r="B12" s="3">
        <v>2</v>
      </c>
      <c r="C12" s="3">
        <v>2</v>
      </c>
      <c r="D12" s="3">
        <v>24</v>
      </c>
      <c r="E12" s="3">
        <f>E11+D12</f>
        <v>24</v>
      </c>
      <c r="F12" s="3">
        <f>E12/24</f>
        <v>1</v>
      </c>
      <c r="G12" s="3">
        <f>F12/365.25</f>
        <v>2.7378507871321013E-3</v>
      </c>
      <c r="H12" s="3">
        <v>1.0720516</v>
      </c>
      <c r="I12" s="3">
        <v>1.0719931</v>
      </c>
      <c r="J12" s="3">
        <v>1.0719719999999999</v>
      </c>
      <c r="K12" s="3">
        <v>1.0718707000000001</v>
      </c>
      <c r="N12" s="3"/>
      <c r="O12" s="3">
        <v>2</v>
      </c>
      <c r="P12" s="3">
        <v>2</v>
      </c>
      <c r="Q12" s="3">
        <v>24</v>
      </c>
      <c r="R12" s="3">
        <f>R11+Q12</f>
        <v>24</v>
      </c>
      <c r="S12" s="3">
        <f>R12/24</f>
        <v>1</v>
      </c>
      <c r="T12" s="3">
        <f>S12/365.25</f>
        <v>2.7378507871321013E-3</v>
      </c>
      <c r="U12" s="11">
        <v>0.46750000000000003</v>
      </c>
      <c r="V12" s="11">
        <v>0.46751199999999998</v>
      </c>
      <c r="W12" s="11">
        <v>0.467557</v>
      </c>
      <c r="X12" s="11">
        <v>0.46770200000000001</v>
      </c>
    </row>
    <row r="13" spans="1:24" x14ac:dyDescent="0.25">
      <c r="A13" s="3"/>
      <c r="B13" s="3">
        <v>3</v>
      </c>
      <c r="C13" s="3">
        <v>3</v>
      </c>
      <c r="D13" s="3">
        <v>96</v>
      </c>
      <c r="E13" s="3">
        <f t="shared" ref="E13:E75" si="2">E12+D13</f>
        <v>120</v>
      </c>
      <c r="F13" s="3">
        <f t="shared" ref="F13:F75" si="3">E13/24</f>
        <v>5</v>
      </c>
      <c r="G13" s="3">
        <f t="shared" ref="G13:G75" si="4">F13/365.25</f>
        <v>1.3689253935660506E-2</v>
      </c>
      <c r="H13" s="3">
        <v>1.0714644</v>
      </c>
      <c r="I13" s="3">
        <v>1.0714039</v>
      </c>
      <c r="J13" s="3">
        <v>1.0713831</v>
      </c>
      <c r="K13" s="3">
        <v>1.0712793</v>
      </c>
      <c r="N13" s="3"/>
      <c r="O13" s="3">
        <v>3</v>
      </c>
      <c r="P13" s="3">
        <v>3</v>
      </c>
      <c r="Q13" s="3">
        <v>96</v>
      </c>
      <c r="R13" s="3">
        <f t="shared" ref="R13:R75" si="5">R12+Q13</f>
        <v>120</v>
      </c>
      <c r="S13" s="3">
        <f t="shared" ref="S13:S22" si="6">R13/24</f>
        <v>5</v>
      </c>
      <c r="T13" s="3">
        <f t="shared" ref="T13:T75" si="7">S13/365.25</f>
        <v>1.3689253935660506E-2</v>
      </c>
      <c r="U13" s="11">
        <v>0.46768999999999999</v>
      </c>
      <c r="V13" s="11">
        <v>0.46770200000000001</v>
      </c>
      <c r="W13" s="11">
        <v>0.46774700000000002</v>
      </c>
      <c r="X13" s="11">
        <v>0.46789399999999998</v>
      </c>
    </row>
    <row r="14" spans="1:24" x14ac:dyDescent="0.25">
      <c r="A14" s="3"/>
      <c r="B14" s="3">
        <v>4</v>
      </c>
      <c r="C14" s="3">
        <v>4</v>
      </c>
      <c r="D14" s="3">
        <v>120</v>
      </c>
      <c r="E14" s="3">
        <f t="shared" si="2"/>
        <v>240</v>
      </c>
      <c r="F14" s="3">
        <f t="shared" si="3"/>
        <v>10</v>
      </c>
      <c r="G14" s="3">
        <f t="shared" si="4"/>
        <v>2.7378507871321012E-2</v>
      </c>
      <c r="H14" s="3">
        <v>1.0695281999999999</v>
      </c>
      <c r="I14" s="3">
        <v>1.0694655</v>
      </c>
      <c r="J14" s="3">
        <v>1.0694437000000001</v>
      </c>
      <c r="K14" s="3">
        <v>1.0693341000000001</v>
      </c>
      <c r="N14" s="3"/>
      <c r="O14" s="3">
        <v>4</v>
      </c>
      <c r="P14" s="3">
        <v>4</v>
      </c>
      <c r="Q14" s="3">
        <v>120</v>
      </c>
      <c r="R14" s="3">
        <f t="shared" si="5"/>
        <v>240</v>
      </c>
      <c r="S14" s="3">
        <f t="shared" si="6"/>
        <v>10</v>
      </c>
      <c r="T14" s="3">
        <f t="shared" si="7"/>
        <v>2.7378507871321012E-2</v>
      </c>
      <c r="U14" s="11">
        <v>0.46812199999999998</v>
      </c>
      <c r="V14" s="11">
        <v>0.46813399999999999</v>
      </c>
      <c r="W14" s="11">
        <v>0.46817999999999999</v>
      </c>
      <c r="X14" s="11">
        <v>0.468329</v>
      </c>
    </row>
    <row r="15" spans="1:24" x14ac:dyDescent="0.25">
      <c r="A15" s="3"/>
      <c r="B15" s="3">
        <v>5</v>
      </c>
      <c r="C15" s="3">
        <v>5</v>
      </c>
      <c r="D15" s="3">
        <v>240</v>
      </c>
      <c r="E15" s="3">
        <f t="shared" si="2"/>
        <v>480</v>
      </c>
      <c r="F15" s="3">
        <f t="shared" si="3"/>
        <v>20</v>
      </c>
      <c r="G15" s="3">
        <f t="shared" si="4"/>
        <v>5.4757015742642023E-2</v>
      </c>
      <c r="H15" s="3">
        <v>1.0671405</v>
      </c>
      <c r="I15" s="3">
        <v>1.0670767000000001</v>
      </c>
      <c r="J15" s="3">
        <v>1.0670522</v>
      </c>
      <c r="K15" s="3">
        <v>1.0669384</v>
      </c>
      <c r="N15" s="3"/>
      <c r="O15" s="3">
        <v>5</v>
      </c>
      <c r="P15" s="3">
        <v>5</v>
      </c>
      <c r="Q15" s="3">
        <v>240</v>
      </c>
      <c r="R15" s="3">
        <f t="shared" si="5"/>
        <v>480</v>
      </c>
      <c r="S15" s="3">
        <f t="shared" si="6"/>
        <v>20</v>
      </c>
      <c r="T15" s="3">
        <f t="shared" si="7"/>
        <v>5.4757015742642023E-2</v>
      </c>
      <c r="U15" s="11">
        <v>0.46866799999999997</v>
      </c>
      <c r="V15" s="11">
        <v>0.46867999999999999</v>
      </c>
      <c r="W15" s="11">
        <v>0.46872599999999998</v>
      </c>
      <c r="X15" s="11">
        <v>0.46887800000000002</v>
      </c>
    </row>
    <row r="16" spans="1:24" x14ac:dyDescent="0.25">
      <c r="A16" s="3"/>
      <c r="B16" s="3">
        <v>6</v>
      </c>
      <c r="C16" s="3">
        <v>6</v>
      </c>
      <c r="D16" s="3">
        <v>240</v>
      </c>
      <c r="E16" s="3">
        <f t="shared" si="2"/>
        <v>720</v>
      </c>
      <c r="F16" s="3">
        <f t="shared" si="3"/>
        <v>30</v>
      </c>
      <c r="G16" s="3">
        <f t="shared" si="4"/>
        <v>8.2135523613963035E-2</v>
      </c>
      <c r="H16" s="3">
        <v>1.0629377</v>
      </c>
      <c r="I16" s="3">
        <v>1.0628734</v>
      </c>
      <c r="J16" s="3">
        <v>1.062845</v>
      </c>
      <c r="K16" s="3">
        <v>1.0627329000000001</v>
      </c>
      <c r="N16" s="3"/>
      <c r="O16" s="3">
        <v>6</v>
      </c>
      <c r="P16" s="3">
        <v>6</v>
      </c>
      <c r="Q16" s="3">
        <v>240</v>
      </c>
      <c r="R16" s="3">
        <f t="shared" si="5"/>
        <v>720</v>
      </c>
      <c r="S16" s="3">
        <f t="shared" si="6"/>
        <v>30</v>
      </c>
      <c r="T16" s="3">
        <f t="shared" si="7"/>
        <v>8.2135523613963035E-2</v>
      </c>
      <c r="U16" s="11">
        <v>0.46968700000000002</v>
      </c>
      <c r="V16" s="11">
        <v>0.46969899999999998</v>
      </c>
      <c r="W16" s="11">
        <v>0.46974700000000003</v>
      </c>
      <c r="X16" s="11">
        <v>0.46990199999999999</v>
      </c>
    </row>
    <row r="17" spans="1:24" x14ac:dyDescent="0.25">
      <c r="A17" s="3"/>
      <c r="B17" s="3">
        <v>7</v>
      </c>
      <c r="C17" s="3">
        <v>7</v>
      </c>
      <c r="D17" s="3">
        <v>720</v>
      </c>
      <c r="E17" s="3">
        <f t="shared" si="2"/>
        <v>1440</v>
      </c>
      <c r="F17" s="3">
        <f t="shared" si="3"/>
        <v>60</v>
      </c>
      <c r="G17" s="3">
        <f t="shared" si="4"/>
        <v>0.16427104722792607</v>
      </c>
      <c r="H17" s="3">
        <v>1.0602526999999999</v>
      </c>
      <c r="I17" s="3">
        <v>1.0601902000000001</v>
      </c>
      <c r="J17" s="3">
        <v>1.0601624000000001</v>
      </c>
      <c r="K17" s="3">
        <v>1.0600471</v>
      </c>
      <c r="N17" s="3"/>
      <c r="O17" s="3">
        <v>7</v>
      </c>
      <c r="P17" s="3">
        <v>7</v>
      </c>
      <c r="Q17" s="3">
        <v>720</v>
      </c>
      <c r="R17" s="3">
        <f t="shared" si="5"/>
        <v>1440</v>
      </c>
      <c r="S17" s="3">
        <f t="shared" si="6"/>
        <v>60</v>
      </c>
      <c r="T17" s="3">
        <f t="shared" si="7"/>
        <v>0.16427104722792607</v>
      </c>
      <c r="U17" s="11">
        <v>0.47053800000000001</v>
      </c>
      <c r="V17" s="11">
        <v>0.47055000000000002</v>
      </c>
      <c r="W17" s="11">
        <v>0.47059800000000002</v>
      </c>
      <c r="X17" s="11">
        <v>0.47075499999999998</v>
      </c>
    </row>
    <row r="18" spans="1:24" x14ac:dyDescent="0.25">
      <c r="A18" s="3"/>
      <c r="B18" s="3">
        <v>8</v>
      </c>
      <c r="C18" s="3">
        <v>8</v>
      </c>
      <c r="D18" s="3">
        <v>720</v>
      </c>
      <c r="E18" s="3">
        <f t="shared" si="2"/>
        <v>2160</v>
      </c>
      <c r="F18" s="3">
        <f t="shared" si="3"/>
        <v>90</v>
      </c>
      <c r="G18" s="3">
        <f t="shared" si="4"/>
        <v>0.24640657084188911</v>
      </c>
      <c r="H18" s="3">
        <v>1.0544766999999999</v>
      </c>
      <c r="I18" s="3">
        <v>1.0544125</v>
      </c>
      <c r="J18" s="3">
        <v>1.0543908</v>
      </c>
      <c r="K18" s="3">
        <v>1.0542597</v>
      </c>
      <c r="N18" s="3"/>
      <c r="O18" s="3">
        <v>8</v>
      </c>
      <c r="P18" s="3">
        <v>8</v>
      </c>
      <c r="Q18" s="3">
        <v>720</v>
      </c>
      <c r="R18" s="3">
        <f t="shared" si="5"/>
        <v>2160</v>
      </c>
      <c r="S18" s="3">
        <f t="shared" si="6"/>
        <v>90</v>
      </c>
      <c r="T18" s="3">
        <f t="shared" si="7"/>
        <v>0.24640657084188911</v>
      </c>
      <c r="U18" s="11">
        <v>0.47313899999999998</v>
      </c>
      <c r="V18" s="11">
        <v>0.47315200000000002</v>
      </c>
      <c r="W18" s="11">
        <v>0.47320200000000001</v>
      </c>
      <c r="X18" s="11">
        <v>0.47337299999999999</v>
      </c>
    </row>
    <row r="19" spans="1:24" x14ac:dyDescent="0.25">
      <c r="A19" s="3"/>
      <c r="B19" s="3">
        <v>9</v>
      </c>
      <c r="C19" s="3">
        <v>9</v>
      </c>
      <c r="D19" s="3">
        <v>720</v>
      </c>
      <c r="E19" s="3">
        <f t="shared" si="2"/>
        <v>2880</v>
      </c>
      <c r="F19" s="3">
        <f t="shared" si="3"/>
        <v>120</v>
      </c>
      <c r="G19" s="3">
        <f t="shared" si="4"/>
        <v>0.32854209445585214</v>
      </c>
      <c r="H19" s="3">
        <v>1.0504937999999999</v>
      </c>
      <c r="I19" s="3">
        <v>1.0504306999999999</v>
      </c>
      <c r="J19" s="3">
        <v>1.0504055000000001</v>
      </c>
      <c r="K19" s="3">
        <v>1.0502775</v>
      </c>
      <c r="N19" s="3"/>
      <c r="O19" s="3">
        <v>9</v>
      </c>
      <c r="P19" s="3">
        <v>9</v>
      </c>
      <c r="Q19" s="3">
        <v>720</v>
      </c>
      <c r="R19" s="3">
        <f t="shared" si="5"/>
        <v>2880</v>
      </c>
      <c r="S19" s="3">
        <f t="shared" si="6"/>
        <v>120</v>
      </c>
      <c r="T19" s="3">
        <f t="shared" si="7"/>
        <v>0.32854209445585214</v>
      </c>
      <c r="U19" s="11">
        <v>0.476165</v>
      </c>
      <c r="V19" s="11">
        <v>0.47617900000000002</v>
      </c>
      <c r="W19" s="11">
        <v>0.47623199999999999</v>
      </c>
      <c r="X19" s="11">
        <v>0.47641600000000001</v>
      </c>
    </row>
    <row r="20" spans="1:24" x14ac:dyDescent="0.25">
      <c r="A20" s="3"/>
      <c r="B20" s="3">
        <v>10</v>
      </c>
      <c r="C20" s="3">
        <v>10</v>
      </c>
      <c r="D20" s="3">
        <v>720</v>
      </c>
      <c r="E20" s="3">
        <f t="shared" si="2"/>
        <v>3600</v>
      </c>
      <c r="F20" s="3">
        <f t="shared" si="3"/>
        <v>150</v>
      </c>
      <c r="G20" s="3">
        <f t="shared" si="4"/>
        <v>0.41067761806981518</v>
      </c>
      <c r="H20" s="3">
        <v>1.0487412</v>
      </c>
      <c r="I20" s="3">
        <v>1.0486918999999999</v>
      </c>
      <c r="J20" s="3">
        <v>1.0486701</v>
      </c>
      <c r="K20" s="3">
        <v>1.0485583999999999</v>
      </c>
      <c r="N20" s="3"/>
      <c r="O20" s="3">
        <v>10</v>
      </c>
      <c r="P20" s="3">
        <v>10</v>
      </c>
      <c r="Q20" s="3">
        <v>720</v>
      </c>
      <c r="R20" s="3">
        <f t="shared" si="5"/>
        <v>3600</v>
      </c>
      <c r="S20" s="3">
        <f t="shared" si="6"/>
        <v>150</v>
      </c>
      <c r="T20" s="3">
        <f t="shared" si="7"/>
        <v>0.41067761806981518</v>
      </c>
      <c r="U20" s="11">
        <v>0.47926999999999997</v>
      </c>
      <c r="V20" s="11">
        <v>0.47928100000000001</v>
      </c>
      <c r="W20" s="11">
        <v>0.47933599999999998</v>
      </c>
      <c r="X20" s="11">
        <v>0.47952600000000001</v>
      </c>
    </row>
    <row r="21" spans="1:24" x14ac:dyDescent="0.25">
      <c r="A21" s="3"/>
      <c r="B21" s="3">
        <v>11</v>
      </c>
      <c r="C21" s="3">
        <v>11</v>
      </c>
      <c r="D21" s="3">
        <v>720</v>
      </c>
      <c r="E21" s="3">
        <f t="shared" si="2"/>
        <v>4320</v>
      </c>
      <c r="F21" s="3">
        <f t="shared" si="3"/>
        <v>180</v>
      </c>
      <c r="G21" s="3">
        <f t="shared" si="4"/>
        <v>0.49281314168377821</v>
      </c>
      <c r="H21" s="3">
        <v>1.0501573</v>
      </c>
      <c r="I21" s="3">
        <v>1.0501313000000001</v>
      </c>
      <c r="J21" s="3">
        <v>1.0501134000000001</v>
      </c>
      <c r="K21" s="3">
        <v>1.0500328999999999</v>
      </c>
      <c r="N21" s="3"/>
      <c r="O21" s="3">
        <v>11</v>
      </c>
      <c r="P21" s="3">
        <v>11</v>
      </c>
      <c r="Q21" s="3">
        <v>720</v>
      </c>
      <c r="R21" s="3">
        <f t="shared" si="5"/>
        <v>4320</v>
      </c>
      <c r="S21" s="3">
        <f t="shared" si="6"/>
        <v>180</v>
      </c>
      <c r="T21" s="3">
        <f t="shared" si="7"/>
        <v>0.49281314168377821</v>
      </c>
      <c r="U21" s="11">
        <v>0.481964</v>
      </c>
      <c r="V21" s="11">
        <v>0.48196499999999998</v>
      </c>
      <c r="W21" s="11">
        <v>0.48202</v>
      </c>
      <c r="X21" s="11">
        <v>0.48220800000000003</v>
      </c>
    </row>
    <row r="22" spans="1:24" x14ac:dyDescent="0.25">
      <c r="A22" s="3"/>
      <c r="B22" s="3">
        <v>12</v>
      </c>
      <c r="C22" s="3">
        <v>12</v>
      </c>
      <c r="D22" s="3">
        <v>720</v>
      </c>
      <c r="E22" s="3">
        <f t="shared" si="2"/>
        <v>5040</v>
      </c>
      <c r="F22" s="3">
        <f t="shared" si="3"/>
        <v>210</v>
      </c>
      <c r="G22" s="3">
        <f t="shared" si="4"/>
        <v>0.57494866529774125</v>
      </c>
      <c r="H22" s="3">
        <v>1.0563487</v>
      </c>
      <c r="I22" s="3">
        <v>1.0563667000000001</v>
      </c>
      <c r="J22" s="3">
        <v>1.0563712999999999</v>
      </c>
      <c r="K22" s="3">
        <v>1.0564184999999999</v>
      </c>
      <c r="N22" s="3"/>
      <c r="O22" s="3">
        <v>12</v>
      </c>
      <c r="P22" s="3">
        <v>12</v>
      </c>
      <c r="Q22" s="3">
        <v>720</v>
      </c>
      <c r="R22" s="3">
        <f t="shared" si="5"/>
        <v>5040</v>
      </c>
      <c r="S22" s="3">
        <f t="shared" si="6"/>
        <v>210</v>
      </c>
      <c r="T22" s="3">
        <f t="shared" si="7"/>
        <v>0.57494866529774125</v>
      </c>
      <c r="U22" s="11">
        <v>0.48386400000000002</v>
      </c>
      <c r="V22" s="11">
        <v>0.48385699999999998</v>
      </c>
      <c r="W22" s="11">
        <v>0.48390699999999998</v>
      </c>
      <c r="X22" s="11">
        <v>0.48407</v>
      </c>
    </row>
    <row r="23" spans="1:24" x14ac:dyDescent="0.25">
      <c r="A23" s="3"/>
      <c r="B23" s="3">
        <v>13</v>
      </c>
      <c r="C23" s="3">
        <v>13</v>
      </c>
      <c r="D23" s="3">
        <v>720</v>
      </c>
      <c r="E23" s="3">
        <f t="shared" si="2"/>
        <v>5760</v>
      </c>
      <c r="F23" s="3">
        <f>E23/24</f>
        <v>240</v>
      </c>
      <c r="G23" s="3">
        <f t="shared" si="4"/>
        <v>0.65708418891170428</v>
      </c>
      <c r="H23" s="3">
        <v>1.0669028</v>
      </c>
      <c r="I23" s="3">
        <v>1.0669358</v>
      </c>
      <c r="J23" s="3">
        <v>1.0669538999999999</v>
      </c>
      <c r="K23" s="3">
        <v>1.0670790999999999</v>
      </c>
      <c r="N23" s="3"/>
      <c r="O23" s="3">
        <v>13</v>
      </c>
      <c r="P23" s="3">
        <v>13</v>
      </c>
      <c r="Q23" s="3">
        <v>720</v>
      </c>
      <c r="R23" s="3">
        <f t="shared" si="5"/>
        <v>5760</v>
      </c>
      <c r="S23" s="3">
        <f>R23/24</f>
        <v>240</v>
      </c>
      <c r="T23" s="3">
        <f t="shared" si="7"/>
        <v>0.65708418891170428</v>
      </c>
      <c r="U23" s="11">
        <v>0.48480299999999998</v>
      </c>
      <c r="V23" s="11">
        <v>0.484792</v>
      </c>
      <c r="W23" s="11">
        <v>0.48483599999999999</v>
      </c>
      <c r="X23" s="11">
        <v>0.48497800000000002</v>
      </c>
    </row>
    <row r="24" spans="1:24" x14ac:dyDescent="0.25">
      <c r="A24" s="3"/>
      <c r="B24" s="3">
        <v>14</v>
      </c>
      <c r="C24" s="3">
        <v>14</v>
      </c>
      <c r="D24" s="3">
        <v>720</v>
      </c>
      <c r="E24" s="3">
        <f t="shared" si="2"/>
        <v>6480</v>
      </c>
      <c r="F24" s="3">
        <f t="shared" si="3"/>
        <v>270</v>
      </c>
      <c r="G24" s="3">
        <f t="shared" si="4"/>
        <v>0.73921971252566732</v>
      </c>
      <c r="H24" s="3">
        <v>1.0802451</v>
      </c>
      <c r="I24" s="3">
        <v>1.0802692</v>
      </c>
      <c r="J24" s="3">
        <v>1.0802946</v>
      </c>
      <c r="K24" s="3">
        <v>1.0804640000000001</v>
      </c>
      <c r="N24" s="3"/>
      <c r="O24" s="3">
        <v>14</v>
      </c>
      <c r="P24" s="3">
        <v>14</v>
      </c>
      <c r="Q24" s="3">
        <v>720</v>
      </c>
      <c r="R24" s="3">
        <f t="shared" si="5"/>
        <v>6480</v>
      </c>
      <c r="S24" s="3">
        <f t="shared" ref="S24:S75" si="8">R24/24</f>
        <v>270</v>
      </c>
      <c r="T24" s="3">
        <f t="shared" si="7"/>
        <v>0.73921971252566732</v>
      </c>
      <c r="U24" s="11">
        <v>0.48515399999999997</v>
      </c>
      <c r="V24" s="11">
        <v>0.48514800000000002</v>
      </c>
      <c r="W24" s="11">
        <v>0.48518899999999998</v>
      </c>
      <c r="X24" s="11">
        <v>0.485315</v>
      </c>
    </row>
    <row r="25" spans="1:24" x14ac:dyDescent="0.25">
      <c r="A25" s="3"/>
      <c r="B25" s="3">
        <v>15</v>
      </c>
      <c r="C25" s="3">
        <v>15</v>
      </c>
      <c r="D25" s="3">
        <v>720</v>
      </c>
      <c r="E25" s="3">
        <f t="shared" si="2"/>
        <v>7200</v>
      </c>
      <c r="F25" s="3">
        <f t="shared" si="3"/>
        <v>300</v>
      </c>
      <c r="G25" s="3">
        <f t="shared" si="4"/>
        <v>0.82135523613963035</v>
      </c>
      <c r="H25" s="3">
        <v>1.0899519</v>
      </c>
      <c r="I25" s="3">
        <v>1.0901371</v>
      </c>
      <c r="J25" s="3">
        <v>1.0901291</v>
      </c>
      <c r="K25" s="3">
        <v>1.0899835</v>
      </c>
      <c r="N25" s="3"/>
      <c r="O25" s="3">
        <v>15</v>
      </c>
      <c r="P25" s="3">
        <v>15</v>
      </c>
      <c r="Q25" s="3">
        <v>720</v>
      </c>
      <c r="R25" s="3">
        <f t="shared" si="5"/>
        <v>7200</v>
      </c>
      <c r="S25" s="3">
        <f t="shared" si="8"/>
        <v>300</v>
      </c>
      <c r="T25" s="3">
        <f t="shared" si="7"/>
        <v>0.82135523613963035</v>
      </c>
      <c r="U25" s="11">
        <v>0.48647699999999999</v>
      </c>
      <c r="V25" s="11">
        <v>0.48644100000000001</v>
      </c>
      <c r="W25" s="11">
        <v>0.48648000000000002</v>
      </c>
      <c r="X25" s="11">
        <v>0.48670099999999999</v>
      </c>
    </row>
    <row r="26" spans="1:24" x14ac:dyDescent="0.25">
      <c r="A26" s="3"/>
      <c r="B26" s="3">
        <v>16</v>
      </c>
      <c r="C26" s="3">
        <v>16</v>
      </c>
      <c r="D26" s="3">
        <v>720</v>
      </c>
      <c r="E26" s="3">
        <f t="shared" si="2"/>
        <v>7920</v>
      </c>
      <c r="F26" s="3">
        <f t="shared" si="3"/>
        <v>330</v>
      </c>
      <c r="G26" s="3">
        <f t="shared" si="4"/>
        <v>0.90349075975359339</v>
      </c>
      <c r="H26" s="3">
        <v>1.0890678</v>
      </c>
      <c r="I26" s="3">
        <v>1.0890185999999999</v>
      </c>
      <c r="J26" s="3">
        <v>1.0890044000000001</v>
      </c>
      <c r="K26" s="3">
        <v>1.0888977</v>
      </c>
      <c r="N26" s="3"/>
      <c r="O26" s="3">
        <v>16</v>
      </c>
      <c r="P26" s="3">
        <v>16</v>
      </c>
      <c r="Q26" s="3">
        <v>720</v>
      </c>
      <c r="R26" s="3">
        <f t="shared" si="5"/>
        <v>7920</v>
      </c>
      <c r="S26" s="3">
        <f t="shared" si="8"/>
        <v>330</v>
      </c>
      <c r="T26" s="3">
        <f t="shared" si="7"/>
        <v>0.90349075975359339</v>
      </c>
      <c r="U26" s="11">
        <v>0.49041499999999999</v>
      </c>
      <c r="V26" s="11">
        <v>0.49043399999999998</v>
      </c>
      <c r="W26" s="11">
        <v>0.490477</v>
      </c>
      <c r="X26" s="11">
        <v>0.49068099999999998</v>
      </c>
    </row>
    <row r="27" spans="1:24" x14ac:dyDescent="0.25">
      <c r="A27" s="3" t="s">
        <v>276</v>
      </c>
      <c r="B27" s="3">
        <v>17</v>
      </c>
      <c r="C27" s="3">
        <v>17</v>
      </c>
      <c r="D27" s="3">
        <v>846</v>
      </c>
      <c r="E27" s="3">
        <f t="shared" si="2"/>
        <v>8766</v>
      </c>
      <c r="F27" s="3">
        <f t="shared" si="3"/>
        <v>365.25</v>
      </c>
      <c r="G27" s="3">
        <f t="shared" si="4"/>
        <v>1</v>
      </c>
      <c r="H27" s="3">
        <v>1.0850519000000001</v>
      </c>
      <c r="I27" s="3">
        <v>1.0849127999999999</v>
      </c>
      <c r="J27" s="3">
        <v>1.0848546999999999</v>
      </c>
      <c r="K27" s="3">
        <v>1.0846312</v>
      </c>
      <c r="N27" s="3" t="s">
        <v>276</v>
      </c>
      <c r="O27" s="3">
        <v>17</v>
      </c>
      <c r="P27" s="3">
        <v>17</v>
      </c>
      <c r="Q27" s="3">
        <v>846</v>
      </c>
      <c r="R27" s="3">
        <f t="shared" si="5"/>
        <v>8766</v>
      </c>
      <c r="S27" s="3">
        <f t="shared" si="8"/>
        <v>365.25</v>
      </c>
      <c r="T27" s="3">
        <f t="shared" si="7"/>
        <v>1</v>
      </c>
      <c r="U27" s="11">
        <v>0.494755</v>
      </c>
      <c r="V27" s="11">
        <v>0.49481199999999997</v>
      </c>
      <c r="W27" s="11">
        <v>0.49488599999999999</v>
      </c>
      <c r="X27" s="11">
        <v>0.49513000000000001</v>
      </c>
    </row>
    <row r="28" spans="1:24" x14ac:dyDescent="0.25">
      <c r="A28" s="3"/>
      <c r="B28" s="3">
        <v>1</v>
      </c>
      <c r="C28" s="3">
        <v>18</v>
      </c>
      <c r="D28" s="3">
        <v>720</v>
      </c>
      <c r="E28" s="3">
        <f t="shared" si="2"/>
        <v>9486</v>
      </c>
      <c r="F28" s="3">
        <f t="shared" si="3"/>
        <v>395.25</v>
      </c>
      <c r="G28" s="3">
        <f t="shared" si="4"/>
        <v>1.0821355236139631</v>
      </c>
      <c r="H28" s="3">
        <v>1.0851443000000001</v>
      </c>
      <c r="I28" s="3">
        <v>1.0850023</v>
      </c>
      <c r="J28" s="3">
        <v>1.0849458000000001</v>
      </c>
      <c r="K28" s="3">
        <v>1.0847226000000001</v>
      </c>
      <c r="N28" s="3"/>
      <c r="O28" s="3">
        <v>1</v>
      </c>
      <c r="P28" s="3">
        <v>18</v>
      </c>
      <c r="Q28" s="3">
        <v>720</v>
      </c>
      <c r="R28" s="3">
        <f t="shared" si="5"/>
        <v>9486</v>
      </c>
      <c r="S28" s="3">
        <f t="shared" si="8"/>
        <v>395.25</v>
      </c>
      <c r="T28" s="3">
        <f t="shared" si="7"/>
        <v>1.0821355236139631</v>
      </c>
      <c r="U28" s="11">
        <v>0.49478699999999998</v>
      </c>
      <c r="V28" s="11">
        <v>0.494842</v>
      </c>
      <c r="W28" s="11">
        <v>0.49491299999999999</v>
      </c>
      <c r="X28" s="11">
        <v>0.49515700000000001</v>
      </c>
    </row>
    <row r="29" spans="1:24" x14ac:dyDescent="0.25">
      <c r="A29" s="3"/>
      <c r="B29" s="3">
        <v>2</v>
      </c>
      <c r="C29" s="3">
        <v>19</v>
      </c>
      <c r="D29" s="3">
        <v>720</v>
      </c>
      <c r="E29" s="3">
        <f t="shared" si="2"/>
        <v>10206</v>
      </c>
      <c r="F29" s="3">
        <f t="shared" si="3"/>
        <v>425.25</v>
      </c>
      <c r="G29" s="3">
        <f t="shared" si="4"/>
        <v>1.1642710472279261</v>
      </c>
      <c r="H29" s="3">
        <v>1.0796911</v>
      </c>
      <c r="I29" s="3">
        <v>1.0795147</v>
      </c>
      <c r="J29" s="3">
        <v>1.0794507</v>
      </c>
      <c r="K29" s="3">
        <v>1.0791801999999999</v>
      </c>
      <c r="N29" s="3"/>
      <c r="O29" s="3">
        <v>2</v>
      </c>
      <c r="P29" s="3">
        <v>19</v>
      </c>
      <c r="Q29" s="3">
        <v>720</v>
      </c>
      <c r="R29" s="3">
        <f t="shared" si="5"/>
        <v>10206</v>
      </c>
      <c r="S29" s="3">
        <f t="shared" si="8"/>
        <v>425.25</v>
      </c>
      <c r="T29" s="3">
        <f t="shared" si="7"/>
        <v>1.1642710472279261</v>
      </c>
      <c r="U29" s="11">
        <v>0.49871199999999999</v>
      </c>
      <c r="V29" s="11">
        <v>0.498774</v>
      </c>
      <c r="W29" s="11">
        <v>0.49885299999999999</v>
      </c>
      <c r="X29" s="11">
        <v>0.49912699999999999</v>
      </c>
    </row>
    <row r="30" spans="1:24" x14ac:dyDescent="0.25">
      <c r="A30" s="3"/>
      <c r="B30" s="3">
        <v>3</v>
      </c>
      <c r="C30" s="3">
        <v>20</v>
      </c>
      <c r="D30" s="3">
        <v>720</v>
      </c>
      <c r="E30" s="3">
        <f t="shared" si="2"/>
        <v>10926</v>
      </c>
      <c r="F30" s="3">
        <f t="shared" si="3"/>
        <v>455.25</v>
      </c>
      <c r="G30" s="3">
        <f t="shared" si="4"/>
        <v>1.2464065708418892</v>
      </c>
      <c r="H30" s="3">
        <v>1.0745792000000001</v>
      </c>
      <c r="I30" s="3">
        <v>1.0744258</v>
      </c>
      <c r="J30" s="3">
        <v>1.0743524</v>
      </c>
      <c r="K30" s="3">
        <v>1.0740904</v>
      </c>
      <c r="N30" s="3"/>
      <c r="O30" s="3">
        <v>3</v>
      </c>
      <c r="P30" s="3">
        <v>20</v>
      </c>
      <c r="Q30" s="3">
        <v>720</v>
      </c>
      <c r="R30" s="3">
        <f t="shared" si="5"/>
        <v>10926</v>
      </c>
      <c r="S30" s="3">
        <f t="shared" si="8"/>
        <v>455.25</v>
      </c>
      <c r="T30" s="3">
        <f t="shared" si="7"/>
        <v>1.2464065708418892</v>
      </c>
      <c r="U30" s="11">
        <v>0.50217500000000004</v>
      </c>
      <c r="V30" s="11">
        <v>0.50222599999999995</v>
      </c>
      <c r="W30" s="11">
        <v>0.50231199999999998</v>
      </c>
      <c r="X30" s="11">
        <v>0.50258700000000001</v>
      </c>
    </row>
    <row r="31" spans="1:24" x14ac:dyDescent="0.25">
      <c r="A31" s="3"/>
      <c r="B31" s="3">
        <v>4</v>
      </c>
      <c r="C31" s="3">
        <v>21</v>
      </c>
      <c r="D31" s="3">
        <v>720</v>
      </c>
      <c r="E31" s="3">
        <f t="shared" si="2"/>
        <v>11646</v>
      </c>
      <c r="F31" s="3">
        <f t="shared" si="3"/>
        <v>485.25</v>
      </c>
      <c r="G31" s="3">
        <f t="shared" si="4"/>
        <v>1.3285420944558521</v>
      </c>
      <c r="H31" s="3">
        <v>1.0712229</v>
      </c>
      <c r="I31" s="3">
        <v>1.0711101999999999</v>
      </c>
      <c r="J31" s="3">
        <v>1.0710139000000001</v>
      </c>
      <c r="K31" s="3">
        <v>1.0707614000000001</v>
      </c>
      <c r="N31" s="3"/>
      <c r="O31" s="3">
        <v>4</v>
      </c>
      <c r="P31" s="3">
        <v>21</v>
      </c>
      <c r="Q31" s="3">
        <v>720</v>
      </c>
      <c r="R31" s="3">
        <f t="shared" si="5"/>
        <v>11646</v>
      </c>
      <c r="S31" s="3">
        <f t="shared" si="8"/>
        <v>485.25</v>
      </c>
      <c r="T31" s="3">
        <f t="shared" si="7"/>
        <v>1.3285420944558521</v>
      </c>
      <c r="U31" s="11">
        <v>0.50441499999999995</v>
      </c>
      <c r="V31" s="11">
        <v>0.50441899999999995</v>
      </c>
      <c r="W31" s="11">
        <v>0.50452399999999997</v>
      </c>
      <c r="X31" s="11">
        <v>0.50477799999999995</v>
      </c>
    </row>
    <row r="32" spans="1:24" x14ac:dyDescent="0.25">
      <c r="A32" s="3"/>
      <c r="B32" s="3">
        <v>5</v>
      </c>
      <c r="C32" s="3">
        <v>22</v>
      </c>
      <c r="D32" s="3">
        <v>720</v>
      </c>
      <c r="E32" s="3">
        <f t="shared" si="2"/>
        <v>12366</v>
      </c>
      <c r="F32" s="3">
        <f t="shared" si="3"/>
        <v>515.25</v>
      </c>
      <c r="G32" s="3">
        <f t="shared" si="4"/>
        <v>1.4106776180698153</v>
      </c>
      <c r="H32" s="3">
        <v>1.0697478</v>
      </c>
      <c r="I32" s="3">
        <v>1.0696380999999999</v>
      </c>
      <c r="J32" s="3">
        <v>1.0695493</v>
      </c>
      <c r="K32" s="3">
        <v>1.0692155000000001</v>
      </c>
      <c r="N32" s="3"/>
      <c r="O32" s="3">
        <v>5</v>
      </c>
      <c r="P32" s="3">
        <v>22</v>
      </c>
      <c r="Q32" s="3">
        <v>720</v>
      </c>
      <c r="R32" s="3">
        <f t="shared" si="5"/>
        <v>12366</v>
      </c>
      <c r="S32" s="3">
        <f t="shared" si="8"/>
        <v>515.25</v>
      </c>
      <c r="T32" s="3">
        <f t="shared" si="7"/>
        <v>1.4106776180698153</v>
      </c>
      <c r="U32" s="11">
        <v>0.50558099999999995</v>
      </c>
      <c r="V32" s="11">
        <v>0.50559699999999996</v>
      </c>
      <c r="W32" s="11">
        <v>0.50570499999999996</v>
      </c>
      <c r="X32" s="11">
        <v>0.50600999999999996</v>
      </c>
    </row>
    <row r="33" spans="1:24" x14ac:dyDescent="0.25">
      <c r="A33" s="3"/>
      <c r="B33" s="3">
        <v>6</v>
      </c>
      <c r="C33" s="3">
        <v>23</v>
      </c>
      <c r="D33" s="3">
        <v>720</v>
      </c>
      <c r="E33" s="3">
        <f t="shared" si="2"/>
        <v>13086</v>
      </c>
      <c r="F33" s="3">
        <f t="shared" si="3"/>
        <v>545.25</v>
      </c>
      <c r="G33" s="3">
        <f t="shared" si="4"/>
        <v>1.4928131416837782</v>
      </c>
      <c r="H33" s="3">
        <v>1.0698274000000001</v>
      </c>
      <c r="I33" s="3">
        <v>1.0690565999999999</v>
      </c>
      <c r="J33" s="3">
        <v>1.0690097999999999</v>
      </c>
      <c r="K33" s="3">
        <v>1.0686171</v>
      </c>
      <c r="N33" s="3"/>
      <c r="O33" s="3">
        <v>6</v>
      </c>
      <c r="P33" s="3">
        <v>23</v>
      </c>
      <c r="Q33" s="3">
        <v>720</v>
      </c>
      <c r="R33" s="3">
        <f t="shared" si="5"/>
        <v>13086</v>
      </c>
      <c r="S33" s="3">
        <f t="shared" si="8"/>
        <v>545.25</v>
      </c>
      <c r="T33" s="3">
        <f t="shared" si="7"/>
        <v>1.4928131416837782</v>
      </c>
      <c r="U33" s="11">
        <v>0.50606300000000004</v>
      </c>
      <c r="V33" s="11">
        <v>0.50650499999999998</v>
      </c>
      <c r="W33" s="11">
        <v>0.50658899999999996</v>
      </c>
      <c r="X33" s="11">
        <v>0.50702700000000001</v>
      </c>
    </row>
    <row r="34" spans="1:24" x14ac:dyDescent="0.25">
      <c r="A34" s="3"/>
      <c r="B34" s="3">
        <v>7</v>
      </c>
      <c r="C34" s="3">
        <v>24</v>
      </c>
      <c r="D34" s="3">
        <v>720</v>
      </c>
      <c r="E34" s="3">
        <f t="shared" si="2"/>
        <v>13806</v>
      </c>
      <c r="F34" s="3">
        <f t="shared" si="3"/>
        <v>575.25</v>
      </c>
      <c r="G34" s="3">
        <f t="shared" si="4"/>
        <v>1.5749486652977414</v>
      </c>
      <c r="H34" s="12">
        <v>1.0695101</v>
      </c>
      <c r="I34" s="3">
        <v>1.0685579999999999</v>
      </c>
      <c r="J34" s="3">
        <v>1.0684756</v>
      </c>
      <c r="K34" s="3">
        <v>1.0680887999999999</v>
      </c>
      <c r="N34" s="3"/>
      <c r="O34" s="3">
        <v>7</v>
      </c>
      <c r="P34" s="3">
        <v>24</v>
      </c>
      <c r="Q34" s="3">
        <v>720</v>
      </c>
      <c r="R34" s="3">
        <f t="shared" si="5"/>
        <v>13806</v>
      </c>
      <c r="S34" s="3">
        <f t="shared" si="8"/>
        <v>575.25</v>
      </c>
      <c r="T34" s="3">
        <f t="shared" si="7"/>
        <v>1.5749486652977414</v>
      </c>
      <c r="U34" s="91">
        <v>0.50723499999999999</v>
      </c>
      <c r="V34" s="11">
        <v>0.50778400000000001</v>
      </c>
      <c r="W34" s="11">
        <v>0.50787099999999996</v>
      </c>
      <c r="X34" s="11">
        <v>0.50828899999999999</v>
      </c>
    </row>
    <row r="35" spans="1:24" x14ac:dyDescent="0.25">
      <c r="A35" s="3"/>
      <c r="B35" s="3">
        <v>8</v>
      </c>
      <c r="C35" s="3">
        <v>25</v>
      </c>
      <c r="D35" s="3">
        <v>720</v>
      </c>
      <c r="E35" s="3">
        <f t="shared" si="2"/>
        <v>14526</v>
      </c>
      <c r="F35" s="3">
        <f t="shared" si="3"/>
        <v>605.25</v>
      </c>
      <c r="G35" s="3">
        <f t="shared" si="4"/>
        <v>1.6570841889117043</v>
      </c>
      <c r="H35" s="3">
        <v>1.0673044</v>
      </c>
      <c r="I35" s="3">
        <v>1.0673760999999999</v>
      </c>
      <c r="J35" s="3">
        <v>1.0673343</v>
      </c>
      <c r="K35" s="3">
        <v>1.0667702999999999</v>
      </c>
      <c r="N35" s="3"/>
      <c r="O35" s="3">
        <v>8</v>
      </c>
      <c r="P35" s="3">
        <v>25</v>
      </c>
      <c r="Q35" s="3">
        <v>720</v>
      </c>
      <c r="R35" s="3">
        <f t="shared" si="5"/>
        <v>14526</v>
      </c>
      <c r="S35" s="3">
        <f t="shared" si="8"/>
        <v>605.25</v>
      </c>
      <c r="T35" s="3">
        <f t="shared" si="7"/>
        <v>1.6570841889117043</v>
      </c>
      <c r="U35" s="11">
        <v>0.50968100000000005</v>
      </c>
      <c r="V35" s="11">
        <v>0.50954200000000005</v>
      </c>
      <c r="W35" s="11">
        <v>0.50963199999999997</v>
      </c>
      <c r="X35" s="11">
        <v>0.51014000000000004</v>
      </c>
    </row>
    <row r="36" spans="1:24" x14ac:dyDescent="0.25">
      <c r="A36" s="3"/>
      <c r="B36" s="3">
        <v>9</v>
      </c>
      <c r="C36" s="3">
        <v>26</v>
      </c>
      <c r="D36" s="3">
        <v>720</v>
      </c>
      <c r="E36" s="3">
        <f t="shared" si="2"/>
        <v>15246</v>
      </c>
      <c r="F36" s="3">
        <f t="shared" si="3"/>
        <v>635.25</v>
      </c>
      <c r="G36" s="3">
        <f t="shared" si="4"/>
        <v>1.7392197125256674</v>
      </c>
      <c r="H36" s="12">
        <v>1.0648493999999999</v>
      </c>
      <c r="I36" s="3">
        <v>1.0641731999999999</v>
      </c>
      <c r="J36" s="3">
        <v>1.0642312</v>
      </c>
      <c r="K36" s="3">
        <v>1.0636075</v>
      </c>
      <c r="N36" s="3"/>
      <c r="O36" s="3">
        <v>9</v>
      </c>
      <c r="P36" s="3">
        <v>26</v>
      </c>
      <c r="Q36" s="3">
        <v>720</v>
      </c>
      <c r="R36" s="3">
        <f t="shared" si="5"/>
        <v>15246</v>
      </c>
      <c r="S36" s="3">
        <f t="shared" si="8"/>
        <v>635.25</v>
      </c>
      <c r="T36" s="3">
        <f t="shared" si="7"/>
        <v>1.7392197125256674</v>
      </c>
      <c r="U36" s="11">
        <v>0.51217699999999999</v>
      </c>
      <c r="V36" s="11">
        <v>0.51248700000000003</v>
      </c>
      <c r="W36" s="11">
        <v>0.51254299999999997</v>
      </c>
      <c r="X36" s="11">
        <v>0.51307499999999995</v>
      </c>
    </row>
    <row r="37" spans="1:24" x14ac:dyDescent="0.25">
      <c r="A37" s="3"/>
      <c r="B37" s="3">
        <v>10</v>
      </c>
      <c r="C37" s="3">
        <v>27</v>
      </c>
      <c r="D37" s="3">
        <v>720</v>
      </c>
      <c r="E37" s="3">
        <f t="shared" si="2"/>
        <v>15966</v>
      </c>
      <c r="F37" s="3">
        <f t="shared" si="3"/>
        <v>665.25</v>
      </c>
      <c r="G37" s="3">
        <f t="shared" si="4"/>
        <v>1.8213552361396304</v>
      </c>
      <c r="H37" s="3">
        <v>1.0614775000000001</v>
      </c>
      <c r="I37" s="3">
        <v>1.0619004000000001</v>
      </c>
      <c r="J37" s="3">
        <v>1.0616953</v>
      </c>
      <c r="K37" s="3">
        <v>1.061029</v>
      </c>
      <c r="N37" s="3"/>
      <c r="O37" s="3">
        <v>10</v>
      </c>
      <c r="P37" s="3">
        <v>27</v>
      </c>
      <c r="Q37" s="3">
        <v>720</v>
      </c>
      <c r="R37" s="3">
        <f t="shared" si="5"/>
        <v>15966</v>
      </c>
      <c r="S37" s="3">
        <f t="shared" si="8"/>
        <v>665.25</v>
      </c>
      <c r="T37" s="3">
        <f t="shared" si="7"/>
        <v>1.8213552361396304</v>
      </c>
      <c r="U37" s="11">
        <v>0.51513799999999998</v>
      </c>
      <c r="V37" s="11">
        <v>0.51481100000000002</v>
      </c>
      <c r="W37" s="11">
        <v>0.51500100000000004</v>
      </c>
      <c r="X37" s="11">
        <v>0.51560899999999998</v>
      </c>
    </row>
    <row r="38" spans="1:24" x14ac:dyDescent="0.25">
      <c r="A38" s="3"/>
      <c r="B38" s="3">
        <v>11</v>
      </c>
      <c r="C38" s="3">
        <v>28</v>
      </c>
      <c r="D38" s="3">
        <v>720</v>
      </c>
      <c r="E38" s="3">
        <f t="shared" si="2"/>
        <v>16686</v>
      </c>
      <c r="F38" s="3">
        <f t="shared" si="3"/>
        <v>695.25</v>
      </c>
      <c r="G38" s="3">
        <f t="shared" si="4"/>
        <v>1.9034907597535935</v>
      </c>
      <c r="H38" s="3">
        <v>1.0575437999999999</v>
      </c>
      <c r="I38" s="3">
        <v>1.0575258999999999</v>
      </c>
      <c r="J38" s="3">
        <v>1.0573781</v>
      </c>
      <c r="K38" s="3">
        <v>1.0571803</v>
      </c>
      <c r="N38" s="3"/>
      <c r="O38" s="3">
        <v>11</v>
      </c>
      <c r="P38" s="3">
        <v>28</v>
      </c>
      <c r="Q38" s="3">
        <v>720</v>
      </c>
      <c r="R38" s="3">
        <f t="shared" si="5"/>
        <v>16686</v>
      </c>
      <c r="S38" s="3">
        <f t="shared" si="8"/>
        <v>695.25</v>
      </c>
      <c r="T38" s="3">
        <f t="shared" si="7"/>
        <v>1.9034907597535935</v>
      </c>
      <c r="U38" s="11">
        <v>0.51829999999999998</v>
      </c>
      <c r="V38" s="11">
        <v>0.51819499999999996</v>
      </c>
      <c r="W38" s="11">
        <v>0.51835399999999998</v>
      </c>
      <c r="X38" s="11">
        <v>0.51868099999999995</v>
      </c>
    </row>
    <row r="39" spans="1:24" x14ac:dyDescent="0.25">
      <c r="A39" s="3"/>
      <c r="B39" s="3">
        <v>12</v>
      </c>
      <c r="C39" s="3">
        <v>29</v>
      </c>
      <c r="D39" s="3">
        <v>846</v>
      </c>
      <c r="E39" s="3">
        <f t="shared" si="2"/>
        <v>17532</v>
      </c>
      <c r="F39" s="3">
        <f t="shared" si="3"/>
        <v>730.5</v>
      </c>
      <c r="G39" s="3">
        <f t="shared" si="4"/>
        <v>2</v>
      </c>
      <c r="H39" s="3">
        <v>1.0540456</v>
      </c>
      <c r="I39" s="3">
        <v>1.0543157999999999</v>
      </c>
      <c r="J39" s="3">
        <v>1.0542720999999999</v>
      </c>
      <c r="K39" s="3">
        <v>1.0534558000000001</v>
      </c>
      <c r="N39" s="3"/>
      <c r="O39" s="3">
        <v>12</v>
      </c>
      <c r="P39" s="3">
        <v>29</v>
      </c>
      <c r="Q39" s="3">
        <v>846</v>
      </c>
      <c r="R39" s="3">
        <f t="shared" si="5"/>
        <v>17532</v>
      </c>
      <c r="S39" s="3">
        <f t="shared" si="8"/>
        <v>730.5</v>
      </c>
      <c r="T39" s="3">
        <f t="shared" si="7"/>
        <v>2</v>
      </c>
      <c r="U39" s="11">
        <v>0.52097400000000005</v>
      </c>
      <c r="V39" s="11">
        <v>0.52071699999999999</v>
      </c>
      <c r="W39" s="11">
        <v>0.52082399999999995</v>
      </c>
      <c r="X39" s="11">
        <v>0.52152100000000001</v>
      </c>
    </row>
    <row r="40" spans="1:24" x14ac:dyDescent="0.25">
      <c r="A40" s="3"/>
      <c r="B40" s="3">
        <v>13</v>
      </c>
      <c r="C40" s="3">
        <v>30</v>
      </c>
      <c r="D40" s="3">
        <v>720</v>
      </c>
      <c r="E40" s="3">
        <f t="shared" si="2"/>
        <v>18252</v>
      </c>
      <c r="F40" s="3">
        <f t="shared" si="3"/>
        <v>760.5</v>
      </c>
      <c r="G40" s="3">
        <f t="shared" si="4"/>
        <v>2.0821355236139629</v>
      </c>
      <c r="H40" s="3">
        <v>1.0503513</v>
      </c>
      <c r="I40" s="3">
        <v>1.0504462000000001</v>
      </c>
      <c r="J40" s="3">
        <v>1.0503019</v>
      </c>
      <c r="K40" s="3">
        <v>1.0501795</v>
      </c>
      <c r="N40" s="3"/>
      <c r="O40" s="3">
        <v>13</v>
      </c>
      <c r="P40" s="3">
        <v>30</v>
      </c>
      <c r="Q40" s="3">
        <v>720</v>
      </c>
      <c r="R40" s="3">
        <f t="shared" si="5"/>
        <v>18252</v>
      </c>
      <c r="S40" s="3">
        <f t="shared" si="8"/>
        <v>760.5</v>
      </c>
      <c r="T40" s="3">
        <f t="shared" si="7"/>
        <v>2.0821355236139629</v>
      </c>
      <c r="U40" s="11">
        <v>0.52371900000000005</v>
      </c>
      <c r="V40" s="11">
        <v>0.52349400000000001</v>
      </c>
      <c r="W40" s="11">
        <v>0.52366000000000001</v>
      </c>
      <c r="X40" s="11">
        <v>0.52399600000000002</v>
      </c>
    </row>
    <row r="41" spans="1:24" x14ac:dyDescent="0.25">
      <c r="A41" s="3"/>
      <c r="B41" s="3">
        <v>14</v>
      </c>
      <c r="C41" s="3">
        <v>31</v>
      </c>
      <c r="D41" s="3">
        <v>720</v>
      </c>
      <c r="E41" s="3">
        <f t="shared" si="2"/>
        <v>18972</v>
      </c>
      <c r="F41" s="3">
        <f t="shared" si="3"/>
        <v>790.5</v>
      </c>
      <c r="G41" s="3">
        <f t="shared" si="4"/>
        <v>2.1642710472279263</v>
      </c>
      <c r="H41" s="3">
        <v>1.0474490000000001</v>
      </c>
      <c r="I41" s="3">
        <v>1.0476512</v>
      </c>
      <c r="J41" s="3">
        <v>1.0474562999999999</v>
      </c>
      <c r="K41" s="3">
        <v>1.0468099</v>
      </c>
      <c r="N41" s="3"/>
      <c r="O41" s="3">
        <v>14</v>
      </c>
      <c r="P41" s="3">
        <v>31</v>
      </c>
      <c r="Q41" s="3">
        <v>720</v>
      </c>
      <c r="R41" s="3">
        <f t="shared" si="5"/>
        <v>18972</v>
      </c>
      <c r="S41" s="3">
        <f t="shared" si="8"/>
        <v>790.5</v>
      </c>
      <c r="T41" s="3">
        <f t="shared" si="7"/>
        <v>2.1642710472279263</v>
      </c>
      <c r="U41" s="11">
        <v>0.52587200000000001</v>
      </c>
      <c r="V41" s="11">
        <v>0.525613</v>
      </c>
      <c r="W41" s="11">
        <v>0.52581900000000004</v>
      </c>
      <c r="X41" s="11">
        <v>0.52641800000000005</v>
      </c>
    </row>
    <row r="42" spans="1:24" x14ac:dyDescent="0.25">
      <c r="A42" s="3"/>
      <c r="B42" s="3">
        <v>15</v>
      </c>
      <c r="C42" s="3">
        <v>32</v>
      </c>
      <c r="D42" s="3">
        <v>720</v>
      </c>
      <c r="E42" s="3">
        <f t="shared" si="2"/>
        <v>19692</v>
      </c>
      <c r="F42" s="3">
        <f t="shared" si="3"/>
        <v>820.5</v>
      </c>
      <c r="G42" s="3">
        <f t="shared" si="4"/>
        <v>2.2464065708418892</v>
      </c>
      <c r="H42" s="3">
        <v>1.0447061</v>
      </c>
      <c r="I42" s="3">
        <v>1.0448010999999999</v>
      </c>
      <c r="J42" s="3">
        <v>1.0446816999999999</v>
      </c>
      <c r="K42" s="3">
        <v>1.0443720000000001</v>
      </c>
      <c r="N42" s="3"/>
      <c r="O42" s="3">
        <v>15</v>
      </c>
      <c r="P42" s="3">
        <v>32</v>
      </c>
      <c r="Q42" s="3">
        <v>720</v>
      </c>
      <c r="R42" s="3">
        <f t="shared" si="5"/>
        <v>19692</v>
      </c>
      <c r="S42" s="3">
        <f t="shared" si="8"/>
        <v>820.5</v>
      </c>
      <c r="T42" s="3">
        <f t="shared" si="7"/>
        <v>2.2464065708418892</v>
      </c>
      <c r="U42" s="11">
        <v>0.52785099999999996</v>
      </c>
      <c r="V42" s="11">
        <v>0.52762100000000001</v>
      </c>
      <c r="W42" s="11">
        <v>0.52778599999999998</v>
      </c>
      <c r="X42" s="11">
        <v>0.52824899999999997</v>
      </c>
    </row>
    <row r="43" spans="1:24" x14ac:dyDescent="0.25">
      <c r="A43" s="3"/>
      <c r="B43" s="3">
        <v>16</v>
      </c>
      <c r="C43" s="3">
        <v>33</v>
      </c>
      <c r="D43" s="3">
        <v>720</v>
      </c>
      <c r="E43" s="3">
        <f t="shared" si="2"/>
        <v>20412</v>
      </c>
      <c r="F43" s="3">
        <f t="shared" si="3"/>
        <v>850.5</v>
      </c>
      <c r="G43" s="3">
        <f t="shared" si="4"/>
        <v>2.3285420944558521</v>
      </c>
      <c r="H43" s="3">
        <v>1.0425732000000001</v>
      </c>
      <c r="I43" s="3">
        <v>1.0425481999999999</v>
      </c>
      <c r="J43" s="3">
        <v>1.04237</v>
      </c>
      <c r="K43" s="3">
        <v>1.0419601999999999</v>
      </c>
      <c r="N43" s="3"/>
      <c r="O43" s="3">
        <v>16</v>
      </c>
      <c r="P43" s="3">
        <v>33</v>
      </c>
      <c r="Q43" s="3">
        <v>720</v>
      </c>
      <c r="R43" s="3">
        <f t="shared" si="5"/>
        <v>20412</v>
      </c>
      <c r="S43" s="3">
        <f t="shared" si="8"/>
        <v>850.5</v>
      </c>
      <c r="T43" s="3">
        <f t="shared" si="7"/>
        <v>2.3285420944558521</v>
      </c>
      <c r="U43" s="11">
        <v>0.52928600000000003</v>
      </c>
      <c r="V43" s="11">
        <v>0.52913100000000002</v>
      </c>
      <c r="W43" s="11">
        <v>0.52931899999999998</v>
      </c>
      <c r="X43" s="11">
        <v>0.52986699999999998</v>
      </c>
    </row>
    <row r="44" spans="1:24" x14ac:dyDescent="0.25">
      <c r="A44" s="3"/>
      <c r="B44" s="3">
        <v>17</v>
      </c>
      <c r="C44" s="3">
        <v>34</v>
      </c>
      <c r="D44" s="3">
        <v>720</v>
      </c>
      <c r="E44" s="3">
        <f t="shared" si="2"/>
        <v>21132</v>
      </c>
      <c r="F44" s="3">
        <f t="shared" si="3"/>
        <v>880.5</v>
      </c>
      <c r="G44" s="3">
        <f t="shared" si="4"/>
        <v>2.4106776180698151</v>
      </c>
      <c r="H44" s="3">
        <v>1.0401376</v>
      </c>
      <c r="I44" s="3">
        <v>1.0401526999999999</v>
      </c>
      <c r="J44" s="3">
        <v>1.0400412999999999</v>
      </c>
      <c r="K44" s="3">
        <v>1.0395805</v>
      </c>
      <c r="N44" s="3"/>
      <c r="O44" s="3">
        <v>17</v>
      </c>
      <c r="P44" s="3">
        <v>34</v>
      </c>
      <c r="Q44" s="3">
        <v>720</v>
      </c>
      <c r="R44" s="3">
        <f t="shared" si="5"/>
        <v>21132</v>
      </c>
      <c r="S44" s="3">
        <f t="shared" si="8"/>
        <v>880.5</v>
      </c>
      <c r="T44" s="3">
        <f t="shared" si="7"/>
        <v>2.4106776180698151</v>
      </c>
      <c r="U44" s="11">
        <v>0.53100599999999998</v>
      </c>
      <c r="V44" s="11">
        <v>0.53085899999999997</v>
      </c>
      <c r="W44" s="11">
        <v>0.53102700000000003</v>
      </c>
      <c r="X44" s="11">
        <v>0.53157699999999997</v>
      </c>
    </row>
    <row r="45" spans="1:24" x14ac:dyDescent="0.25">
      <c r="A45" s="3"/>
      <c r="B45" s="3">
        <v>18</v>
      </c>
      <c r="C45" s="3">
        <v>35</v>
      </c>
      <c r="D45" s="3">
        <v>720</v>
      </c>
      <c r="E45" s="3">
        <f t="shared" si="2"/>
        <v>21852</v>
      </c>
      <c r="F45" s="3">
        <f t="shared" si="3"/>
        <v>910.5</v>
      </c>
      <c r="G45" s="3">
        <f t="shared" si="4"/>
        <v>2.4928131416837784</v>
      </c>
      <c r="H45" s="3">
        <v>1.0378569</v>
      </c>
      <c r="I45" s="3">
        <v>1.0379214000000001</v>
      </c>
      <c r="J45" s="3">
        <v>1.0378567999999999</v>
      </c>
      <c r="K45" s="3">
        <v>1.0372460999999999</v>
      </c>
      <c r="N45" s="3"/>
      <c r="O45" s="3">
        <v>18</v>
      </c>
      <c r="P45" s="3">
        <v>35</v>
      </c>
      <c r="Q45" s="3">
        <v>720</v>
      </c>
      <c r="R45" s="3">
        <f t="shared" si="5"/>
        <v>21852</v>
      </c>
      <c r="S45" s="3">
        <f t="shared" si="8"/>
        <v>910.5</v>
      </c>
      <c r="T45" s="3">
        <f t="shared" si="7"/>
        <v>2.4928131416837784</v>
      </c>
      <c r="U45" s="11">
        <v>0.53264400000000001</v>
      </c>
      <c r="V45" s="11">
        <v>0.53242900000000004</v>
      </c>
      <c r="W45" s="11">
        <v>0.53256899999999996</v>
      </c>
      <c r="X45" s="11">
        <v>0.53324700000000003</v>
      </c>
    </row>
    <row r="46" spans="1:24" x14ac:dyDescent="0.25">
      <c r="A46" s="3"/>
      <c r="B46" s="3">
        <v>19</v>
      </c>
      <c r="C46" s="3">
        <v>36</v>
      </c>
      <c r="D46" s="3">
        <v>720</v>
      </c>
      <c r="E46" s="3">
        <f t="shared" si="2"/>
        <v>22572</v>
      </c>
      <c r="F46" s="3">
        <f t="shared" si="3"/>
        <v>940.5</v>
      </c>
      <c r="G46" s="3">
        <f t="shared" si="4"/>
        <v>2.5749486652977414</v>
      </c>
      <c r="H46" s="3">
        <v>1.0353406999999999</v>
      </c>
      <c r="I46" s="3">
        <v>1.0354604000000001</v>
      </c>
      <c r="J46" s="3">
        <v>1.0352513999999999</v>
      </c>
      <c r="K46" s="3">
        <v>1.0346818</v>
      </c>
      <c r="N46" s="3"/>
      <c r="O46" s="3">
        <v>19</v>
      </c>
      <c r="P46" s="3">
        <v>36</v>
      </c>
      <c r="Q46" s="3">
        <v>720</v>
      </c>
      <c r="R46" s="3">
        <f t="shared" si="5"/>
        <v>22572</v>
      </c>
      <c r="S46" s="3">
        <f t="shared" si="8"/>
        <v>940.5</v>
      </c>
      <c r="T46" s="3">
        <f t="shared" si="7"/>
        <v>2.5749486652977414</v>
      </c>
      <c r="U46" s="11">
        <v>0.53441000000000005</v>
      </c>
      <c r="V46" s="11">
        <v>0.53415199999999996</v>
      </c>
      <c r="W46" s="11">
        <v>0.53437599999999996</v>
      </c>
      <c r="X46" s="11">
        <v>0.53503999999999996</v>
      </c>
    </row>
    <row r="47" spans="1:24" x14ac:dyDescent="0.25">
      <c r="A47" s="3"/>
      <c r="B47" s="3">
        <v>20</v>
      </c>
      <c r="C47" s="3">
        <v>37</v>
      </c>
      <c r="D47" s="3">
        <v>720</v>
      </c>
      <c r="E47" s="3">
        <f t="shared" si="2"/>
        <v>23292</v>
      </c>
      <c r="F47" s="3">
        <f t="shared" si="3"/>
        <v>970.5</v>
      </c>
      <c r="G47" s="3">
        <f t="shared" si="4"/>
        <v>2.6570841889117043</v>
      </c>
      <c r="H47" s="3">
        <v>1.0330321</v>
      </c>
      <c r="I47" s="3">
        <v>1.0330919000000001</v>
      </c>
      <c r="J47" s="3">
        <v>1.0329294</v>
      </c>
      <c r="K47" s="3">
        <v>1.0323857000000001</v>
      </c>
      <c r="N47" s="3"/>
      <c r="O47" s="3">
        <v>20</v>
      </c>
      <c r="P47" s="3">
        <v>37</v>
      </c>
      <c r="Q47" s="3">
        <v>720</v>
      </c>
      <c r="R47" s="3">
        <f t="shared" si="5"/>
        <v>23292</v>
      </c>
      <c r="S47" s="3">
        <f t="shared" si="8"/>
        <v>970.5</v>
      </c>
      <c r="T47" s="3">
        <f t="shared" si="7"/>
        <v>2.6570841889117043</v>
      </c>
      <c r="U47" s="11">
        <v>0.53593999999999997</v>
      </c>
      <c r="V47" s="11">
        <v>0.53567900000000002</v>
      </c>
      <c r="W47" s="11">
        <v>0.53589200000000003</v>
      </c>
      <c r="X47" s="11">
        <v>0.53655799999999998</v>
      </c>
    </row>
    <row r="48" spans="1:24" x14ac:dyDescent="0.25">
      <c r="A48" s="3"/>
      <c r="B48" s="3">
        <v>21</v>
      </c>
      <c r="C48" s="3">
        <v>38</v>
      </c>
      <c r="D48" s="3">
        <v>720</v>
      </c>
      <c r="E48" s="3">
        <f t="shared" si="2"/>
        <v>24012</v>
      </c>
      <c r="F48" s="3">
        <f t="shared" si="3"/>
        <v>1000.5</v>
      </c>
      <c r="G48" s="3">
        <f t="shared" si="4"/>
        <v>2.7392197125256672</v>
      </c>
      <c r="H48" s="3">
        <v>1.0311634999999999</v>
      </c>
      <c r="I48" s="3">
        <v>1.0311233</v>
      </c>
      <c r="J48" s="3">
        <v>1.0309396</v>
      </c>
      <c r="K48" s="3">
        <v>1.0302627</v>
      </c>
      <c r="N48" s="3"/>
      <c r="O48" s="3">
        <v>21</v>
      </c>
      <c r="P48" s="3">
        <v>38</v>
      </c>
      <c r="Q48" s="3">
        <v>720</v>
      </c>
      <c r="R48" s="3">
        <f t="shared" si="5"/>
        <v>24012</v>
      </c>
      <c r="S48" s="3">
        <f t="shared" si="8"/>
        <v>1000.5</v>
      </c>
      <c r="T48" s="3">
        <f t="shared" si="7"/>
        <v>2.7392197125256672</v>
      </c>
      <c r="U48" s="11">
        <v>0.53699799999999998</v>
      </c>
      <c r="V48" s="11">
        <v>0.53690199999999999</v>
      </c>
      <c r="W48" s="11">
        <v>0.53713100000000003</v>
      </c>
      <c r="X48" s="11">
        <v>0.53789699999999996</v>
      </c>
    </row>
    <row r="49" spans="1:24" x14ac:dyDescent="0.25">
      <c r="A49" s="3"/>
      <c r="B49" s="3">
        <v>22</v>
      </c>
      <c r="C49" s="3">
        <v>39</v>
      </c>
      <c r="D49" s="3">
        <v>720</v>
      </c>
      <c r="E49" s="3">
        <f t="shared" si="2"/>
        <v>24732</v>
      </c>
      <c r="F49" s="3">
        <f t="shared" si="3"/>
        <v>1030.5</v>
      </c>
      <c r="G49" s="3">
        <f t="shared" si="4"/>
        <v>2.8213552361396306</v>
      </c>
      <c r="H49" s="12">
        <v>1.0291526</v>
      </c>
      <c r="I49" s="3">
        <v>1.0290594</v>
      </c>
      <c r="J49" s="3">
        <v>1.0288705</v>
      </c>
      <c r="K49" s="3">
        <v>1.028162</v>
      </c>
      <c r="N49" s="3"/>
      <c r="O49" s="3">
        <v>22</v>
      </c>
      <c r="P49" s="3">
        <v>39</v>
      </c>
      <c r="Q49" s="3">
        <v>720</v>
      </c>
      <c r="R49" s="3">
        <f t="shared" si="5"/>
        <v>24732</v>
      </c>
      <c r="S49" s="3">
        <f t="shared" si="8"/>
        <v>1030.5</v>
      </c>
      <c r="T49" s="3">
        <f t="shared" si="7"/>
        <v>2.8213552361396306</v>
      </c>
      <c r="U49" s="11">
        <v>0.53817300000000001</v>
      </c>
      <c r="V49" s="11">
        <v>0.53810400000000003</v>
      </c>
      <c r="W49" s="11">
        <v>0.53833799999999998</v>
      </c>
      <c r="X49" s="11">
        <v>0.53917199999999998</v>
      </c>
    </row>
    <row r="50" spans="1:24" x14ac:dyDescent="0.25">
      <c r="A50" s="3"/>
      <c r="B50" s="3">
        <v>23</v>
      </c>
      <c r="C50" s="3">
        <v>40</v>
      </c>
      <c r="D50" s="3">
        <v>720</v>
      </c>
      <c r="E50" s="3">
        <f t="shared" si="2"/>
        <v>25452</v>
      </c>
      <c r="F50" s="3">
        <f t="shared" si="3"/>
        <v>1060.5</v>
      </c>
      <c r="G50" s="3">
        <f t="shared" si="4"/>
        <v>2.9034907597535935</v>
      </c>
      <c r="H50" s="3">
        <v>1.0268739</v>
      </c>
      <c r="I50" s="3">
        <v>1.0269647</v>
      </c>
      <c r="J50" s="3">
        <v>1.0268166999999999</v>
      </c>
      <c r="K50" s="3">
        <v>1.0260343999999999</v>
      </c>
      <c r="N50" s="3"/>
      <c r="O50" s="3">
        <v>23</v>
      </c>
      <c r="P50" s="3">
        <v>40</v>
      </c>
      <c r="Q50" s="3">
        <v>720</v>
      </c>
      <c r="R50" s="3">
        <f t="shared" si="5"/>
        <v>25452</v>
      </c>
      <c r="S50" s="3">
        <f t="shared" si="8"/>
        <v>1060.5</v>
      </c>
      <c r="T50" s="3">
        <f t="shared" si="7"/>
        <v>2.9034907597535935</v>
      </c>
      <c r="U50" s="11">
        <v>0.53965399999999997</v>
      </c>
      <c r="V50" s="11">
        <v>0.53937400000000002</v>
      </c>
      <c r="W50" s="11">
        <v>0.53958300000000003</v>
      </c>
      <c r="X50" s="11">
        <v>0.54045699999999997</v>
      </c>
    </row>
    <row r="51" spans="1:24" x14ac:dyDescent="0.25">
      <c r="A51" s="3" t="s">
        <v>278</v>
      </c>
      <c r="B51" s="3">
        <v>24</v>
      </c>
      <c r="C51" s="3">
        <v>41</v>
      </c>
      <c r="D51" s="3">
        <v>846</v>
      </c>
      <c r="E51" s="3">
        <f t="shared" si="2"/>
        <v>26298</v>
      </c>
      <c r="F51" s="3">
        <f t="shared" si="3"/>
        <v>1095.75</v>
      </c>
      <c r="G51" s="3">
        <f t="shared" si="4"/>
        <v>3</v>
      </c>
      <c r="H51" s="3">
        <v>1.0250367</v>
      </c>
      <c r="I51" s="3">
        <v>1.0249112</v>
      </c>
      <c r="J51" s="3">
        <v>1.0247005</v>
      </c>
      <c r="K51" s="3">
        <v>1.0239381999999999</v>
      </c>
      <c r="N51" s="3" t="s">
        <v>278</v>
      </c>
      <c r="O51" s="3">
        <v>24</v>
      </c>
      <c r="P51" s="3">
        <v>41</v>
      </c>
      <c r="Q51" s="3">
        <v>846</v>
      </c>
      <c r="R51" s="3">
        <f t="shared" si="5"/>
        <v>26298</v>
      </c>
      <c r="S51" s="3">
        <f t="shared" si="8"/>
        <v>1095.75</v>
      </c>
      <c r="T51" s="3">
        <f t="shared" si="7"/>
        <v>3</v>
      </c>
      <c r="U51" s="11">
        <v>0.54067100000000001</v>
      </c>
      <c r="V51" s="11">
        <v>0.54065200000000002</v>
      </c>
      <c r="W51" s="11">
        <v>0.54090099999999997</v>
      </c>
      <c r="X51" s="11">
        <v>0.54178499999999996</v>
      </c>
    </row>
    <row r="52" spans="1:24" x14ac:dyDescent="0.25">
      <c r="A52" s="3"/>
      <c r="B52" s="3">
        <v>1</v>
      </c>
      <c r="C52" s="3">
        <v>42</v>
      </c>
      <c r="D52" s="3">
        <v>720</v>
      </c>
      <c r="E52" s="3">
        <f t="shared" si="2"/>
        <v>27018</v>
      </c>
      <c r="F52" s="3">
        <f t="shared" si="3"/>
        <v>1125.75</v>
      </c>
      <c r="G52" s="3">
        <f t="shared" si="4"/>
        <v>3.0821355236139629</v>
      </c>
      <c r="H52" s="3">
        <v>1.0250587</v>
      </c>
      <c r="I52" s="3">
        <v>1.0249379000000001</v>
      </c>
      <c r="J52" s="3">
        <v>1.0247162999999999</v>
      </c>
      <c r="K52" s="3">
        <v>1.0239563</v>
      </c>
      <c r="N52" s="3"/>
      <c r="O52" s="3">
        <v>1</v>
      </c>
      <c r="P52" s="3">
        <v>42</v>
      </c>
      <c r="Q52" s="3">
        <v>720</v>
      </c>
      <c r="R52" s="3">
        <f t="shared" si="5"/>
        <v>27018</v>
      </c>
      <c r="S52" s="3">
        <f t="shared" si="8"/>
        <v>1125.75</v>
      </c>
      <c r="T52" s="3">
        <f t="shared" si="7"/>
        <v>3.0821355236139629</v>
      </c>
      <c r="U52" s="11">
        <v>0.54073499999999997</v>
      </c>
      <c r="V52" s="11">
        <v>0.54069699999999998</v>
      </c>
      <c r="W52" s="11">
        <v>0.54095800000000005</v>
      </c>
      <c r="X52" s="11">
        <v>0.54183899999999996</v>
      </c>
    </row>
    <row r="53" spans="1:24" x14ac:dyDescent="0.25">
      <c r="A53" s="3"/>
      <c r="B53" s="3">
        <v>2</v>
      </c>
      <c r="C53" s="3">
        <v>43</v>
      </c>
      <c r="D53" s="3">
        <v>720</v>
      </c>
      <c r="E53" s="3">
        <f t="shared" si="2"/>
        <v>27738</v>
      </c>
      <c r="F53" s="3">
        <f t="shared" si="3"/>
        <v>1155.75</v>
      </c>
      <c r="G53" s="3">
        <f t="shared" si="4"/>
        <v>3.1642710472279263</v>
      </c>
      <c r="H53" s="3">
        <v>1.0225519000000001</v>
      </c>
      <c r="I53" s="3">
        <v>1.0226219000000001</v>
      </c>
      <c r="J53" s="3">
        <v>1.0224247</v>
      </c>
      <c r="K53" s="3">
        <v>1.0216835</v>
      </c>
      <c r="N53" s="3"/>
      <c r="O53" s="3">
        <v>2</v>
      </c>
      <c r="P53" s="3">
        <v>43</v>
      </c>
      <c r="Q53" s="3">
        <v>720</v>
      </c>
      <c r="R53" s="3">
        <f t="shared" si="5"/>
        <v>27738</v>
      </c>
      <c r="S53" s="3">
        <f t="shared" si="8"/>
        <v>1155.75</v>
      </c>
      <c r="T53" s="3">
        <f t="shared" si="7"/>
        <v>3.1642710472279263</v>
      </c>
      <c r="U53" s="91">
        <v>0.54238299999999995</v>
      </c>
      <c r="V53" s="11">
        <v>0.54208699999999999</v>
      </c>
      <c r="W53" s="11">
        <v>0.54234899999999997</v>
      </c>
      <c r="X53" s="11">
        <v>0.54318100000000002</v>
      </c>
    </row>
    <row r="54" spans="1:24" x14ac:dyDescent="0.25">
      <c r="A54" s="3"/>
      <c r="B54" s="3">
        <v>3</v>
      </c>
      <c r="C54" s="3">
        <v>44</v>
      </c>
      <c r="D54" s="3">
        <v>720</v>
      </c>
      <c r="E54" s="3">
        <f t="shared" si="2"/>
        <v>28458</v>
      </c>
      <c r="F54" s="3">
        <f t="shared" si="3"/>
        <v>1185.75</v>
      </c>
      <c r="G54" s="3">
        <f t="shared" si="4"/>
        <v>3.2464065708418892</v>
      </c>
      <c r="H54" s="3">
        <v>1.020472</v>
      </c>
      <c r="I54" s="3">
        <v>1.0202343</v>
      </c>
      <c r="J54" s="3">
        <v>1.0200400000000001</v>
      </c>
      <c r="K54" s="3">
        <v>1.0192699000000001</v>
      </c>
      <c r="N54" s="3"/>
      <c r="O54" s="3">
        <v>3</v>
      </c>
      <c r="P54" s="3">
        <v>44</v>
      </c>
      <c r="Q54" s="3">
        <v>720</v>
      </c>
      <c r="R54" s="3">
        <f t="shared" si="5"/>
        <v>28458</v>
      </c>
      <c r="S54" s="3">
        <f t="shared" si="8"/>
        <v>1185.75</v>
      </c>
      <c r="T54" s="3">
        <f t="shared" si="7"/>
        <v>3.2464065708418892</v>
      </c>
      <c r="U54" s="11">
        <v>0.54359900000000005</v>
      </c>
      <c r="V54" s="11">
        <v>0.54374599999999995</v>
      </c>
      <c r="W54" s="11">
        <v>0.54398899999999994</v>
      </c>
      <c r="X54" s="11">
        <v>0.54486500000000004</v>
      </c>
    </row>
    <row r="55" spans="1:24" x14ac:dyDescent="0.25">
      <c r="A55" s="3"/>
      <c r="B55" s="3">
        <v>4</v>
      </c>
      <c r="C55" s="3">
        <v>45</v>
      </c>
      <c r="D55" s="3">
        <v>720</v>
      </c>
      <c r="E55" s="3">
        <f t="shared" si="2"/>
        <v>29178</v>
      </c>
      <c r="F55" s="3">
        <f t="shared" si="3"/>
        <v>1215.75</v>
      </c>
      <c r="G55" s="3">
        <f t="shared" si="4"/>
        <v>3.3285420944558521</v>
      </c>
      <c r="H55" s="3">
        <v>1.0181636000000001</v>
      </c>
      <c r="I55" s="3">
        <v>1.0182526000000001</v>
      </c>
      <c r="J55" s="3">
        <v>1.0179658</v>
      </c>
      <c r="K55" s="3">
        <v>1.0170618</v>
      </c>
      <c r="N55" s="3"/>
      <c r="O55" s="3">
        <v>4</v>
      </c>
      <c r="P55" s="3">
        <v>45</v>
      </c>
      <c r="Q55" s="3">
        <v>720</v>
      </c>
      <c r="R55" s="3">
        <f t="shared" si="5"/>
        <v>29178</v>
      </c>
      <c r="S55" s="3">
        <f t="shared" si="8"/>
        <v>1215.75</v>
      </c>
      <c r="T55" s="3">
        <f t="shared" si="7"/>
        <v>3.3285420944558521</v>
      </c>
      <c r="U55" s="11">
        <v>0.54525100000000004</v>
      </c>
      <c r="V55" s="11">
        <v>0.54499299999999995</v>
      </c>
      <c r="W55" s="11">
        <v>0.54531700000000005</v>
      </c>
      <c r="X55" s="11">
        <v>0.54627700000000001</v>
      </c>
    </row>
    <row r="56" spans="1:24" x14ac:dyDescent="0.25">
      <c r="A56" s="3"/>
      <c r="B56" s="3">
        <v>5</v>
      </c>
      <c r="C56" s="3">
        <v>46</v>
      </c>
      <c r="D56" s="3">
        <v>720</v>
      </c>
      <c r="E56" s="3">
        <f t="shared" si="2"/>
        <v>29898</v>
      </c>
      <c r="F56" s="3">
        <f t="shared" si="3"/>
        <v>1245.75</v>
      </c>
      <c r="G56" s="3">
        <f t="shared" si="4"/>
        <v>3.4106776180698151</v>
      </c>
      <c r="H56" s="3">
        <v>1.0158895999999999</v>
      </c>
      <c r="I56" s="3">
        <v>1.0158573</v>
      </c>
      <c r="J56" s="3">
        <v>1.0156940999999999</v>
      </c>
      <c r="K56" s="3">
        <v>1.0149360999999999</v>
      </c>
      <c r="N56" s="3"/>
      <c r="O56" s="3">
        <v>5</v>
      </c>
      <c r="P56" s="3">
        <v>46</v>
      </c>
      <c r="Q56" s="3">
        <v>720</v>
      </c>
      <c r="R56" s="3">
        <f t="shared" si="5"/>
        <v>29898</v>
      </c>
      <c r="S56" s="3">
        <f t="shared" si="8"/>
        <v>1245.75</v>
      </c>
      <c r="T56" s="3">
        <f t="shared" si="7"/>
        <v>3.4106776180698151</v>
      </c>
      <c r="U56" s="11">
        <v>0.54680399999999996</v>
      </c>
      <c r="V56" s="11">
        <v>0.546574</v>
      </c>
      <c r="W56" s="11">
        <v>0.54681400000000002</v>
      </c>
      <c r="X56" s="11">
        <v>0.54762</v>
      </c>
    </row>
    <row r="57" spans="1:24" x14ac:dyDescent="0.25">
      <c r="A57" s="3"/>
      <c r="B57" s="3">
        <v>6</v>
      </c>
      <c r="C57" s="3">
        <v>47</v>
      </c>
      <c r="D57" s="3">
        <v>720</v>
      </c>
      <c r="E57" s="3">
        <f t="shared" si="2"/>
        <v>30618</v>
      </c>
      <c r="F57" s="3">
        <f t="shared" si="3"/>
        <v>1275.75</v>
      </c>
      <c r="G57" s="3">
        <f t="shared" si="4"/>
        <v>3.4928131416837784</v>
      </c>
      <c r="H57" s="3">
        <v>1.0137388000000001</v>
      </c>
      <c r="I57" s="3">
        <v>1.0135111000000001</v>
      </c>
      <c r="J57" s="3">
        <v>1.0132612999999999</v>
      </c>
      <c r="K57" s="3">
        <v>1.0124552</v>
      </c>
      <c r="N57" s="3"/>
      <c r="O57" s="3">
        <v>6</v>
      </c>
      <c r="P57" s="3">
        <v>47</v>
      </c>
      <c r="Q57" s="3">
        <v>720</v>
      </c>
      <c r="R57" s="3">
        <f t="shared" si="5"/>
        <v>30618</v>
      </c>
      <c r="S57" s="3">
        <f t="shared" si="8"/>
        <v>1275.75</v>
      </c>
      <c r="T57" s="3">
        <f t="shared" si="7"/>
        <v>3.4928131416837784</v>
      </c>
      <c r="U57" s="11">
        <v>0.54811500000000002</v>
      </c>
      <c r="V57" s="11">
        <v>0.54825900000000005</v>
      </c>
      <c r="W57" s="11">
        <v>0.54852400000000001</v>
      </c>
      <c r="X57" s="11">
        <v>0.54938799999999999</v>
      </c>
    </row>
    <row r="58" spans="1:24" x14ac:dyDescent="0.25">
      <c r="A58" s="3"/>
      <c r="B58" s="3">
        <v>7</v>
      </c>
      <c r="C58" s="3">
        <v>48</v>
      </c>
      <c r="D58" s="3">
        <v>720</v>
      </c>
      <c r="E58" s="3">
        <f t="shared" si="2"/>
        <v>31338</v>
      </c>
      <c r="F58" s="3">
        <f t="shared" si="3"/>
        <v>1305.75</v>
      </c>
      <c r="G58" s="3">
        <f t="shared" si="4"/>
        <v>3.5749486652977414</v>
      </c>
      <c r="H58" s="3">
        <v>1.0113713</v>
      </c>
      <c r="I58" s="3">
        <v>1.0112026999999999</v>
      </c>
      <c r="J58" s="3">
        <v>1.0110379</v>
      </c>
      <c r="K58" s="3">
        <v>1.0101833</v>
      </c>
      <c r="N58" s="3"/>
      <c r="O58" s="3">
        <v>7</v>
      </c>
      <c r="P58" s="3">
        <v>48</v>
      </c>
      <c r="Q58" s="3">
        <v>720</v>
      </c>
      <c r="R58" s="3">
        <f t="shared" si="5"/>
        <v>31338</v>
      </c>
      <c r="S58" s="3">
        <f t="shared" si="8"/>
        <v>1305.75</v>
      </c>
      <c r="T58" s="3">
        <f t="shared" si="7"/>
        <v>3.5749486652977414</v>
      </c>
      <c r="U58" s="11">
        <v>0.54981800000000003</v>
      </c>
      <c r="V58" s="11">
        <v>0.54982900000000001</v>
      </c>
      <c r="W58" s="11">
        <v>0.55007399999999995</v>
      </c>
      <c r="X58" s="11">
        <v>0.55098400000000003</v>
      </c>
    </row>
    <row r="59" spans="1:24" x14ac:dyDescent="0.25">
      <c r="A59" s="3"/>
      <c r="B59" s="3">
        <v>8</v>
      </c>
      <c r="C59" s="3">
        <v>49</v>
      </c>
      <c r="D59" s="3">
        <v>720</v>
      </c>
      <c r="E59" s="3">
        <f t="shared" si="2"/>
        <v>32058</v>
      </c>
      <c r="F59" s="3">
        <f t="shared" si="3"/>
        <v>1335.75</v>
      </c>
      <c r="G59" s="3">
        <f t="shared" si="4"/>
        <v>3.6570841889117043</v>
      </c>
      <c r="H59" s="3">
        <v>1.0090014</v>
      </c>
      <c r="I59" s="3">
        <v>1.0088231999999999</v>
      </c>
      <c r="J59" s="3">
        <v>1.0086063000000001</v>
      </c>
      <c r="K59" s="3">
        <v>1.0078875</v>
      </c>
      <c r="N59" s="3"/>
      <c r="O59" s="3">
        <v>8</v>
      </c>
      <c r="P59" s="3">
        <v>49</v>
      </c>
      <c r="Q59" s="3">
        <v>720</v>
      </c>
      <c r="R59" s="3">
        <f t="shared" si="5"/>
        <v>32058</v>
      </c>
      <c r="S59" s="3">
        <f t="shared" si="8"/>
        <v>1335.75</v>
      </c>
      <c r="T59" s="3">
        <f t="shared" si="7"/>
        <v>3.6570841889117043</v>
      </c>
      <c r="U59" s="11">
        <v>0.55155299999999996</v>
      </c>
      <c r="V59" s="11">
        <v>0.55157400000000001</v>
      </c>
      <c r="W59" s="11">
        <v>0.55183199999999999</v>
      </c>
      <c r="X59" s="11">
        <v>0.55269999999999997</v>
      </c>
    </row>
    <row r="60" spans="1:24" x14ac:dyDescent="0.25">
      <c r="A60" s="3"/>
      <c r="B60" s="3">
        <v>9</v>
      </c>
      <c r="C60" s="3">
        <v>50</v>
      </c>
      <c r="D60" s="3">
        <v>720</v>
      </c>
      <c r="E60" s="3">
        <f t="shared" si="2"/>
        <v>32778</v>
      </c>
      <c r="F60" s="3">
        <f t="shared" si="3"/>
        <v>1365.75</v>
      </c>
      <c r="G60" s="3">
        <f t="shared" si="4"/>
        <v>3.7392197125256672</v>
      </c>
      <c r="H60" s="3">
        <v>1.0065010000000001</v>
      </c>
      <c r="I60" s="3">
        <v>1.0063902</v>
      </c>
      <c r="J60" s="3">
        <v>1.0061734</v>
      </c>
      <c r="K60" s="3">
        <v>1.0053984</v>
      </c>
      <c r="N60" s="3"/>
      <c r="O60" s="3">
        <v>9</v>
      </c>
      <c r="P60" s="3">
        <v>50</v>
      </c>
      <c r="Q60" s="3">
        <v>720</v>
      </c>
      <c r="R60" s="3">
        <f t="shared" si="5"/>
        <v>32778</v>
      </c>
      <c r="S60" s="3">
        <f t="shared" si="8"/>
        <v>1365.75</v>
      </c>
      <c r="T60" s="3">
        <f t="shared" si="7"/>
        <v>3.7392197125256672</v>
      </c>
      <c r="U60" s="11">
        <v>0.55346099999999998</v>
      </c>
      <c r="V60" s="11">
        <v>0.55342999999999998</v>
      </c>
      <c r="W60" s="11">
        <v>0.55370900000000001</v>
      </c>
      <c r="X60" s="11">
        <v>0.55457500000000004</v>
      </c>
    </row>
    <row r="61" spans="1:24" x14ac:dyDescent="0.25">
      <c r="A61" s="3"/>
      <c r="B61" s="3">
        <v>10</v>
      </c>
      <c r="C61" s="3">
        <v>51</v>
      </c>
      <c r="D61" s="3">
        <v>720</v>
      </c>
      <c r="E61" s="3">
        <f t="shared" si="2"/>
        <v>33498</v>
      </c>
      <c r="F61" s="3">
        <f t="shared" si="3"/>
        <v>1395.75</v>
      </c>
      <c r="G61" s="3">
        <f t="shared" si="4"/>
        <v>3.8213552361396306</v>
      </c>
      <c r="H61" s="3">
        <v>1.0039393000000001</v>
      </c>
      <c r="I61" s="3">
        <v>1.0038708000000001</v>
      </c>
      <c r="J61" s="3">
        <v>1.0036981</v>
      </c>
      <c r="K61" s="3">
        <v>1.0030190999999999</v>
      </c>
      <c r="N61" s="3"/>
      <c r="O61" s="3">
        <v>10</v>
      </c>
      <c r="P61" s="3">
        <v>51</v>
      </c>
      <c r="Q61" s="3">
        <v>720</v>
      </c>
      <c r="R61" s="3">
        <f t="shared" si="5"/>
        <v>33498</v>
      </c>
      <c r="S61" s="3">
        <f t="shared" si="8"/>
        <v>1395.75</v>
      </c>
      <c r="T61" s="3">
        <f t="shared" si="7"/>
        <v>3.8213552361396306</v>
      </c>
      <c r="U61" s="11">
        <v>0.55540800000000001</v>
      </c>
      <c r="V61" s="11">
        <v>0.55528900000000003</v>
      </c>
      <c r="W61" s="11">
        <v>0.55552900000000005</v>
      </c>
      <c r="X61" s="11">
        <v>0.55634700000000004</v>
      </c>
    </row>
    <row r="62" spans="1:24" x14ac:dyDescent="0.25">
      <c r="A62" s="3"/>
      <c r="B62" s="3">
        <v>11</v>
      </c>
      <c r="C62" s="3">
        <v>52</v>
      </c>
      <c r="D62" s="3">
        <v>720</v>
      </c>
      <c r="E62" s="3">
        <f t="shared" si="2"/>
        <v>34218</v>
      </c>
      <c r="F62" s="3">
        <f t="shared" si="3"/>
        <v>1425.75</v>
      </c>
      <c r="G62" s="3">
        <f t="shared" si="4"/>
        <v>3.9034907597535935</v>
      </c>
      <c r="H62" s="9">
        <v>1.0015129</v>
      </c>
      <c r="I62" s="9">
        <v>1.0014324999999999</v>
      </c>
      <c r="J62" s="9">
        <v>1.0013373999999999</v>
      </c>
      <c r="K62" s="9">
        <v>1.0004327</v>
      </c>
      <c r="N62" s="3"/>
      <c r="O62" s="3">
        <v>11</v>
      </c>
      <c r="P62" s="3">
        <v>52</v>
      </c>
      <c r="Q62" s="3">
        <v>720</v>
      </c>
      <c r="R62" s="3">
        <f t="shared" si="5"/>
        <v>34218</v>
      </c>
      <c r="S62" s="3">
        <f t="shared" si="8"/>
        <v>1425.75</v>
      </c>
      <c r="T62" s="3">
        <f t="shared" si="7"/>
        <v>3.9034907597535935</v>
      </c>
      <c r="U62" s="11">
        <v>0.55720800000000004</v>
      </c>
      <c r="V62" s="11">
        <v>0.55715700000000001</v>
      </c>
      <c r="W62" s="11">
        <v>0.55732199999999998</v>
      </c>
      <c r="X62" s="11">
        <v>0.55832999999999999</v>
      </c>
    </row>
    <row r="63" spans="1:24" x14ac:dyDescent="0.25">
      <c r="A63" s="3"/>
      <c r="B63" s="3">
        <v>12</v>
      </c>
      <c r="C63" s="3">
        <v>53</v>
      </c>
      <c r="D63" s="3">
        <v>846</v>
      </c>
      <c r="E63" s="3">
        <f t="shared" si="2"/>
        <v>35064</v>
      </c>
      <c r="F63" s="3">
        <f t="shared" si="3"/>
        <v>1461</v>
      </c>
      <c r="G63" s="3">
        <f t="shared" si="4"/>
        <v>4</v>
      </c>
      <c r="H63" s="3">
        <v>0.99908710000000001</v>
      </c>
      <c r="I63" s="3">
        <v>0.99912080000000003</v>
      </c>
      <c r="J63" s="3">
        <v>0.99882519999999997</v>
      </c>
      <c r="K63" s="3">
        <v>0.99808520000000001</v>
      </c>
      <c r="N63" s="3"/>
      <c r="O63" s="3">
        <v>12</v>
      </c>
      <c r="P63" s="3">
        <v>53</v>
      </c>
      <c r="Q63" s="3">
        <v>846</v>
      </c>
      <c r="R63" s="3">
        <f t="shared" si="5"/>
        <v>35064</v>
      </c>
      <c r="S63" s="3">
        <f t="shared" si="8"/>
        <v>1461</v>
      </c>
      <c r="T63" s="3">
        <f t="shared" si="7"/>
        <v>4</v>
      </c>
      <c r="U63" s="11">
        <v>0.55902200000000002</v>
      </c>
      <c r="V63" s="11">
        <v>0.55883700000000003</v>
      </c>
      <c r="W63" s="11">
        <v>0.55914699999999995</v>
      </c>
      <c r="X63" s="11">
        <v>0.56004699999999996</v>
      </c>
    </row>
    <row r="64" spans="1:24" x14ac:dyDescent="0.25">
      <c r="A64" s="3"/>
      <c r="B64" s="3">
        <v>13</v>
      </c>
      <c r="C64" s="3">
        <v>54</v>
      </c>
      <c r="D64" s="3">
        <v>720</v>
      </c>
      <c r="E64" s="3">
        <f t="shared" si="2"/>
        <v>35784</v>
      </c>
      <c r="F64" s="3">
        <f t="shared" si="3"/>
        <v>1491</v>
      </c>
      <c r="G64" s="3">
        <f t="shared" si="4"/>
        <v>4.0821355236139629</v>
      </c>
      <c r="H64" s="3">
        <v>0.99624159999999995</v>
      </c>
      <c r="I64" s="3">
        <v>0.99615489999999995</v>
      </c>
      <c r="J64" s="3">
        <v>0.99600169999999999</v>
      </c>
      <c r="K64" s="3">
        <v>0.99517299999999997</v>
      </c>
      <c r="N64" s="3"/>
      <c r="O64" s="3">
        <v>13</v>
      </c>
      <c r="P64" s="3">
        <v>54</v>
      </c>
      <c r="Q64" s="3">
        <v>720</v>
      </c>
      <c r="R64" s="3">
        <f t="shared" si="5"/>
        <v>35784</v>
      </c>
      <c r="S64" s="3">
        <f t="shared" si="8"/>
        <v>1491</v>
      </c>
      <c r="T64" s="3">
        <f t="shared" si="7"/>
        <v>4.0821355236139629</v>
      </c>
      <c r="U64" s="11">
        <v>0.56111</v>
      </c>
      <c r="V64" s="11">
        <v>0.56107600000000002</v>
      </c>
      <c r="W64" s="11">
        <v>0.56132499999999996</v>
      </c>
      <c r="X64" s="11">
        <v>0.56224700000000005</v>
      </c>
    </row>
    <row r="65" spans="1:24" x14ac:dyDescent="0.25">
      <c r="A65" s="3"/>
      <c r="B65" s="3">
        <v>14</v>
      </c>
      <c r="C65" s="3">
        <v>55</v>
      </c>
      <c r="D65" s="3">
        <v>720</v>
      </c>
      <c r="E65" s="3">
        <f t="shared" si="2"/>
        <v>36504</v>
      </c>
      <c r="F65" s="3">
        <f t="shared" si="3"/>
        <v>1521</v>
      </c>
      <c r="G65" s="3">
        <f t="shared" si="4"/>
        <v>4.1642710472279258</v>
      </c>
      <c r="H65" s="3">
        <v>0.9936526</v>
      </c>
      <c r="I65" s="3">
        <v>0.99377680000000002</v>
      </c>
      <c r="J65" s="3">
        <v>0.99350019999999994</v>
      </c>
      <c r="K65" s="3">
        <v>0.99266180000000004</v>
      </c>
      <c r="N65" s="3"/>
      <c r="O65" s="3">
        <v>14</v>
      </c>
      <c r="P65" s="3">
        <v>55</v>
      </c>
      <c r="Q65" s="3">
        <v>720</v>
      </c>
      <c r="R65" s="3">
        <f t="shared" si="5"/>
        <v>36504</v>
      </c>
      <c r="S65" s="3">
        <f t="shared" si="8"/>
        <v>1521</v>
      </c>
      <c r="T65" s="3">
        <f t="shared" si="7"/>
        <v>4.1642710472279258</v>
      </c>
      <c r="U65" s="11">
        <v>0.56318699999999999</v>
      </c>
      <c r="V65" s="11">
        <v>0.56290099999999998</v>
      </c>
      <c r="W65" s="11">
        <v>0.56322300000000003</v>
      </c>
      <c r="X65" s="11">
        <v>0.56420700000000001</v>
      </c>
    </row>
    <row r="66" spans="1:24" x14ac:dyDescent="0.25">
      <c r="A66" s="3"/>
      <c r="B66" s="3">
        <v>15</v>
      </c>
      <c r="C66" s="3">
        <v>56</v>
      </c>
      <c r="D66" s="3">
        <v>720</v>
      </c>
      <c r="E66" s="3">
        <f t="shared" si="2"/>
        <v>37224</v>
      </c>
      <c r="F66" s="3">
        <f t="shared" si="3"/>
        <v>1551</v>
      </c>
      <c r="G66" s="3">
        <f t="shared" si="4"/>
        <v>4.2464065708418888</v>
      </c>
      <c r="H66" s="3">
        <v>0.99117449999999996</v>
      </c>
      <c r="I66" s="3">
        <v>0.9911006</v>
      </c>
      <c r="J66" s="3">
        <v>0.99092829999999998</v>
      </c>
      <c r="K66" s="3">
        <v>0.99012639999999996</v>
      </c>
      <c r="N66" s="3"/>
      <c r="O66" s="3">
        <v>15</v>
      </c>
      <c r="P66" s="3">
        <v>56</v>
      </c>
      <c r="Q66" s="3">
        <v>720</v>
      </c>
      <c r="R66" s="3">
        <f t="shared" si="5"/>
        <v>37224</v>
      </c>
      <c r="S66" s="3">
        <f t="shared" si="8"/>
        <v>1551</v>
      </c>
      <c r="T66" s="3">
        <f t="shared" si="7"/>
        <v>4.2464065708418888</v>
      </c>
      <c r="U66" s="11">
        <v>0.56511199999999995</v>
      </c>
      <c r="V66" s="11">
        <v>0.56509900000000002</v>
      </c>
      <c r="W66" s="11">
        <v>0.56534700000000004</v>
      </c>
      <c r="X66" s="11">
        <v>0.56624699999999994</v>
      </c>
    </row>
    <row r="67" spans="1:24" x14ac:dyDescent="0.25">
      <c r="A67" s="3"/>
      <c r="B67" s="3">
        <v>16</v>
      </c>
      <c r="C67" s="3">
        <v>57</v>
      </c>
      <c r="D67" s="3">
        <v>720</v>
      </c>
      <c r="E67" s="3">
        <f t="shared" si="2"/>
        <v>37944</v>
      </c>
      <c r="F67" s="3">
        <f t="shared" si="3"/>
        <v>1581</v>
      </c>
      <c r="G67" s="3">
        <f t="shared" si="4"/>
        <v>4.3285420944558526</v>
      </c>
      <c r="H67" s="3">
        <v>0.9884406</v>
      </c>
      <c r="I67" s="3">
        <v>0.98849609999999999</v>
      </c>
      <c r="J67" s="3">
        <v>0.9882417</v>
      </c>
      <c r="K67" s="3">
        <v>0.98739390000000005</v>
      </c>
      <c r="N67" s="3"/>
      <c r="O67" s="3">
        <v>16</v>
      </c>
      <c r="P67" s="3">
        <v>57</v>
      </c>
      <c r="Q67" s="3">
        <v>720</v>
      </c>
      <c r="R67" s="3">
        <f t="shared" si="5"/>
        <v>37944</v>
      </c>
      <c r="S67" s="3">
        <f t="shared" si="8"/>
        <v>1581</v>
      </c>
      <c r="T67" s="3">
        <f t="shared" si="7"/>
        <v>4.3285420944558526</v>
      </c>
      <c r="U67" s="11">
        <v>0.56748900000000002</v>
      </c>
      <c r="V67" s="11">
        <v>0.56740699999999999</v>
      </c>
      <c r="W67" s="11">
        <v>0.56771000000000005</v>
      </c>
      <c r="X67" s="11">
        <v>0.56867900000000005</v>
      </c>
    </row>
    <row r="68" spans="1:24" x14ac:dyDescent="0.25">
      <c r="A68" s="3"/>
      <c r="B68" s="3">
        <v>17</v>
      </c>
      <c r="C68" s="3">
        <v>58</v>
      </c>
      <c r="D68" s="3">
        <v>720</v>
      </c>
      <c r="E68" s="3">
        <f t="shared" si="2"/>
        <v>38664</v>
      </c>
      <c r="F68" s="3">
        <f t="shared" si="3"/>
        <v>1611</v>
      </c>
      <c r="G68" s="3">
        <f t="shared" si="4"/>
        <v>4.4106776180698155</v>
      </c>
      <c r="H68" s="3">
        <v>0.98535010000000001</v>
      </c>
      <c r="I68" s="3">
        <v>0.98551840000000002</v>
      </c>
      <c r="J68" s="3">
        <v>0.98533839999999995</v>
      </c>
      <c r="K68" s="3">
        <v>0.98459629999999998</v>
      </c>
      <c r="N68" s="3"/>
      <c r="O68" s="3">
        <v>17</v>
      </c>
      <c r="P68" s="3">
        <v>58</v>
      </c>
      <c r="Q68" s="3">
        <v>720</v>
      </c>
      <c r="R68" s="3">
        <f t="shared" si="5"/>
        <v>38664</v>
      </c>
      <c r="S68" s="3">
        <f t="shared" si="8"/>
        <v>1611</v>
      </c>
      <c r="T68" s="3">
        <f t="shared" si="7"/>
        <v>4.4106776180698155</v>
      </c>
      <c r="U68" s="11">
        <v>0.57041500000000001</v>
      </c>
      <c r="V68" s="11">
        <v>0.57007300000000005</v>
      </c>
      <c r="W68" s="11">
        <v>0.57031699999999996</v>
      </c>
      <c r="X68" s="11">
        <v>0.57114600000000004</v>
      </c>
    </row>
    <row r="69" spans="1:24" x14ac:dyDescent="0.25">
      <c r="A69" s="3"/>
      <c r="B69" s="3">
        <v>18</v>
      </c>
      <c r="C69" s="3">
        <v>59</v>
      </c>
      <c r="D69" s="3">
        <v>720</v>
      </c>
      <c r="E69" s="3">
        <f t="shared" si="2"/>
        <v>39384</v>
      </c>
      <c r="F69" s="3">
        <f t="shared" si="3"/>
        <v>1641</v>
      </c>
      <c r="G69" s="3">
        <f t="shared" si="4"/>
        <v>4.4928131416837784</v>
      </c>
      <c r="H69" s="3">
        <v>0.98233159999999997</v>
      </c>
      <c r="I69" s="3">
        <v>0.98253279999999998</v>
      </c>
      <c r="J69" s="3">
        <v>0.9823151</v>
      </c>
      <c r="K69" s="3">
        <v>0.98150119999999996</v>
      </c>
      <c r="N69" s="3"/>
      <c r="O69" s="3">
        <v>18</v>
      </c>
      <c r="P69" s="3">
        <v>59</v>
      </c>
      <c r="Q69" s="3">
        <v>720</v>
      </c>
      <c r="R69" s="3">
        <f t="shared" si="5"/>
        <v>39384</v>
      </c>
      <c r="S69" s="3">
        <f t="shared" si="8"/>
        <v>1641</v>
      </c>
      <c r="T69" s="3">
        <f t="shared" si="7"/>
        <v>4.4928131416837784</v>
      </c>
      <c r="U69" s="11">
        <v>0.573237</v>
      </c>
      <c r="V69" s="11">
        <v>0.57288499999999998</v>
      </c>
      <c r="W69" s="11">
        <v>0.57315899999999997</v>
      </c>
      <c r="X69" s="11">
        <v>0.57406500000000005</v>
      </c>
    </row>
    <row r="70" spans="1:24" x14ac:dyDescent="0.25">
      <c r="A70" s="3"/>
      <c r="B70" s="3">
        <v>19</v>
      </c>
      <c r="C70" s="3">
        <v>60</v>
      </c>
      <c r="D70" s="3">
        <v>720</v>
      </c>
      <c r="E70" s="3">
        <f t="shared" si="2"/>
        <v>40104</v>
      </c>
      <c r="F70" s="3">
        <f t="shared" si="3"/>
        <v>1671</v>
      </c>
      <c r="G70" s="3">
        <f t="shared" si="4"/>
        <v>4.5749486652977414</v>
      </c>
      <c r="H70" s="3">
        <v>0.97935530000000004</v>
      </c>
      <c r="I70" s="3">
        <v>0.97939229999999999</v>
      </c>
      <c r="J70" s="3">
        <v>0.9791976</v>
      </c>
      <c r="K70" s="3">
        <v>0.97842280000000004</v>
      </c>
      <c r="N70" s="3"/>
      <c r="O70" s="3">
        <v>19</v>
      </c>
      <c r="P70" s="3">
        <v>60</v>
      </c>
      <c r="Q70" s="3">
        <v>720</v>
      </c>
      <c r="R70" s="3">
        <f t="shared" si="5"/>
        <v>40104</v>
      </c>
      <c r="S70" s="3">
        <f t="shared" si="8"/>
        <v>1671</v>
      </c>
      <c r="T70" s="3">
        <f t="shared" si="7"/>
        <v>4.5749486652977414</v>
      </c>
      <c r="U70" s="11">
        <v>0.57601400000000003</v>
      </c>
      <c r="V70" s="11">
        <v>0.57594000000000001</v>
      </c>
      <c r="W70" s="11">
        <v>0.57618899999999995</v>
      </c>
      <c r="X70" s="11">
        <v>0.57704100000000003</v>
      </c>
    </row>
    <row r="71" spans="1:24" x14ac:dyDescent="0.25">
      <c r="A71" s="3"/>
      <c r="B71" s="3">
        <v>20</v>
      </c>
      <c r="C71" s="3">
        <v>61</v>
      </c>
      <c r="D71" s="3">
        <v>720</v>
      </c>
      <c r="E71" s="3">
        <f t="shared" si="2"/>
        <v>40824</v>
      </c>
      <c r="F71" s="3">
        <f t="shared" si="3"/>
        <v>1701</v>
      </c>
      <c r="G71" s="3">
        <f t="shared" si="4"/>
        <v>4.6570841889117043</v>
      </c>
      <c r="H71" s="3">
        <v>0.97600469999999995</v>
      </c>
      <c r="I71" s="3">
        <v>0.97622039999999999</v>
      </c>
      <c r="J71" s="3">
        <v>0.97602100000000003</v>
      </c>
      <c r="K71" s="3">
        <v>0.97525519999999999</v>
      </c>
      <c r="N71" s="3"/>
      <c r="O71" s="3">
        <v>20</v>
      </c>
      <c r="P71" s="3">
        <v>61</v>
      </c>
      <c r="Q71" s="3">
        <v>720</v>
      </c>
      <c r="R71" s="3">
        <f t="shared" si="5"/>
        <v>40824</v>
      </c>
      <c r="S71" s="3">
        <f t="shared" si="8"/>
        <v>1701</v>
      </c>
      <c r="T71" s="3">
        <f t="shared" si="7"/>
        <v>4.6570841889117043</v>
      </c>
      <c r="U71" s="11">
        <v>0.57943999999999996</v>
      </c>
      <c r="V71" s="11">
        <v>0.57907900000000001</v>
      </c>
      <c r="W71" s="11">
        <v>0.57932899999999998</v>
      </c>
      <c r="X71" s="11">
        <v>0.58016400000000001</v>
      </c>
    </row>
    <row r="72" spans="1:24" x14ac:dyDescent="0.25">
      <c r="A72" s="3"/>
      <c r="B72" s="3">
        <v>21</v>
      </c>
      <c r="C72" s="3">
        <v>62</v>
      </c>
      <c r="D72" s="3">
        <v>720</v>
      </c>
      <c r="E72" s="3">
        <f t="shared" si="2"/>
        <v>41544</v>
      </c>
      <c r="F72" s="3">
        <f t="shared" si="3"/>
        <v>1731</v>
      </c>
      <c r="G72" s="3">
        <f t="shared" si="4"/>
        <v>4.7392197125256672</v>
      </c>
      <c r="H72" s="3">
        <v>0.97261629999999999</v>
      </c>
      <c r="I72" s="3">
        <v>0.9728118</v>
      </c>
      <c r="J72" s="3">
        <v>0.9726226</v>
      </c>
      <c r="K72" s="3">
        <v>0.9719139</v>
      </c>
      <c r="N72" s="3"/>
      <c r="O72" s="3">
        <v>21</v>
      </c>
      <c r="P72" s="3">
        <v>62</v>
      </c>
      <c r="Q72" s="3">
        <v>720</v>
      </c>
      <c r="R72" s="3">
        <f t="shared" si="5"/>
        <v>41544</v>
      </c>
      <c r="S72" s="3">
        <f t="shared" si="8"/>
        <v>1731</v>
      </c>
      <c r="T72" s="3">
        <f t="shared" si="7"/>
        <v>4.7392197125256672</v>
      </c>
      <c r="U72" s="11">
        <v>0.58291999999999999</v>
      </c>
      <c r="V72" s="11">
        <v>0.582565</v>
      </c>
      <c r="W72" s="11">
        <v>0.58280600000000005</v>
      </c>
      <c r="X72" s="11">
        <v>0.58357800000000004</v>
      </c>
    </row>
    <row r="73" spans="1:24" x14ac:dyDescent="0.25">
      <c r="A73" s="3"/>
      <c r="B73" s="3">
        <v>22</v>
      </c>
      <c r="C73" s="3">
        <v>63</v>
      </c>
      <c r="D73" s="3">
        <v>720</v>
      </c>
      <c r="E73" s="3">
        <f t="shared" si="2"/>
        <v>42264</v>
      </c>
      <c r="F73" s="3">
        <f t="shared" si="3"/>
        <v>1761</v>
      </c>
      <c r="G73" s="3">
        <f t="shared" si="4"/>
        <v>4.8213552361396301</v>
      </c>
      <c r="H73" s="3">
        <v>0.96926179999999995</v>
      </c>
      <c r="I73" s="3">
        <v>0.96944560000000002</v>
      </c>
      <c r="J73" s="3">
        <v>0.96925159999999999</v>
      </c>
      <c r="K73" s="3">
        <v>0.96848590000000001</v>
      </c>
      <c r="N73" s="3"/>
      <c r="O73" s="3">
        <v>22</v>
      </c>
      <c r="P73" s="3">
        <v>63</v>
      </c>
      <c r="Q73" s="3">
        <v>720</v>
      </c>
      <c r="R73" s="3">
        <f t="shared" si="5"/>
        <v>42264</v>
      </c>
      <c r="S73" s="3">
        <f t="shared" si="8"/>
        <v>1761</v>
      </c>
      <c r="T73" s="3">
        <f t="shared" si="7"/>
        <v>4.8213552361396301</v>
      </c>
      <c r="U73" s="11">
        <v>0.58638599999999996</v>
      </c>
      <c r="V73" s="11">
        <v>0.58604800000000001</v>
      </c>
      <c r="W73" s="11">
        <v>0.58629200000000004</v>
      </c>
      <c r="X73" s="11">
        <v>0.58710600000000002</v>
      </c>
    </row>
    <row r="74" spans="1:24" x14ac:dyDescent="0.25">
      <c r="A74" s="3"/>
      <c r="B74" s="3">
        <v>23</v>
      </c>
      <c r="C74" s="3">
        <v>64</v>
      </c>
      <c r="D74" s="3">
        <v>720</v>
      </c>
      <c r="E74" s="3">
        <f t="shared" si="2"/>
        <v>42984</v>
      </c>
      <c r="F74" s="3">
        <f t="shared" si="3"/>
        <v>1791</v>
      </c>
      <c r="G74" s="3">
        <f t="shared" si="4"/>
        <v>4.9034907597535931</v>
      </c>
      <c r="H74" s="3">
        <v>0.96584119999999996</v>
      </c>
      <c r="I74" s="3">
        <v>0.96601649999999994</v>
      </c>
      <c r="J74" s="3">
        <v>0.9658352</v>
      </c>
      <c r="K74" s="3">
        <v>0.96511349999999996</v>
      </c>
      <c r="N74" s="3"/>
      <c r="O74" s="3">
        <v>23</v>
      </c>
      <c r="P74" s="3">
        <v>64</v>
      </c>
      <c r="Q74" s="3">
        <v>720</v>
      </c>
      <c r="R74" s="3">
        <f t="shared" si="5"/>
        <v>42984</v>
      </c>
      <c r="S74" s="3">
        <f t="shared" si="8"/>
        <v>1791</v>
      </c>
      <c r="T74" s="3">
        <f t="shared" si="7"/>
        <v>4.9034907597535931</v>
      </c>
      <c r="U74" s="11">
        <v>0.58995399999999998</v>
      </c>
      <c r="V74" s="11">
        <v>0.58961300000000005</v>
      </c>
      <c r="W74" s="11">
        <v>0.58984700000000001</v>
      </c>
      <c r="X74" s="11">
        <v>0.59063200000000005</v>
      </c>
    </row>
    <row r="75" spans="1:24" x14ac:dyDescent="0.25">
      <c r="A75" s="3" t="s">
        <v>279</v>
      </c>
      <c r="B75" s="3">
        <v>24</v>
      </c>
      <c r="C75" s="3">
        <v>65</v>
      </c>
      <c r="D75" s="3">
        <v>846</v>
      </c>
      <c r="E75" s="3">
        <f t="shared" si="2"/>
        <v>43830</v>
      </c>
      <c r="F75" s="3">
        <f t="shared" si="3"/>
        <v>1826.25</v>
      </c>
      <c r="G75" s="3">
        <f t="shared" si="4"/>
        <v>5</v>
      </c>
      <c r="H75" s="3">
        <v>0.96243809999999996</v>
      </c>
      <c r="I75" s="3">
        <v>0.96260009999999996</v>
      </c>
      <c r="J75" s="3">
        <v>0.96241310000000002</v>
      </c>
      <c r="K75" s="3">
        <v>0.96166090000000004</v>
      </c>
      <c r="N75" s="3" t="s">
        <v>279</v>
      </c>
      <c r="O75" s="3">
        <v>24</v>
      </c>
      <c r="P75" s="3">
        <v>65</v>
      </c>
      <c r="Q75" s="3">
        <v>846</v>
      </c>
      <c r="R75" s="3">
        <f t="shared" si="5"/>
        <v>43830</v>
      </c>
      <c r="S75" s="3">
        <f t="shared" si="8"/>
        <v>1826.25</v>
      </c>
      <c r="T75" s="3">
        <f t="shared" si="7"/>
        <v>5</v>
      </c>
      <c r="U75" s="11">
        <v>0.59353400000000001</v>
      </c>
      <c r="V75" s="11">
        <v>0.59319699999999997</v>
      </c>
      <c r="W75" s="11">
        <v>0.59343599999999996</v>
      </c>
      <c r="X75" s="11">
        <v>0.59424399999999999</v>
      </c>
    </row>
  </sheetData>
  <mergeCells count="14">
    <mergeCell ref="T9:T10"/>
    <mergeCell ref="U9:X9"/>
    <mergeCell ref="H9:K9"/>
    <mergeCell ref="N9:N10"/>
    <mergeCell ref="P9:P10"/>
    <mergeCell ref="Q9:Q10"/>
    <mergeCell ref="R9:R10"/>
    <mergeCell ref="S9:S10"/>
    <mergeCell ref="G9:G10"/>
    <mergeCell ref="A9:A10"/>
    <mergeCell ref="C9:C10"/>
    <mergeCell ref="D9:D10"/>
    <mergeCell ref="E9:E10"/>
    <mergeCell ref="F9:F10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Core Parameters</vt:lpstr>
      <vt:lpstr>Geometri</vt:lpstr>
      <vt:lpstr>Suhu Gap dan Cladding</vt:lpstr>
      <vt:lpstr>Fraksi Volume</vt:lpstr>
      <vt:lpstr>HD FIX</vt:lpstr>
      <vt:lpstr>Nuklida FA1</vt:lpstr>
      <vt:lpstr>Nuklida FA2</vt:lpstr>
      <vt:lpstr>Hasil</vt:lpstr>
      <vt:lpstr>Hasil BMTest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Harun Ardiansyah</dc:creator>
  <cp:lastModifiedBy>Harun Ardiansyah</cp:lastModifiedBy>
  <dcterms:created xsi:type="dcterms:W3CDTF">2017-12-20T08:29:11Z</dcterms:created>
  <dcterms:modified xsi:type="dcterms:W3CDTF">2018-05-24T05:48:46Z</dcterms:modified>
</cp:coreProperties>
</file>